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charts/chart4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2.xml" ContentType="application/vnd.openxmlformats-officedocument.drawing+xml"/>
  <Override PartName="/xl/charts/chart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3.xml" ContentType="application/vnd.openxmlformats-officedocument.drawing+xml"/>
  <Override PartName="/xl/charts/chart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4.xml" ContentType="application/vnd.openxmlformats-officedocument.drawing+xml"/>
  <Override PartName="/xl/charts/chart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5.xml" ContentType="application/vnd.openxmlformats-officedocument.drawing+xml"/>
  <Override PartName="/xl/charts/chart8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6.xml" ContentType="application/vnd.openxmlformats-officedocument.drawing+xml"/>
  <Override PartName="/xl/charts/chart9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7.xml" ContentType="application/vnd.openxmlformats-officedocument.drawing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8.xml" ContentType="application/vnd.openxmlformats-officedocument.drawing+xml"/>
  <Override PartName="/xl/charts/chart11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29.xml" ContentType="application/vnd.openxmlformats-officedocument.drawing+xml"/>
  <Override PartName="/xl/charts/chart12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30.xml" ContentType="application/vnd.openxmlformats-officedocument.drawing+xml"/>
  <Override PartName="/xl/charts/chart13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1.xml" ContentType="application/vnd.openxmlformats-officedocument.drawing+xml"/>
  <Override PartName="/xl/charts/chart14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32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33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rgesoto/Desktop/Maven_Analytics/Excel/Statistics for Data Analysis/StatisticsforDataAnalysis-221118-112009/"/>
    </mc:Choice>
  </mc:AlternateContent>
  <xr:revisionPtr revIDLastSave="0" documentId="13_ncr:1_{B39CA9DA-9CF8-A545-A853-CE0F15AE889B}" xr6:coauthVersionLast="47" xr6:coauthVersionMax="47" xr10:uidLastSave="{00000000-0000-0000-0000-000000000000}"/>
  <bookViews>
    <workbookView minimized="1" xWindow="0" yWindow="500" windowWidth="28800" windowHeight="16520" firstSheet="51" activeTab="59" xr2:uid="{DBB1C2DB-5775-4DD4-8093-368BA7E7FA97}"/>
  </bookViews>
  <sheets>
    <sheet name="RAW DATA" sheetId="3" r:id="rId1"/>
    <sheet name="TABLE OF CONTENTS" sheetId="1" r:id="rId2"/>
    <sheet name="Categorical Distributions" sheetId="4" r:id="rId3"/>
    <sheet name="Numerical Distributions" sheetId="5" r:id="rId4"/>
    <sheet name="Histograms" sheetId="6" r:id="rId5"/>
    <sheet name="Frequency Distributions" sheetId="7" r:id="rId6"/>
    <sheet name="Mean, Median, Mode" sheetId="11" r:id="rId7"/>
    <sheet name="Skew" sheetId="13" r:id="rId8"/>
    <sheet name="Central Tendency" sheetId="14" r:id="rId9"/>
    <sheet name="Min, Max, Range" sheetId="15" r:id="rId10"/>
    <sheet name="Quartiles &amp; IQR" sheetId="16" r:id="rId11"/>
    <sheet name="Box &amp; Whisker" sheetId="17" r:id="rId12"/>
    <sheet name="Variance &amp; Std Dev" sheetId="18" r:id="rId13"/>
    <sheet name="Coefficient of Variation" sheetId="20" r:id="rId14"/>
    <sheet name="Variability" sheetId="19" r:id="rId15"/>
    <sheet name="Normal Distribution" sheetId="21" r:id="rId16"/>
    <sheet name="Z-Scores" sheetId="22" r:id="rId17"/>
    <sheet name="Empirical Rule" sheetId="23" r:id="rId18"/>
    <sheet name="Normal Distributions" sheetId="25" r:id="rId19"/>
    <sheet name="NORM.DIST" sheetId="27" r:id="rId20"/>
    <sheet name="NORM.S.DIST" sheetId="29" r:id="rId21"/>
    <sheet name="Calculating Probabilities" sheetId="28" r:id="rId22"/>
    <sheet name="Normal Curve" sheetId="26" r:id="rId23"/>
    <sheet name="NORM.INV" sheetId="30" r:id="rId24"/>
    <sheet name="NORM.S.INV" sheetId="31" r:id="rId25"/>
    <sheet name="Estimating Values" sheetId="32" r:id="rId26"/>
    <sheet name="Margin of Error" sheetId="33" r:id="rId27"/>
    <sheet name="Confidence Intervals (z)" sheetId="34" r:id="rId28"/>
    <sheet name="T Distribution" sheetId="35" r:id="rId29"/>
    <sheet name="Confidence Intervals (t)" sheetId="36" r:id="rId30"/>
    <sheet name="Proportions" sheetId="37" r:id="rId31"/>
    <sheet name="Confidence Intervals (p)" sheetId="38" r:id="rId32"/>
    <sheet name="Dependent Samples" sheetId="39" r:id="rId33"/>
    <sheet name="Confidence Intervals (d)" sheetId="40" r:id="rId34"/>
    <sheet name="Independent Samples" sheetId="41" r:id="rId35"/>
    <sheet name="Confidence Intervals (x1-x2)" sheetId="42" r:id="rId36"/>
    <sheet name="Confidence Intervals (p1-p2)" sheetId="43" r:id="rId37"/>
    <sheet name="Null &amp; Alternative Hypothesis" sheetId="44" r:id="rId38"/>
    <sheet name="Significance Level" sheetId="45" r:id="rId39"/>
    <sheet name="Test Statistic" sheetId="46" r:id="rId40"/>
    <sheet name="P-Value" sheetId="47" r:id="rId41"/>
    <sheet name="Conclusion" sheetId="69" r:id="rId42"/>
    <sheet name="Hypothesis Tests (Two Tail)" sheetId="48" r:id="rId43"/>
    <sheet name="One Tail Hypothesis Test" sheetId="49" r:id="rId44"/>
    <sheet name="Hypothesis Tests (p)" sheetId="51" r:id="rId45"/>
    <sheet name="Hypothesis Tests (d)" sheetId="52" r:id="rId46"/>
    <sheet name="Hypothesis Tests (x1-x2)" sheetId="53" r:id="rId47"/>
    <sheet name="Scatterplots" sheetId="54" r:id="rId48"/>
    <sheet name="Correlation" sheetId="55" r:id="rId49"/>
    <sheet name="Linear Relationships" sheetId="56" r:id="rId50"/>
    <sheet name="Linear Regression" sheetId="57" r:id="rId51"/>
    <sheet name="Predictions" sheetId="58" r:id="rId52"/>
    <sheet name="Linear Regression Model" sheetId="59" r:id="rId53"/>
    <sheet name="R-Squared" sheetId="61" r:id="rId54"/>
    <sheet name="Standard Error" sheetId="63" r:id="rId55"/>
    <sheet name="Homoskedasticity" sheetId="64" r:id="rId56"/>
    <sheet name="Hypothesis Test" sheetId="65" r:id="rId57"/>
    <sheet name="Model Evaluation" sheetId="62" r:id="rId58"/>
    <sheet name="Analysis ToolPak" sheetId="66" r:id="rId59"/>
    <sheet name="Multiple Linear Regression" sheetId="68" r:id="rId60"/>
  </sheets>
  <definedNames>
    <definedName name="_xlnm._FilterDatabase" localSheetId="58" hidden="1">'Analysis ToolPak'!#REF!</definedName>
    <definedName name="_xlnm._FilterDatabase" localSheetId="21" hidden="1">'Calculating Probabilities'!$B$5:$B$100</definedName>
    <definedName name="_xlnm._FilterDatabase" localSheetId="8" hidden="1">'Central Tendency'!#REF!</definedName>
    <definedName name="_xlnm._FilterDatabase" localSheetId="55" hidden="1">Homoskedasticity!#REF!</definedName>
    <definedName name="_xlnm._FilterDatabase" localSheetId="56" hidden="1">'Hypothesis Test'!#REF!</definedName>
    <definedName name="_xlnm._FilterDatabase" localSheetId="46" hidden="1">'Hypothesis Tests (x1-x2)'!$A$5:$C$58</definedName>
    <definedName name="_xlnm._FilterDatabase" localSheetId="49" hidden="1">'Linear Relationships'!$B$5:$F$58</definedName>
    <definedName name="_xlnm._FilterDatabase" localSheetId="6" hidden="1">'Mean, Median, Mode'!#REF!</definedName>
    <definedName name="_xlnm._FilterDatabase" localSheetId="0" hidden="1">'RAW DATA'!$A$1:$I$96</definedName>
    <definedName name="_xlnm._FilterDatabase" localSheetId="7" hidden="1">Skew!#REF!</definedName>
    <definedName name="_xlchart.v1.0" hidden="1">Histograms!$B$5</definedName>
    <definedName name="_xlchart.v1.1" hidden="1">Histograms!$B$6:$B$58</definedName>
    <definedName name="_xlchart.v1.10" hidden="1">Variability!$C$5</definedName>
    <definedName name="_xlchart.v1.11" hidden="1">Variability!$C$6:$C$100</definedName>
    <definedName name="_xlchart.v1.12" hidden="1">'Normal Distributions'!$B$6:$B$58</definedName>
    <definedName name="_xlchart.v1.2" hidden="1">'Frequency Distributions'!$D$18:$D$25</definedName>
    <definedName name="_xlchart.v1.3" hidden="1">'Frequency Distributions'!$E$17</definedName>
    <definedName name="_xlchart.v1.4" hidden="1">'Frequency Distributions'!$E$18:$E$25</definedName>
    <definedName name="_xlchart.v1.5" hidden="1">'Box &amp; Whisker'!$B$5</definedName>
    <definedName name="_xlchart.v1.6" hidden="1">'Box &amp; Whisker'!$B$6:$B$100</definedName>
    <definedName name="_xlchart.v1.7" hidden="1">'Box &amp; Whisker'!$C$5</definedName>
    <definedName name="_xlchart.v1.8" hidden="1">'Box &amp; Whisker'!$C$6:$C$100</definedName>
    <definedName name="_xlchart.v1.9" hidden="1">Variability!$B$6:$B$100</definedName>
  </definedNames>
  <calcPr calcId="191029"/>
  <pivotCaches>
    <pivotCache cacheId="0" r:id="rId61"/>
    <pivotCache cacheId="1" r:id="rId62"/>
    <pivotCache cacheId="2" r:id="rId63"/>
    <pivotCache cacheId="3" r:id="rId6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68" l="1"/>
  <c r="O14" i="62"/>
  <c r="O13" i="62"/>
  <c r="O12" i="62"/>
  <c r="O10" i="62"/>
  <c r="O10" i="65"/>
  <c r="O9" i="62"/>
  <c r="O9" i="65"/>
  <c r="O13" i="65" s="1"/>
  <c r="O14" i="65" s="1"/>
  <c r="O8" i="62"/>
  <c r="O8" i="61"/>
  <c r="P8" i="61"/>
  <c r="O7" i="62" a="1"/>
  <c r="O7" i="62" s="1"/>
  <c r="O7" i="61" a="1"/>
  <c r="O7" i="61" s="1"/>
  <c r="O6" i="62" a="1"/>
  <c r="O6" i="62" s="1"/>
  <c r="O6" i="61" a="1"/>
  <c r="O6" i="61" s="1"/>
  <c r="O12" i="65"/>
  <c r="O10" i="63"/>
  <c r="O9" i="63"/>
  <c r="Q7" i="59"/>
  <c r="N7" i="59"/>
  <c r="N6" i="59"/>
  <c r="K7" i="59"/>
  <c r="J7" i="59"/>
  <c r="L7" i="58"/>
  <c r="I7" i="58"/>
  <c r="I6" i="58"/>
  <c r="L7" i="56"/>
  <c r="K7" i="56"/>
  <c r="J7" i="56"/>
  <c r="I7" i="56"/>
  <c r="F6" i="55"/>
  <c r="U8" i="53"/>
  <c r="U7" i="53"/>
  <c r="U9" i="53"/>
  <c r="G10" i="53" a="1"/>
  <c r="G10" i="53" s="1"/>
  <c r="G11" i="53" s="1"/>
  <c r="F10" i="53" a="1"/>
  <c r="F10" i="53" s="1"/>
  <c r="F11" i="53" s="1"/>
  <c r="N8" i="49" a="1"/>
  <c r="N8" i="49" s="1"/>
  <c r="Q6" i="49" s="1"/>
  <c r="Q7" i="49" s="1"/>
  <c r="Q8" i="49" s="1"/>
  <c r="G9" i="53"/>
  <c r="F9" i="53"/>
  <c r="J6" i="53" s="1"/>
  <c r="G7" i="53"/>
  <c r="G8" i="53" s="1"/>
  <c r="F7" i="53"/>
  <c r="F8" i="53" s="1"/>
  <c r="R6" i="53"/>
  <c r="S8" i="52"/>
  <c r="S7" i="52"/>
  <c r="M6" i="52"/>
  <c r="H9" i="35"/>
  <c r="S6" i="52"/>
  <c r="H10" i="35"/>
  <c r="P6" i="51"/>
  <c r="P8" i="52"/>
  <c r="P7" i="52"/>
  <c r="P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E41" i="52"/>
  <c r="E42" i="52"/>
  <c r="E43" i="52"/>
  <c r="E44" i="52"/>
  <c r="E45" i="52"/>
  <c r="E46" i="52"/>
  <c r="E47" i="52"/>
  <c r="E48" i="52"/>
  <c r="E49" i="52"/>
  <c r="E50" i="52"/>
  <c r="E51" i="52"/>
  <c r="E52" i="52"/>
  <c r="E53" i="52"/>
  <c r="E54" i="52"/>
  <c r="E55" i="52"/>
  <c r="E56" i="52"/>
  <c r="E57" i="52"/>
  <c r="E58" i="52"/>
  <c r="E59" i="52"/>
  <c r="E60" i="52"/>
  <c r="E61" i="52"/>
  <c r="E62" i="52"/>
  <c r="E63" i="52"/>
  <c r="E64" i="52"/>
  <c r="E65" i="52"/>
  <c r="E66" i="52"/>
  <c r="E67" i="52"/>
  <c r="E68" i="52"/>
  <c r="E69" i="52"/>
  <c r="E70" i="52"/>
  <c r="E71" i="52"/>
  <c r="E72" i="52"/>
  <c r="E73" i="52"/>
  <c r="E74" i="52"/>
  <c r="E75" i="52"/>
  <c r="E76" i="52"/>
  <c r="E77" i="52"/>
  <c r="E78" i="52"/>
  <c r="E79" i="52"/>
  <c r="E80" i="52"/>
  <c r="E81" i="52"/>
  <c r="E82" i="52"/>
  <c r="E83" i="52"/>
  <c r="E84" i="52"/>
  <c r="E85" i="52"/>
  <c r="E86" i="52"/>
  <c r="E87" i="52"/>
  <c r="E88" i="52"/>
  <c r="E89" i="52"/>
  <c r="E90" i="52"/>
  <c r="E91" i="52"/>
  <c r="E92" i="52"/>
  <c r="E93" i="52"/>
  <c r="E94" i="52"/>
  <c r="E95" i="52"/>
  <c r="E96" i="52"/>
  <c r="E97" i="52"/>
  <c r="E98" i="52"/>
  <c r="E99" i="52"/>
  <c r="E100" i="52"/>
  <c r="E6" i="52"/>
  <c r="P7" i="51"/>
  <c r="P8" i="51" s="1"/>
  <c r="E12" i="51"/>
  <c r="E11" i="51"/>
  <c r="E8" i="51"/>
  <c r="E7" i="51"/>
  <c r="E6" i="51"/>
  <c r="N7" i="49"/>
  <c r="N6" i="49"/>
  <c r="P8" i="48"/>
  <c r="P6" i="48"/>
  <c r="P7" i="48"/>
  <c r="M8" i="48"/>
  <c r="M7" i="48"/>
  <c r="M6" i="48"/>
  <c r="P8" i="47"/>
  <c r="P7" i="46"/>
  <c r="P6" i="46"/>
  <c r="M8" i="46"/>
  <c r="M7" i="46"/>
  <c r="M6" i="46"/>
  <c r="M10" i="43"/>
  <c r="M9" i="43"/>
  <c r="F13" i="43"/>
  <c r="F12" i="43"/>
  <c r="F9" i="43"/>
  <c r="F8" i="43"/>
  <c r="F9" i="42"/>
  <c r="J6" i="42" s="1"/>
  <c r="F7" i="42"/>
  <c r="F8" i="42" s="1"/>
  <c r="M7" i="43"/>
  <c r="M8" i="43" s="1"/>
  <c r="G13" i="43"/>
  <c r="G9" i="43"/>
  <c r="G12" i="43"/>
  <c r="G8" i="43"/>
  <c r="G7" i="43"/>
  <c r="F7" i="43"/>
  <c r="G11" i="42"/>
  <c r="F11" i="42"/>
  <c r="M9" i="42" s="1"/>
  <c r="M10" i="42" s="1"/>
  <c r="N12" i="41"/>
  <c r="N11" i="41"/>
  <c r="N10" i="41"/>
  <c r="N9" i="41"/>
  <c r="M8" i="42"/>
  <c r="M7" i="42"/>
  <c r="G11" i="41"/>
  <c r="F10" i="42" a="1"/>
  <c r="F10" i="42" s="1"/>
  <c r="G10" i="42" a="1"/>
  <c r="G10" i="42" s="1"/>
  <c r="G10" i="41"/>
  <c r="K6" i="41"/>
  <c r="G9" i="42"/>
  <c r="G8" i="42"/>
  <c r="G7" i="42"/>
  <c r="N8" i="41"/>
  <c r="N7" i="41"/>
  <c r="H11" i="41"/>
  <c r="H10" i="41"/>
  <c r="H9" i="41"/>
  <c r="G9" i="41"/>
  <c r="H8" i="41"/>
  <c r="G8" i="41"/>
  <c r="H7" i="41"/>
  <c r="G7" i="41"/>
  <c r="N7" i="40"/>
  <c r="N6" i="40"/>
  <c r="K11" i="40"/>
  <c r="K10" i="40"/>
  <c r="K10" i="39"/>
  <c r="K11" i="39" s="1"/>
  <c r="K9" i="40"/>
  <c r="K8" i="40"/>
  <c r="H11" i="38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6" i="40"/>
  <c r="H8" i="40" s="1"/>
  <c r="H6" i="40"/>
  <c r="K7" i="40"/>
  <c r="K9" i="39"/>
  <c r="K8" i="39"/>
  <c r="K7" i="39"/>
  <c r="H8" i="39"/>
  <c r="H7" i="39"/>
  <c r="H6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0" i="39"/>
  <c r="E21" i="39"/>
  <c r="E22" i="39"/>
  <c r="E23" i="39"/>
  <c r="E24" i="39"/>
  <c r="E25" i="39"/>
  <c r="E26" i="39"/>
  <c r="E27" i="39"/>
  <c r="E28" i="39"/>
  <c r="E29" i="39"/>
  <c r="E30" i="39"/>
  <c r="E31" i="39"/>
  <c r="E32" i="39"/>
  <c r="E33" i="39"/>
  <c r="E34" i="39"/>
  <c r="E35" i="39"/>
  <c r="E36" i="39"/>
  <c r="E37" i="39"/>
  <c r="E38" i="39"/>
  <c r="E39" i="39"/>
  <c r="E40" i="39"/>
  <c r="E41" i="39"/>
  <c r="E42" i="39"/>
  <c r="E43" i="39"/>
  <c r="E44" i="39"/>
  <c r="E45" i="39"/>
  <c r="E46" i="39"/>
  <c r="E47" i="39"/>
  <c r="E48" i="39"/>
  <c r="E49" i="39"/>
  <c r="E50" i="39"/>
  <c r="E51" i="39"/>
  <c r="E52" i="39"/>
  <c r="E53" i="39"/>
  <c r="E54" i="39"/>
  <c r="E55" i="39"/>
  <c r="E56" i="39"/>
  <c r="E57" i="39"/>
  <c r="E58" i="39"/>
  <c r="E59" i="39"/>
  <c r="E60" i="39"/>
  <c r="E61" i="39"/>
  <c r="E62" i="39"/>
  <c r="E63" i="39"/>
  <c r="E64" i="39"/>
  <c r="E65" i="39"/>
  <c r="E66" i="39"/>
  <c r="E67" i="39"/>
  <c r="E68" i="39"/>
  <c r="E69" i="39"/>
  <c r="E70" i="39"/>
  <c r="E71" i="39"/>
  <c r="E72" i="39"/>
  <c r="E73" i="39"/>
  <c r="E74" i="39"/>
  <c r="E75" i="39"/>
  <c r="E76" i="39"/>
  <c r="E77" i="39"/>
  <c r="E78" i="39"/>
  <c r="E79" i="39"/>
  <c r="E80" i="39"/>
  <c r="E81" i="39"/>
  <c r="E82" i="39"/>
  <c r="E83" i="39"/>
  <c r="E84" i="39"/>
  <c r="E85" i="39"/>
  <c r="E86" i="39"/>
  <c r="E87" i="39"/>
  <c r="E88" i="39"/>
  <c r="E89" i="39"/>
  <c r="E90" i="39"/>
  <c r="E91" i="39"/>
  <c r="E92" i="39"/>
  <c r="E93" i="39"/>
  <c r="E94" i="39"/>
  <c r="E95" i="39"/>
  <c r="E96" i="39"/>
  <c r="E97" i="39"/>
  <c r="E98" i="39"/>
  <c r="E99" i="39"/>
  <c r="E100" i="39"/>
  <c r="E6" i="39"/>
  <c r="H11" i="37"/>
  <c r="H10" i="37"/>
  <c r="E12" i="37"/>
  <c r="E11" i="37"/>
  <c r="E8" i="37"/>
  <c r="H7" i="38"/>
  <c r="H8" i="38" s="1"/>
  <c r="H9" i="38" s="1"/>
  <c r="E7" i="38"/>
  <c r="E6" i="38"/>
  <c r="H9" i="37"/>
  <c r="H8" i="37"/>
  <c r="H7" i="37"/>
  <c r="E7" i="37"/>
  <c r="E6" i="37"/>
  <c r="K7" i="36"/>
  <c r="K6" i="36"/>
  <c r="H8" i="36"/>
  <c r="H11" i="35"/>
  <c r="K6" i="35" s="1"/>
  <c r="H7" i="36"/>
  <c r="E8" i="36"/>
  <c r="E7" i="36"/>
  <c r="E6" i="36"/>
  <c r="K7" i="35"/>
  <c r="H8" i="35"/>
  <c r="H7" i="35"/>
  <c r="E8" i="35"/>
  <c r="E7" i="35"/>
  <c r="E6" i="35"/>
  <c r="H7" i="34"/>
  <c r="H8" i="34" s="1"/>
  <c r="E7" i="34"/>
  <c r="E6" i="34"/>
  <c r="K7" i="33"/>
  <c r="K6" i="33"/>
  <c r="H11" i="33"/>
  <c r="H10" i="33"/>
  <c r="H9" i="33"/>
  <c r="H8" i="33"/>
  <c r="H7" i="33"/>
  <c r="E7" i="33"/>
  <c r="E6" i="33"/>
  <c r="H7" i="32"/>
  <c r="K10" i="25"/>
  <c r="K7" i="25"/>
  <c r="H6" i="32"/>
  <c r="H7" i="31"/>
  <c r="H9" i="30"/>
  <c r="H8" i="30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6" i="26"/>
  <c r="H7" i="28"/>
  <c r="E8" i="29"/>
  <c r="H7" i="27"/>
  <c r="H10" i="23"/>
  <c r="L7" i="25"/>
  <c r="L10" i="25" s="1"/>
  <c r="M7" i="25"/>
  <c r="M10" i="25" s="1"/>
  <c r="L8" i="25"/>
  <c r="M8" i="25"/>
  <c r="K8" i="25"/>
  <c r="H7" i="25"/>
  <c r="H7" i="23"/>
  <c r="H6" i="25"/>
  <c r="E7" i="25"/>
  <c r="E6" i="25"/>
  <c r="I10" i="23"/>
  <c r="J10" i="23"/>
  <c r="I7" i="23"/>
  <c r="J7" i="23"/>
  <c r="I8" i="23"/>
  <c r="J8" i="23"/>
  <c r="H8" i="23"/>
  <c r="I7" i="22"/>
  <c r="I8" i="22" s="1"/>
  <c r="K7" i="21"/>
  <c r="K6" i="21"/>
  <c r="H7" i="21"/>
  <c r="H6" i="21"/>
  <c r="F8" i="19"/>
  <c r="G9" i="19" a="1"/>
  <c r="G9" i="19" s="1"/>
  <c r="F9" i="19" a="1"/>
  <c r="F9" i="19" s="1"/>
  <c r="G10" i="19" a="1"/>
  <c r="G10" i="19" s="1"/>
  <c r="F10" i="19" a="1"/>
  <c r="F10" i="19" s="1"/>
  <c r="F12" i="16"/>
  <c r="G8" i="19"/>
  <c r="F9" i="15"/>
  <c r="G7" i="19"/>
  <c r="F7" i="19"/>
  <c r="G7" i="20"/>
  <c r="G8" i="20"/>
  <c r="G9" i="20"/>
  <c r="F9" i="20"/>
  <c r="F8" i="20"/>
  <c r="F7" i="20"/>
  <c r="G8" i="18"/>
  <c r="G7" i="18"/>
  <c r="G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8" i="18"/>
  <c r="D69" i="18"/>
  <c r="D70" i="18"/>
  <c r="D71" i="18"/>
  <c r="D72" i="18"/>
  <c r="D73" i="18"/>
  <c r="D74" i="18"/>
  <c r="D75" i="18"/>
  <c r="D76" i="18"/>
  <c r="D77" i="18"/>
  <c r="D78" i="18"/>
  <c r="D79" i="18"/>
  <c r="D80" i="18"/>
  <c r="D81" i="18"/>
  <c r="D82" i="18"/>
  <c r="D83" i="18"/>
  <c r="D84" i="18"/>
  <c r="D85" i="18"/>
  <c r="D86" i="18"/>
  <c r="D87" i="18"/>
  <c r="D88" i="18"/>
  <c r="D89" i="18"/>
  <c r="D90" i="18"/>
  <c r="D91" i="18"/>
  <c r="D92" i="18"/>
  <c r="D93" i="18"/>
  <c r="D94" i="18"/>
  <c r="D95" i="18"/>
  <c r="D96" i="18"/>
  <c r="D97" i="18"/>
  <c r="D98" i="18"/>
  <c r="D99" i="18"/>
  <c r="D100" i="18"/>
  <c r="D6" i="18"/>
  <c r="K12" i="16"/>
  <c r="J12" i="16"/>
  <c r="K7" i="16" a="1"/>
  <c r="K7" i="16" s="1"/>
  <c r="J7" i="16" a="1"/>
  <c r="J7" i="16" s="1"/>
  <c r="G8" i="16"/>
  <c r="G10" i="16"/>
  <c r="F10" i="16"/>
  <c r="F8" i="16"/>
  <c r="G9" i="16"/>
  <c r="F9" i="16"/>
  <c r="G11" i="16"/>
  <c r="F11" i="16"/>
  <c r="G7" i="16"/>
  <c r="F7" i="16"/>
  <c r="G9" i="15"/>
  <c r="G8" i="15"/>
  <c r="F8" i="15"/>
  <c r="G7" i="15"/>
  <c r="F7" i="15"/>
  <c r="H11" i="14"/>
  <c r="H10" i="14"/>
  <c r="H9" i="14"/>
  <c r="H8" i="14"/>
  <c r="G11" i="14"/>
  <c r="G10" i="14"/>
  <c r="G9" i="14"/>
  <c r="G8" i="14"/>
  <c r="H7" i="14"/>
  <c r="G7" i="14"/>
  <c r="E8" i="13"/>
  <c r="N9" i="11" a="1"/>
  <c r="N9" i="11" s="1"/>
  <c r="M9" i="11" a="1"/>
  <c r="M9" i="11" s="1"/>
  <c r="M8" i="11" a="1"/>
  <c r="M8" i="11" s="1"/>
  <c r="N8" i="11" a="1"/>
  <c r="N8" i="11" s="1"/>
  <c r="M7" i="11" a="1"/>
  <c r="M7" i="11" s="1"/>
  <c r="J9" i="11" a="1"/>
  <c r="J9" i="11" s="1"/>
  <c r="I9" i="11" a="1"/>
  <c r="I9" i="11" s="1"/>
  <c r="I8" i="11" a="1"/>
  <c r="I8" i="11" s="1"/>
  <c r="J8" i="11" a="1"/>
  <c r="J8" i="11" s="1"/>
  <c r="J7" i="11"/>
  <c r="I7" i="11"/>
  <c r="F8" i="11"/>
  <c r="F7" i="11"/>
  <c r="F6" i="11"/>
  <c r="J6" i="5" a="1"/>
  <c r="J6" i="5" s="1"/>
  <c r="M6" i="4" a="1"/>
  <c r="M6" i="4" s="1"/>
  <c r="N6" i="4" s="1" a="1"/>
  <c r="N6" i="4" s="1"/>
  <c r="L6" i="4" a="1"/>
  <c r="L6" i="4" s="1"/>
  <c r="E6" i="13"/>
  <c r="E7" i="13"/>
  <c r="U6" i="53" l="1"/>
  <c r="J6" i="43"/>
  <c r="M11" i="42"/>
  <c r="M12" i="42"/>
  <c r="N6" i="39"/>
  <c r="N7" i="39"/>
  <c r="H7" i="40"/>
  <c r="K7" i="38"/>
  <c r="K6" i="38"/>
  <c r="E8" i="38"/>
  <c r="H10" i="38" s="1"/>
  <c r="E11" i="38"/>
  <c r="E12" i="38"/>
  <c r="K7" i="37"/>
  <c r="K6" i="37"/>
  <c r="K7" i="34"/>
  <c r="K6" i="34"/>
  <c r="H8" i="32"/>
  <c r="G12" i="16"/>
  <c r="L10" i="66"/>
  <c r="L8" i="66"/>
  <c r="L7" i="66" a="1"/>
  <c r="L7" i="66" s="1"/>
  <c r="I7" i="66"/>
  <c r="L6" i="66" a="1"/>
  <c r="L6" i="66" s="1"/>
  <c r="L9" i="66" s="1"/>
  <c r="I6" i="66"/>
  <c r="F6" i="66"/>
  <c r="M11" i="43" l="1"/>
  <c r="P7" i="43" s="1"/>
  <c r="P7" i="42"/>
  <c r="P6" i="42"/>
  <c r="Q7" i="41"/>
  <c r="Q6" i="41"/>
  <c r="L12" i="66"/>
  <c r="L13" i="66" s="1"/>
  <c r="L14" i="66" s="1"/>
  <c r="P6" i="43" l="1"/>
  <c r="F6" i="63"/>
  <c r="G6" i="59"/>
  <c r="G7" i="59"/>
  <c r="G8" i="59"/>
  <c r="G9" i="59"/>
  <c r="G10" i="59"/>
  <c r="G11" i="59"/>
  <c r="G12" i="59"/>
  <c r="G13" i="59"/>
  <c r="G14" i="59"/>
  <c r="G15" i="59"/>
  <c r="G16" i="59"/>
  <c r="G17" i="59"/>
  <c r="G18" i="59"/>
  <c r="G19" i="59"/>
  <c r="G20" i="59"/>
  <c r="G21" i="59"/>
  <c r="G22" i="59"/>
  <c r="G23" i="59"/>
  <c r="G24" i="59"/>
  <c r="G25" i="59"/>
  <c r="G26" i="59"/>
  <c r="G27" i="59"/>
  <c r="G28" i="59"/>
  <c r="G29" i="59"/>
  <c r="G30" i="59"/>
  <c r="G31" i="59"/>
  <c r="G32" i="59"/>
  <c r="G33" i="59"/>
  <c r="G34" i="59"/>
  <c r="G35" i="59"/>
  <c r="G36" i="59"/>
  <c r="G37" i="59"/>
  <c r="G38" i="59"/>
  <c r="G39" i="59"/>
  <c r="G40" i="59"/>
  <c r="G41" i="59"/>
  <c r="G42" i="59"/>
  <c r="G43" i="59"/>
  <c r="G44" i="59"/>
  <c r="G45" i="59"/>
  <c r="G46" i="59"/>
  <c r="G47" i="59"/>
  <c r="G48" i="59"/>
  <c r="G49" i="59"/>
  <c r="G50" i="59"/>
  <c r="G51" i="59"/>
  <c r="G52" i="59"/>
  <c r="G53" i="59"/>
  <c r="G54" i="59"/>
  <c r="G55" i="59"/>
  <c r="G56" i="59"/>
  <c r="G57" i="59"/>
  <c r="G58" i="59"/>
  <c r="G59" i="59"/>
  <c r="G60" i="59"/>
  <c r="G61" i="59"/>
  <c r="G62" i="59"/>
  <c r="G63" i="59"/>
  <c r="G64" i="59"/>
  <c r="G65" i="59"/>
  <c r="G66" i="59"/>
  <c r="G67" i="59"/>
  <c r="G68" i="59"/>
  <c r="G69" i="59"/>
  <c r="G70" i="59"/>
  <c r="G71" i="59"/>
  <c r="G72" i="59"/>
  <c r="G73" i="59"/>
  <c r="G74" i="59"/>
  <c r="G75" i="59"/>
  <c r="G76" i="59"/>
  <c r="G77" i="59"/>
  <c r="G78" i="59"/>
  <c r="G79" i="59"/>
  <c r="G80" i="59"/>
  <c r="G81" i="59"/>
  <c r="G82" i="59"/>
  <c r="G83" i="59"/>
  <c r="G84" i="59"/>
  <c r="G85" i="59"/>
  <c r="G86" i="59"/>
  <c r="G87" i="59"/>
  <c r="G88" i="59"/>
  <c r="G89" i="59"/>
  <c r="G90" i="59"/>
  <c r="G91" i="59"/>
  <c r="G92" i="59"/>
  <c r="G93" i="59"/>
  <c r="G94" i="59"/>
  <c r="G95" i="59"/>
  <c r="G96" i="59"/>
  <c r="G97" i="59"/>
  <c r="G98" i="59"/>
  <c r="G99" i="59"/>
  <c r="G100" i="59"/>
  <c r="P6" i="47" l="1"/>
  <c r="P7" i="47" s="1"/>
  <c r="M6" i="47"/>
  <c r="M7" i="47"/>
  <c r="M8" i="47"/>
  <c r="M8" i="69"/>
  <c r="P6" i="69" s="1"/>
  <c r="M7" i="69"/>
  <c r="M6" i="69"/>
  <c r="P7" i="69" l="1"/>
  <c r="P8" i="69" s="1"/>
  <c r="E6" i="26" l="1"/>
  <c r="O10" i="64" l="1"/>
  <c r="O8" i="65"/>
  <c r="O7" i="65" a="1"/>
  <c r="O7" i="65" s="1"/>
  <c r="L7" i="65"/>
  <c r="I7" i="65"/>
  <c r="O6" i="65" a="1"/>
  <c r="O6" i="65" s="1"/>
  <c r="I6" i="65"/>
  <c r="F6" i="65"/>
  <c r="O8" i="64"/>
  <c r="O7" i="64" a="1"/>
  <c r="O7" i="64" s="1"/>
  <c r="L7" i="64"/>
  <c r="I7" i="64"/>
  <c r="O6" i="64" a="1"/>
  <c r="O6" i="64" s="1"/>
  <c r="O9" i="64" s="1"/>
  <c r="I6" i="64"/>
  <c r="F6" i="64"/>
  <c r="O8" i="63"/>
  <c r="O7" i="63" a="1"/>
  <c r="O7" i="63" s="1"/>
  <c r="L7" i="63"/>
  <c r="I7" i="63"/>
  <c r="O6" i="63" a="1"/>
  <c r="O6" i="63" s="1"/>
  <c r="I6" i="63"/>
  <c r="L7" i="61"/>
  <c r="I7" i="61"/>
  <c r="I6" i="61"/>
  <c r="F6" i="61"/>
  <c r="F6" i="58"/>
  <c r="F6" i="57"/>
  <c r="L7" i="62" l="1"/>
  <c r="I7" i="62"/>
  <c r="F6" i="62"/>
  <c r="I6" i="62"/>
  <c r="E7" i="32" l="1"/>
  <c r="E6" i="32"/>
  <c r="E7" i="31"/>
  <c r="E6" i="31"/>
  <c r="E7" i="30"/>
  <c r="E6" i="30"/>
  <c r="E7" i="27"/>
  <c r="E6" i="27"/>
  <c r="E7" i="28"/>
  <c r="E6" i="28"/>
  <c r="E7" i="26"/>
  <c r="E6" i="23"/>
  <c r="E7" i="23"/>
  <c r="F6" i="22"/>
  <c r="F7" i="22"/>
  <c r="I7" i="5" l="1"/>
  <c r="I8" i="5"/>
  <c r="I9" i="5"/>
  <c r="I10" i="5"/>
  <c r="I11" i="5"/>
  <c r="I12" i="5"/>
  <c r="I13" i="5"/>
  <c r="I14" i="5"/>
  <c r="I15" i="5"/>
  <c r="I16" i="5"/>
  <c r="I17" i="5"/>
  <c r="I18" i="5"/>
  <c r="I19" i="5"/>
  <c r="I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<sst xmlns="http://schemas.openxmlformats.org/spreadsheetml/2006/main" count="2400" uniqueCount="367">
  <si>
    <t>DESCRIPTIVE STATISTICS</t>
  </si>
  <si>
    <t>Topic</t>
  </si>
  <si>
    <t>Categorical Frequency Distributions</t>
  </si>
  <si>
    <t>Numerical Frequency Distributions</t>
  </si>
  <si>
    <t>Histograms</t>
  </si>
  <si>
    <t>Mean, Median, Mode</t>
  </si>
  <si>
    <t>Skew</t>
  </si>
  <si>
    <t>Min, Max, and Range</t>
  </si>
  <si>
    <t>Quartiles &amp; Interquartile Range</t>
  </si>
  <si>
    <t>Box &amp; Whisker Plots</t>
  </si>
  <si>
    <t>Variance &amp; Standard Deviation</t>
  </si>
  <si>
    <t>LINK</t>
  </si>
  <si>
    <t>Status</t>
  </si>
  <si>
    <t>Placed</t>
  </si>
  <si>
    <t>Not Placed</t>
  </si>
  <si>
    <t>Frequency</t>
  </si>
  <si>
    <t>Relative Frequency</t>
  </si>
  <si>
    <t>Grand Total</t>
  </si>
  <si>
    <t>Graduates:</t>
  </si>
  <si>
    <t>PROBABILITY DISTRIBUTIONS</t>
  </si>
  <si>
    <t>Student ID</t>
  </si>
  <si>
    <t>Work Experience</t>
  </si>
  <si>
    <t>Employability (Before)</t>
  </si>
  <si>
    <t>Employability (After)</t>
  </si>
  <si>
    <t>Business</t>
  </si>
  <si>
    <t>No</t>
  </si>
  <si>
    <t>Other</t>
  </si>
  <si>
    <t>Yes</t>
  </si>
  <si>
    <t>ASSIGNMENT: Frequency Distributions</t>
  </si>
  <si>
    <t>Link</t>
  </si>
  <si>
    <t>ASSIGNMENT: Central Tendency</t>
  </si>
  <si>
    <t>ASSIGNMENT: Variability</t>
  </si>
  <si>
    <t>Max:</t>
  </si>
  <si>
    <t>Min:</t>
  </si>
  <si>
    <t>Upper Limit</t>
  </si>
  <si>
    <t>Annual Salary</t>
  </si>
  <si>
    <t>Undergrad Degree</t>
  </si>
  <si>
    <t>Annual Salary (Thousands of USD)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</si>
  <si>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</si>
  <si>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</si>
  <si>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</si>
  <si>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</si>
  <si>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</si>
  <si>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</si>
  <si>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</si>
  <si>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</si>
  <si>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Mean:</t>
  </si>
  <si>
    <t>Median:</t>
  </si>
  <si>
    <t>Mode:</t>
  </si>
  <si>
    <t>Skew:</t>
  </si>
  <si>
    <t>Mode(s):</t>
  </si>
  <si>
    <t>SALARY STATISTICS</t>
  </si>
  <si>
    <t>Pivot Table</t>
  </si>
  <si>
    <t>Dynamic Excel Formulas</t>
  </si>
  <si>
    <t>Legacy Excel Formulas</t>
  </si>
  <si>
    <t>Column Chart</t>
  </si>
  <si>
    <t>Histogram</t>
  </si>
  <si>
    <t>SALARY STATISTICS BY WORK EXPERIENCE</t>
  </si>
  <si>
    <t>Business Undergrads</t>
  </si>
  <si>
    <t>Other Undergrads</t>
  </si>
  <si>
    <t>MBA GRADE STATISTICS BY UNDERGRAD</t>
  </si>
  <si>
    <t>Before</t>
  </si>
  <si>
    <t>After</t>
  </si>
  <si>
    <t>Range:</t>
  </si>
  <si>
    <t>EMPLOYABILITY SCORES</t>
  </si>
  <si>
    <t>Q1:</t>
  </si>
  <si>
    <t>Q3:</t>
  </si>
  <si>
    <t>IQR:</t>
  </si>
  <si>
    <t>Variance:</t>
  </si>
  <si>
    <t>Standard Deviation:</t>
  </si>
  <si>
    <t>Std Dev:</t>
  </si>
  <si>
    <t>Sample Size:</t>
  </si>
  <si>
    <t>Engineering</t>
  </si>
  <si>
    <t>Computer Science</t>
  </si>
  <si>
    <t>Finance</t>
  </si>
  <si>
    <t>Art</t>
  </si>
  <si>
    <t>Undergrad Grade</t>
  </si>
  <si>
    <t>MBA Grade</t>
  </si>
  <si>
    <t>Coefficient of Variation:</t>
  </si>
  <si>
    <t>Employability</t>
  </si>
  <si>
    <t>VARIABILITY COMPARISON</t>
  </si>
  <si>
    <t>Coefficient of Variation</t>
  </si>
  <si>
    <t>Z-Scores</t>
  </si>
  <si>
    <t>Empirical Rule</t>
  </si>
  <si>
    <t>Normal Distribution</t>
  </si>
  <si>
    <t>MEAN = MEDIAN (?)</t>
  </si>
  <si>
    <t>NORMAL DISTRIBUTION</t>
  </si>
  <si>
    <t>Z-SCORE CALCULATOR</t>
  </si>
  <si>
    <t>Student ID:</t>
  </si>
  <si>
    <t>Grade:</t>
  </si>
  <si>
    <t>Z-Score:</t>
  </si>
  <si>
    <t>Std Dev from the Mean:</t>
  </si>
  <si>
    <t>Lower:</t>
  </si>
  <si>
    <t>Upper:</t>
  </si>
  <si>
    <t>Empirical Rule:</t>
  </si>
  <si>
    <t>Sample:</t>
  </si>
  <si>
    <t>EMPIRICAL RULE</t>
  </si>
  <si>
    <t>ASSIGNMENT: Normal Distributions</t>
  </si>
  <si>
    <t>Plotting the Normal Curve</t>
  </si>
  <si>
    <t>Grade</t>
  </si>
  <si>
    <t>Probability Density</t>
  </si>
  <si>
    <t>ASSIGNMENT: Calculating Probabilities</t>
  </si>
  <si>
    <t>Calculating Probabilities with NORM.DIST</t>
  </si>
  <si>
    <t>X:</t>
  </si>
  <si>
    <t>P(MBA Grade&gt;=90):</t>
  </si>
  <si>
    <t>Cumulative Probability</t>
  </si>
  <si>
    <t>Calculating Probabilities with NORM.S.DIST</t>
  </si>
  <si>
    <t>Z lower:</t>
  </si>
  <si>
    <t>Z upper:</t>
  </si>
  <si>
    <t>Estimating Values with NORM.INV</t>
  </si>
  <si>
    <t>Estimating Z-Scores with NORM.S.INV</t>
  </si>
  <si>
    <t>Lower Probability:</t>
  </si>
  <si>
    <t>Upper Probability:</t>
  </si>
  <si>
    <t>MBA Grade (Upper):</t>
  </si>
  <si>
    <t>MBA Grade (Lower):</t>
  </si>
  <si>
    <t>Probability:</t>
  </si>
  <si>
    <t>MBA Grade:</t>
  </si>
  <si>
    <t>ASSIGNMENT: Estimating Values</t>
  </si>
  <si>
    <t>What are the annual salaries of our placed graduates?</t>
  </si>
  <si>
    <t>What were the final grade averages for our MBA graduates?</t>
  </si>
  <si>
    <t>What is the average salary for our current graduates? Does it vary by work experience?</t>
  </si>
  <si>
    <t>Are the salaries for our graduates centered around the mean?</t>
  </si>
  <si>
    <t>Did Business undergrads achieve higher MBA grades than the rest?</t>
  </si>
  <si>
    <t>How does the total spread of the graduates' employability scores compare before and after the MBA program?</t>
  </si>
  <si>
    <t>Where did most graduates score in their employability tests before and after the MBA program?</t>
  </si>
  <si>
    <t>What varies more on average for our graduates, final grade averages or employability scores?</t>
  </si>
  <si>
    <t>Are MBA grades more dispersed for Business undergrads than the rest?</t>
  </si>
  <si>
    <t>What was the final grade distribution for our graduates? Does it follow the bell shape?</t>
  </si>
  <si>
    <t>Most students get grades in which intervals?</t>
  </si>
  <si>
    <t xml:space="preserve"> </t>
  </si>
  <si>
    <t>What is the probability of a graduate getting a final grade of 70 or lower?</t>
  </si>
  <si>
    <t>P(-1&lt;=Z&lt;=1):</t>
  </si>
  <si>
    <t>What is the probability of a graduate getting a final grade of 90 or higher?</t>
  </si>
  <si>
    <t>What does the normal distribution for the MBA grades look like?</t>
  </si>
  <si>
    <t>The middle 50% of graduates will get grades in what range?</t>
  </si>
  <si>
    <t>How many standard deviations away from the average MBA grade are the bottom 20% of graduates?</t>
  </si>
  <si>
    <t>What grade do graduates need to score in the top 10% of the class?</t>
  </si>
  <si>
    <t>CONFIDENCE INTERVALS</t>
  </si>
  <si>
    <t>SAMPLE DATA</t>
  </si>
  <si>
    <t>POPULATION DATA</t>
  </si>
  <si>
    <t>MARGIN OF ERROR</t>
  </si>
  <si>
    <t>Confidence Level:</t>
  </si>
  <si>
    <t>Alpha:</t>
  </si>
  <si>
    <t>Alpha/2:</t>
  </si>
  <si>
    <t>What is the mean employability score we can expect from our future graduates, with 90% confidence?</t>
  </si>
  <si>
    <t>Standard Error:</t>
  </si>
  <si>
    <t>CONFIDENCE INTERVAL</t>
  </si>
  <si>
    <t>Lower Limit:</t>
  </si>
  <si>
    <t>Upper Limit:</t>
  </si>
  <si>
    <t>Margin of Error:</t>
  </si>
  <si>
    <t>What is the mean annual salary we can expect from our future graduates?</t>
  </si>
  <si>
    <t>Critical Value (Z):</t>
  </si>
  <si>
    <t>Margin of Error &amp; Confidence Intervals</t>
  </si>
  <si>
    <t>ASSIGNMENT: Confidence Intervals (T Distribution)</t>
  </si>
  <si>
    <t>Confidence Intervals with the T Distribution</t>
  </si>
  <si>
    <t>Critical Value (T):</t>
  </si>
  <si>
    <t>Confidence Intervals for Proportions</t>
  </si>
  <si>
    <t>p:</t>
  </si>
  <si>
    <t>1-p:</t>
  </si>
  <si>
    <t>What percentage of students can we expect to have previous work experience?</t>
  </si>
  <si>
    <t>Confidence Interval for Proportions</t>
  </si>
  <si>
    <t>What percentage of graduates can we expect to land a job by 2 months of graduating?</t>
  </si>
  <si>
    <t>CLT TESTS</t>
  </si>
  <si>
    <t>Is p*n&gt;5?</t>
  </si>
  <si>
    <t>Is (1-p)*n&gt;5?:</t>
  </si>
  <si>
    <t>Dependent Samples</t>
  </si>
  <si>
    <t>ASSIGNMENT: Confidence Intervals (Dependent Samples)</t>
  </si>
  <si>
    <t>Independent Samples</t>
  </si>
  <si>
    <t>ASSIGNMENT: Confidence Intervals (Independent Samples)</t>
  </si>
  <si>
    <t>How much will student MBA Grades change on average compared to their Undergrad Grades?</t>
  </si>
  <si>
    <t>Confidence Interval for Dependent Samples</t>
  </si>
  <si>
    <t>Difference</t>
  </si>
  <si>
    <t>How much will Employability scores change on average after students graduate?</t>
  </si>
  <si>
    <t>Do Business undergrads achieve higher MBA grades on average than the rest?</t>
  </si>
  <si>
    <t>Confidence Intervals for Independent Samples</t>
  </si>
  <si>
    <t>Sample Size (n):</t>
  </si>
  <si>
    <t>Mean (x̄):</t>
  </si>
  <si>
    <r>
      <t>Variance (s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):</t>
    </r>
  </si>
  <si>
    <t>POINT ESTIMATE</t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</si>
  <si>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-x̄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</si>
  <si>
    <t>Degrees of Freedom:</t>
  </si>
  <si>
    <t>What's the difference in employability scores between graduates with and without jobs?</t>
  </si>
  <si>
    <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/n:</t>
    </r>
  </si>
  <si>
    <t>n-1:</t>
  </si>
  <si>
    <t>Difference Between Population Proportions</t>
  </si>
  <si>
    <t>Confidence Intervals for Difference in Proportions</t>
  </si>
  <si>
    <t>Are graduates with previous work experience placed at a higher rate?</t>
  </si>
  <si>
    <t>p(Placed):</t>
  </si>
  <si>
    <t>HYPOTHESIS TESTS</t>
  </si>
  <si>
    <t>ASSIGNMENT: Confidence Intervals (Proportions)</t>
  </si>
  <si>
    <t>Null &amp; Alternative Hypothesis</t>
  </si>
  <si>
    <t>Significance Level</t>
  </si>
  <si>
    <t>Test Statistic</t>
  </si>
  <si>
    <t>P-Value</t>
  </si>
  <si>
    <t>Ho:</t>
  </si>
  <si>
    <t>Ha:</t>
  </si>
  <si>
    <t>μ</t>
  </si>
  <si>
    <t>=</t>
  </si>
  <si>
    <t>HYPOTHESES</t>
  </si>
  <si>
    <t>≠</t>
  </si>
  <si>
    <t>SIGNIFICANCE LEVEL</t>
  </si>
  <si>
    <t>Test Statistic (t):</t>
  </si>
  <si>
    <t>CONCLUSION</t>
  </si>
  <si>
    <t>HYPOTHESIS TEST</t>
  </si>
  <si>
    <t>We're currently stating that our graduates will achieve average employability scores of 300, is that true based on our first graduating class? (I'd be willing to be wrong 1 in 10 times)</t>
  </si>
  <si>
    <t>Two Tailed Hypothesis Test</t>
  </si>
  <si>
    <t>P-Value:</t>
  </si>
  <si>
    <t>One Tail Hypothesis Tests</t>
  </si>
  <si>
    <t>≤</t>
  </si>
  <si>
    <t>&gt;</t>
  </si>
  <si>
    <t>One Tail Hypothesis Test</t>
  </si>
  <si>
    <t>Test Statistic (Z):</t>
  </si>
  <si>
    <t>p</t>
  </si>
  <si>
    <t>Can we be 95% sure that over half of our placed graduates earn six digits?</t>
  </si>
  <si>
    <t>Hypothesis Tests for Dependent Samples</t>
  </si>
  <si>
    <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-μ</t>
    </r>
    <r>
      <rPr>
        <vertAlign val="subscript"/>
        <sz val="11"/>
        <color theme="1"/>
        <rFont val="Calibri"/>
        <family val="2"/>
      </rPr>
      <t>2</t>
    </r>
  </si>
  <si>
    <t>Hypothesis Tests for Independent Samples</t>
  </si>
  <si>
    <t>Can we prove with 99% certainty that graduates with previous work experience earn more on average than those without?</t>
  </si>
  <si>
    <t>REGRESSION ANALYSIS</t>
  </si>
  <si>
    <t>ASSINGMENT: Hypothesis Tests (Dependent Samples)</t>
  </si>
  <si>
    <t>ASSIGNMENT: Hypothesis Tests (Independent Samples)</t>
  </si>
  <si>
    <t>ASSIGNMENT: Hypothesis Tests (Proportions)</t>
  </si>
  <si>
    <t>ASSIGNMENT: Hypothesis Tests (Two Tail)</t>
  </si>
  <si>
    <t>ASSIGNMENT: Confidence Intervals (Z Distribution)</t>
  </si>
  <si>
    <t>Is a student's MBA Grade related to their Undergrad Grade?</t>
  </si>
  <si>
    <t>Linear Relationships &amp; Scatterplots</t>
  </si>
  <si>
    <t>Correlation</t>
  </si>
  <si>
    <t>ASSIGNMENT: Linear Relationships</t>
  </si>
  <si>
    <t>LINEAR RELATIONSHIP</t>
  </si>
  <si>
    <t>Correlation:</t>
  </si>
  <si>
    <t>Undergrad Grade:</t>
  </si>
  <si>
    <t>LINEAR RELATIONSHIPS</t>
  </si>
  <si>
    <t>Linear Relationships</t>
  </si>
  <si>
    <t>Are any variables related to the Annual Salary?</t>
  </si>
  <si>
    <t>Before:</t>
  </si>
  <si>
    <t>After:</t>
  </si>
  <si>
    <t>Linear Regression</t>
  </si>
  <si>
    <t>Predictions with Excel's Regression Functions</t>
  </si>
  <si>
    <t>Y-Intercept:</t>
  </si>
  <si>
    <t>Slope:</t>
  </si>
  <si>
    <t>PREDICTION</t>
  </si>
  <si>
    <t>REGRESSION MODEL</t>
  </si>
  <si>
    <t>Employability Improvement</t>
  </si>
  <si>
    <t>Is a student's employability score after graduating related to their score before graduating? If so, can we model that relationship?</t>
  </si>
  <si>
    <t>Can we predict a student's employability score after the program by using their employability score before the program?</t>
  </si>
  <si>
    <t>Can we use a variable to predict a student's employability improvement?</t>
  </si>
  <si>
    <t>Simple Linear Regression</t>
  </si>
  <si>
    <t>MODEL EVALUATION</t>
  </si>
  <si>
    <t>SSE:</t>
  </si>
  <si>
    <t>SST:</t>
  </si>
  <si>
    <t>R-Squared:</t>
  </si>
  <si>
    <t>Test Statistic (F):</t>
  </si>
  <si>
    <t>MSR:</t>
  </si>
  <si>
    <t>MSE:</t>
  </si>
  <si>
    <t>Improvement:</t>
  </si>
  <si>
    <t>ASSIGNMENT: Simple Linear Regression</t>
  </si>
  <si>
    <t>R-Squared</t>
  </si>
  <si>
    <t>Standard Error</t>
  </si>
  <si>
    <t>Homoskedasticity</t>
  </si>
  <si>
    <t>Hypothesis Test</t>
  </si>
  <si>
    <t>ASSIGNMENT: Model Evaluation</t>
  </si>
  <si>
    <t>Linear Regression (Analysis ToolPak)</t>
  </si>
  <si>
    <t>How much better is the estimate from our regression model that our mean model?</t>
  </si>
  <si>
    <t>How much is our prediction off on average?</t>
  </si>
  <si>
    <t>Does the model apply for all employability scores?</t>
  </si>
  <si>
    <t>Linear Regression (Excel's Analysis ToolPak)</t>
  </si>
  <si>
    <t>Multiple Linear Regression</t>
  </si>
  <si>
    <t>What proportion of our graduates were placed within 2 months of graduation?</t>
  </si>
  <si>
    <t>75-90</t>
  </si>
  <si>
    <t>90-105</t>
  </si>
  <si>
    <t>105-120</t>
  </si>
  <si>
    <t>120-135</t>
  </si>
  <si>
    <t>135-150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</si>
  <si>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</si>
  <si>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</si>
  <si>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</si>
  <si>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</si>
  <si>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</si>
  <si>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</si>
  <si>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</si>
  <si>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</si>
  <si>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270-285</t>
  </si>
  <si>
    <t>285-300</t>
  </si>
  <si>
    <t>300-315</t>
  </si>
  <si>
    <t>315-330</t>
  </si>
  <si>
    <t>330-345</t>
  </si>
  <si>
    <t>Frequency Distributions</t>
  </si>
  <si>
    <t>Measures of Central Tendency</t>
  </si>
  <si>
    <t>Interquartile Range &amp; Five Number Summary</t>
  </si>
  <si>
    <t>Measures of Variability</t>
  </si>
  <si>
    <t>How many standard deviations away from the average is this student's MBA grade?</t>
  </si>
  <si>
    <t>Normal Distributions</t>
  </si>
  <si>
    <r>
      <t>P(MBA Grade</t>
    </r>
    <r>
      <rPr>
        <sz val="11"/>
        <color theme="1"/>
        <rFont val="Calibri"/>
        <family val="2"/>
      </rPr>
      <t>≤</t>
    </r>
    <r>
      <rPr>
        <i/>
        <sz val="11"/>
        <color theme="1"/>
        <rFont val="Calibri"/>
        <family val="2"/>
        <scheme val="minor"/>
      </rPr>
      <t>70):</t>
    </r>
  </si>
  <si>
    <t>PROBABILITY CALCULATOR</t>
  </si>
  <si>
    <t>Calculating Probabilities with the Standard Normal Distribution</t>
  </si>
  <si>
    <t>Calculating Probabilities with the Normal Distribution</t>
  </si>
  <si>
    <t>What is the probability of a graduate getting a final grade 1 standard deviation away from the mean at the most?</t>
  </si>
  <si>
    <t>Normal Distribution Curve</t>
  </si>
  <si>
    <t>VALUE ESTIMATES</t>
  </si>
  <si>
    <t>Value Estimates for the Normal Distribution</t>
  </si>
  <si>
    <t>Z-Score Estimates for the Standard Normal Distribution</t>
  </si>
  <si>
    <t>Z-SCORE ESTIMATE</t>
  </si>
  <si>
    <t>Estimates for the Normal Distribution</t>
  </si>
  <si>
    <t>Confidence Intervals - σ known</t>
  </si>
  <si>
    <t>Confidence Intervals - σ unknown</t>
  </si>
  <si>
    <t>Confidence Intervals for Dependent Samples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</si>
  <si>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-p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:  </t>
    </r>
  </si>
  <si>
    <t>Is p*n&gt;5?:</t>
  </si>
  <si>
    <t>Conclusion</t>
  </si>
  <si>
    <t>Is there less than an 20% chance of 80 being the real MBA grade average with the current curriculum?</t>
  </si>
  <si>
    <t>≥</t>
  </si>
  <si>
    <t>&lt;</t>
  </si>
  <si>
    <t>We're assuming average employability scores of 300 from our graduates… but are they higher than 300 for placed graduates? (let's accept a 15% chance of type I error)</t>
  </si>
  <si>
    <t>Are we ok with assuming that student's employability scores are improving by an average of 50 points after the MBA program?</t>
  </si>
  <si>
    <t>x:</t>
  </si>
  <si>
    <t>Are we at least 95% sure that this isn't just random chance?</t>
  </si>
  <si>
    <t>On average, how much do the improvements in employability scores after the program vary from student to student?</t>
  </si>
  <si>
    <t>EMPLOYABILITY IMPROVEMENT</t>
  </si>
  <si>
    <t>90-110</t>
  </si>
  <si>
    <t>110-130</t>
  </si>
  <si>
    <t>130-150</t>
  </si>
  <si>
    <t>150-170</t>
  </si>
  <si>
    <t>170-190</t>
  </si>
  <si>
    <t>190-210</t>
  </si>
  <si>
    <t>250-270</t>
  </si>
  <si>
    <t>330-350</t>
  </si>
  <si>
    <t>70-90</t>
  </si>
  <si>
    <t>Cumulative Relative Frequency</t>
  </si>
  <si>
    <t>Grades</t>
  </si>
  <si>
    <t># of Students</t>
  </si>
  <si>
    <t>Do our graduates' annual salaries follow a normal distribution? NO</t>
  </si>
  <si>
    <t>This is the emperical rule that says 68% of value live 1 STA DIV away from the mean</t>
  </si>
  <si>
    <t>&lt;&gt;</t>
  </si>
  <si>
    <t>Since p&gt;a , we don’t have sufficient evidence to prove that the average employability scores are any different 300---We can keep stating the same average in our communications, keeping in mind that there is a 10% chance that we're wrong!</t>
  </si>
  <si>
    <t>Since p&gt;a, we don’t have sufficient evidence to prove that the average MBA grades are any different than 80. ---- With the 20% significance level we should stick with the current curriculum!</t>
  </si>
  <si>
    <t>Since p&lt;a , we have sufficient evidence to prove that the average employability scores for placed graduates are greater than 300. ----- We should use this as a target, especially sincewe estimated that our program improves scores bt at least 41 points on average.</t>
  </si>
  <si>
    <t>We have sufficient evidence to prove that the proportion of placed graduates that earn at least $100k is greater than 50% ---- Lets get that article published ! (Just make sure that state that we used a significance level of 5% somewhere in the fine print)</t>
  </si>
  <si>
    <t>Since p&gt;a , we don’t have sufficient evidence to proce that the average improvement in employability scores is lower than 50. --- Lets keep using that number!</t>
  </si>
  <si>
    <t>Since p&gt;a we don’t have sufficient evidence to prove that graduates with previous work experience earn more money. ---- No need to filter our applicants!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</si>
  <si>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</si>
  <si>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</si>
  <si>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</si>
  <si>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</si>
  <si>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</si>
  <si>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</si>
  <si>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</si>
  <si>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</si>
  <si>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</si>
  <si>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</si>
  <si>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</si>
  <si>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</si>
  <si>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</si>
  <si>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</si>
  <si>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</si>
  <si>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</si>
  <si>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</si>
  <si>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</si>
  <si>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</si>
  <si>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</si>
  <si>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</si>
  <si>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</si>
  <si>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</si>
  <si>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</si>
  <si>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</si>
  <si>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</si>
  <si>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276</t>
  </si>
  <si>
    <t>Predicted Employability (After)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</si>
</sst>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164" formatCode="_(@"/>
    <numFmt numFmtId="165" formatCode="&quot;$&quot;#,##0"/>
    <numFmt numFmtId="166" formatCode="0.0"/>
    <numFmt numFmtId="167" formatCode="0.000"/>
    <numFmt numFmtId="168" formatCode="#,##0.0"/>
    <numFmt numFmtId="169" formatCode="0.0%"/>
    <numFmt numFmtId="170" formatCode="0.0000"/>
    <numFmt numFmtId="171" formatCode="#,##0.0000"/>
    <numFmt numFmtId="172" formatCode="&quot;$&quot;#,##0.00"/>
    <numFmt numFmtId="173" formatCode="0.00000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rgb="FF59595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0" xfId="0" applyFont="1"/>
    <xf numFmtId="0" fontId="7" fillId="4" borderId="1" xfId="2" applyFill="1" applyBorder="1" applyAlignment="1">
      <alignment horizontal="center" vertical="center"/>
    </xf>
    <xf numFmtId="164" fontId="0" fillId="4" borderId="1" xfId="0" applyNumberFormat="1" applyFill="1" applyBorder="1" applyAlignment="1">
      <alignment vertical="center"/>
    </xf>
    <xf numFmtId="6" fontId="0" fillId="0" borderId="0" xfId="0" applyNumberFormat="1"/>
    <xf numFmtId="0" fontId="3" fillId="5" borderId="2" xfId="0" applyFont="1" applyFill="1" applyBorder="1"/>
    <xf numFmtId="0" fontId="0" fillId="0" borderId="2" xfId="0" applyBorder="1"/>
    <xf numFmtId="0" fontId="0" fillId="0" borderId="0" xfId="0" pivotButton="1"/>
    <xf numFmtId="0" fontId="3" fillId="7" borderId="0" xfId="0" applyFont="1" applyFill="1"/>
    <xf numFmtId="165" fontId="0" fillId="0" borderId="0" xfId="0" applyNumberFormat="1"/>
    <xf numFmtId="6" fontId="0" fillId="0" borderId="2" xfId="0" applyNumberFormat="1" applyBorder="1"/>
    <xf numFmtId="0" fontId="3" fillId="5" borderId="2" xfId="0" applyFont="1" applyFill="1" applyBorder="1" applyAlignment="1">
      <alignment wrapText="1"/>
    </xf>
    <xf numFmtId="0" fontId="3" fillId="5" borderId="2" xfId="0" applyFont="1" applyFill="1" applyBorder="1" applyAlignment="1">
      <alignment horizontal="left" wrapText="1"/>
    </xf>
    <xf numFmtId="164" fontId="3" fillId="2" borderId="1" xfId="0" applyNumberFormat="1" applyFont="1" applyFill="1" applyBorder="1" applyAlignment="1">
      <alignment vertical="center"/>
    </xf>
    <xf numFmtId="0" fontId="7" fillId="2" borderId="1" xfId="2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/>
    <xf numFmtId="6" fontId="0" fillId="0" borderId="0" xfId="0" applyNumberFormat="1" applyAlignment="1">
      <alignment horizontal="center"/>
    </xf>
    <xf numFmtId="0" fontId="6" fillId="0" borderId="0" xfId="0" applyFont="1" applyAlignment="1">
      <alignment horizontal="right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8" borderId="1" xfId="0" applyNumberFormat="1" applyFill="1" applyBorder="1" applyAlignment="1">
      <alignment vertical="center"/>
    </xf>
    <xf numFmtId="0" fontId="7" fillId="8" borderId="1" xfId="2" applyFill="1" applyBorder="1" applyAlignment="1">
      <alignment horizontal="center" vertical="center"/>
    </xf>
    <xf numFmtId="164" fontId="3" fillId="7" borderId="1" xfId="0" applyNumberFormat="1" applyFont="1" applyFill="1" applyBorder="1" applyAlignment="1">
      <alignment vertical="center"/>
    </xf>
    <xf numFmtId="0" fontId="7" fillId="7" borderId="1" xfId="2" applyFill="1" applyBorder="1" applyAlignment="1">
      <alignment horizontal="center" vertical="center"/>
    </xf>
    <xf numFmtId="0" fontId="6" fillId="0" borderId="0" xfId="0" applyFont="1" applyAlignment="1">
      <alignment horizontal="right" wrapText="1"/>
    </xf>
    <xf numFmtId="165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10" fillId="0" borderId="0" xfId="0" applyFont="1"/>
    <xf numFmtId="0" fontId="11" fillId="0" borderId="0" xfId="0" applyFont="1"/>
    <xf numFmtId="0" fontId="7" fillId="9" borderId="1" xfId="2" applyFill="1" applyBorder="1" applyAlignment="1">
      <alignment horizontal="center" vertical="center"/>
    </xf>
    <xf numFmtId="164" fontId="0" fillId="12" borderId="1" xfId="0" applyNumberFormat="1" applyFill="1" applyBorder="1" applyAlignment="1">
      <alignment vertical="center"/>
    </xf>
    <xf numFmtId="0" fontId="7" fillId="12" borderId="1" xfId="2" applyFill="1" applyBorder="1" applyAlignment="1">
      <alignment horizontal="center" vertical="center"/>
    </xf>
    <xf numFmtId="164" fontId="3" fillId="9" borderId="1" xfId="0" applyNumberFormat="1" applyFont="1" applyFill="1" applyBorder="1" applyAlignment="1">
      <alignment vertical="center"/>
    </xf>
    <xf numFmtId="0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0" xfId="0" applyFont="1"/>
    <xf numFmtId="0" fontId="3" fillId="5" borderId="4" xfId="0" applyFont="1" applyFill="1" applyBorder="1"/>
    <xf numFmtId="0" fontId="3" fillId="5" borderId="3" xfId="0" applyFont="1" applyFill="1" applyBorder="1"/>
    <xf numFmtId="0" fontId="3" fillId="5" borderId="0" xfId="0" applyFont="1" applyFill="1"/>
    <xf numFmtId="0" fontId="3" fillId="5" borderId="5" xfId="0" applyFont="1" applyFill="1" applyBorder="1"/>
    <xf numFmtId="3" fontId="0" fillId="0" borderId="0" xfId="0" applyNumberFormat="1" applyAlignment="1">
      <alignment horizontal="center"/>
    </xf>
    <xf numFmtId="164" fontId="3" fillId="14" borderId="1" xfId="0" applyNumberFormat="1" applyFont="1" applyFill="1" applyBorder="1" applyAlignment="1">
      <alignment vertical="center"/>
    </xf>
    <xf numFmtId="0" fontId="7" fillId="14" borderId="1" xfId="2" applyFill="1" applyBorder="1" applyAlignment="1">
      <alignment horizontal="center" vertical="center"/>
    </xf>
    <xf numFmtId="164" fontId="0" fillId="15" borderId="1" xfId="0" applyNumberFormat="1" applyFill="1" applyBorder="1" applyAlignment="1">
      <alignment vertical="center"/>
    </xf>
    <xf numFmtId="0" fontId="7" fillId="15" borderId="1" xfId="2" applyFill="1" applyBorder="1" applyAlignment="1">
      <alignment horizontal="center" vertical="center"/>
    </xf>
    <xf numFmtId="164" fontId="0" fillId="15" borderId="6" xfId="0" applyNumberFormat="1" applyFill="1" applyBorder="1" applyAlignment="1">
      <alignment vertical="center"/>
    </xf>
    <xf numFmtId="0" fontId="3" fillId="2" borderId="0" xfId="0" applyFont="1" applyFill="1" applyAlignment="1">
      <alignment horizontal="center"/>
    </xf>
    <xf numFmtId="0" fontId="0" fillId="0" borderId="7" xfId="0" applyBorder="1"/>
    <xf numFmtId="6" fontId="0" fillId="0" borderId="7" xfId="0" applyNumberFormat="1" applyBorder="1"/>
    <xf numFmtId="165" fontId="0" fillId="0" borderId="2" xfId="0" applyNumberFormat="1" applyBorder="1"/>
    <xf numFmtId="164" fontId="0" fillId="17" borderId="1" xfId="0" applyNumberFormat="1" applyFill="1" applyBorder="1" applyAlignment="1">
      <alignment vertical="center"/>
    </xf>
    <xf numFmtId="0" fontId="7" fillId="17" borderId="1" xfId="2" applyFill="1" applyBorder="1" applyAlignment="1">
      <alignment horizontal="center" vertical="center"/>
    </xf>
    <xf numFmtId="164" fontId="3" fillId="18" borderId="1" xfId="0" applyNumberFormat="1" applyFont="1" applyFill="1" applyBorder="1" applyAlignment="1">
      <alignment vertical="center"/>
    </xf>
    <xf numFmtId="0" fontId="7" fillId="18" borderId="1" xfId="2" applyFill="1" applyBorder="1" applyAlignment="1">
      <alignment horizontal="center" vertical="center"/>
    </xf>
    <xf numFmtId="0" fontId="17" fillId="0" borderId="0" xfId="0" applyFont="1" applyAlignment="1">
      <alignment horizontal="right"/>
    </xf>
    <xf numFmtId="10" fontId="0" fillId="0" borderId="2" xfId="1" applyNumberFormat="1" applyFont="1" applyBorder="1"/>
    <xf numFmtId="0" fontId="3" fillId="7" borderId="4" xfId="0" applyFont="1" applyFill="1" applyBorder="1"/>
    <xf numFmtId="0" fontId="3" fillId="7" borderId="5" xfId="0" applyFont="1" applyFill="1" applyBorder="1"/>
    <xf numFmtId="0" fontId="3" fillId="7" borderId="3" xfId="0" applyFont="1" applyFill="1" applyBorder="1"/>
    <xf numFmtId="0" fontId="3" fillId="9" borderId="4" xfId="0" applyFont="1" applyFill="1" applyBorder="1"/>
    <xf numFmtId="0" fontId="3" fillId="9" borderId="5" xfId="0" applyFont="1" applyFill="1" applyBorder="1"/>
    <xf numFmtId="0" fontId="3" fillId="9" borderId="3" xfId="0" applyFont="1" applyFill="1" applyBorder="1"/>
    <xf numFmtId="0" fontId="8" fillId="10" borderId="2" xfId="0" applyFont="1" applyFill="1" applyBorder="1" applyAlignment="1">
      <alignment wrapText="1"/>
    </xf>
    <xf numFmtId="0" fontId="3" fillId="9" borderId="5" xfId="0" applyFont="1" applyFill="1" applyBorder="1" applyAlignment="1">
      <alignment wrapText="1"/>
    </xf>
    <xf numFmtId="0" fontId="9" fillId="0" borderId="2" xfId="0" applyFont="1" applyBorder="1" applyAlignment="1">
      <alignment horizontal="center"/>
    </xf>
    <xf numFmtId="6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169" fontId="0" fillId="0" borderId="2" xfId="1" applyNumberFormat="1" applyFont="1" applyBorder="1" applyAlignment="1">
      <alignment horizontal="center"/>
    </xf>
    <xf numFmtId="169" fontId="0" fillId="0" borderId="2" xfId="1" applyNumberFormat="1" applyFont="1" applyBorder="1" applyAlignment="1">
      <alignment horizontal="center" wrapText="1"/>
    </xf>
    <xf numFmtId="165" fontId="0" fillId="0" borderId="2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66" fontId="0" fillId="0" borderId="2" xfId="1" applyNumberFormat="1" applyFont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9" fontId="15" fillId="0" borderId="2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15" fillId="0" borderId="0" xfId="0" applyFont="1"/>
    <xf numFmtId="171" fontId="0" fillId="0" borderId="2" xfId="0" applyNumberFormat="1" applyBorder="1" applyAlignment="1">
      <alignment horizontal="center"/>
    </xf>
    <xf numFmtId="0" fontId="0" fillId="0" borderId="0" xfId="0" quotePrefix="1"/>
    <xf numFmtId="170" fontId="6" fillId="0" borderId="0" xfId="0" applyNumberFormat="1" applyFont="1" applyAlignment="1">
      <alignment horizontal="center"/>
    </xf>
    <xf numFmtId="3" fontId="18" fillId="0" borderId="2" xfId="0" applyNumberFormat="1" applyFont="1" applyBorder="1" applyAlignment="1">
      <alignment horizontal="center"/>
    </xf>
    <xf numFmtId="172" fontId="0" fillId="0" borderId="0" xfId="0" applyNumberFormat="1"/>
    <xf numFmtId="2" fontId="0" fillId="0" borderId="0" xfId="0" applyNumberFormat="1"/>
    <xf numFmtId="0" fontId="3" fillId="5" borderId="8" xfId="0" applyFont="1" applyFill="1" applyBorder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19" borderId="9" xfId="0" applyFont="1" applyFill="1" applyBorder="1" applyAlignment="1">
      <alignment horizontal="center" vertical="center"/>
    </xf>
    <xf numFmtId="16" fontId="0" fillId="0" borderId="0" xfId="0" applyNumberFormat="1"/>
    <xf numFmtId="4" fontId="15" fillId="0" borderId="2" xfId="0" applyNumberFormat="1" applyFont="1" applyBorder="1" applyAlignment="1">
      <alignment horizontal="center"/>
    </xf>
    <xf numFmtId="0" fontId="3" fillId="0" borderId="0" xfId="0" applyFont="1"/>
    <xf numFmtId="170" fontId="0" fillId="0" borderId="0" xfId="0" applyNumberFormat="1"/>
    <xf numFmtId="0" fontId="5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73" fontId="0" fillId="0" borderId="2" xfId="0" applyNumberFormat="1" applyBorder="1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Continuous"/>
    </xf>
    <xf numFmtId="0" fontId="0" fillId="14" borderId="0" xfId="0" applyFill="1"/>
    <xf numFmtId="0" fontId="0" fillId="20" borderId="0" xfId="0" applyFill="1" applyAlignment="1">
      <alignment horizontal="right"/>
    </xf>
    <xf numFmtId="0" fontId="0" fillId="20" borderId="0" xfId="0" applyFill="1"/>
  </cellXfs>
  <cellStyles count="3">
    <cellStyle name="Hyperlink" xfId="2" builtinId="8"/>
    <cellStyle name="Normal" xfId="0" builtinId="0"/>
    <cellStyle name="Percent" xfId="1" builtinId="5"/>
  </cellStyles>
  <dxfs count="8">
    <dxf>
      <numFmt numFmtId="14" formatCode="0.00%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1"/>
    </dxf>
    <dxf>
      <numFmt numFmtId="14" formatCode="0.00%"/>
    </dxf>
    <dxf>
      <alignment wrapText="1"/>
    </dxf>
  </dxfs>
  <tableStyles count="0" defaultTableStyle="TableStyleMedium2" defaultPivotStyle="PivotStyleLight16"/>
  <colors>
    <mruColors>
      <color rgb="FFEFE5F7"/>
      <color rgb="FFE2D0F0"/>
      <color rgb="FF63BE7B"/>
      <color rgb="FFF8696B"/>
      <color rgb="FF8037B7"/>
      <color rgb="FFE8D9F3"/>
      <color rgb="FFE4D3F1"/>
      <color rgb="FFE9DCF4"/>
      <color rgb="FF8D42C6"/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pivotCacheDefinition" Target="pivotCache/pivotCacheDefinition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pivotCacheDefinition" Target="pivotCache/pivotCacheDefinition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pivotCacheDefinition" Target="pivotCache/pivotCacheDefinition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Salary Distribution for MBA Graduates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Histograms!$M$5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chemeClr val="bg1"/>
              </a:solidFill>
            </a:ln>
            <a:effectLst/>
          </c:spPr>
          <c:invertIfNegative val="0"/>
          <c:cat>
            <c:strRef>
              <c:f>Histograms!$L$6:$L$23</c:f>
              <c:strCache>
                <c:ptCount val="18"/>
                <c:pt idx="0">
                  <c:v>75-90</c:v>
                </c:pt>
                <c:pt idx="1">
                  <c:v>90-105</c:v>
                </c:pt>
                <c:pt idx="2">
                  <c:v>105-120</c:v>
                </c:pt>
                <c:pt idx="3">
                  <c:v>120-135</c:v>
                </c:pt>
                <c:pt idx="4">
                  <c:v>135-150</c:v>
                </c:pt>
                <c:pt idx="5">
                  <c:v>150-165</c:v>
                </c:pt>
                <c:pt idx="6">
                  <c:v>165-180</c:v>
                </c:pt>
                <c:pt idx="7">
                  <c:v>180-195</c:v>
                </c:pt>
                <c:pt idx="8">
                  <c:v>195-210</c:v>
                </c:pt>
                <c:pt idx="9">
                  <c:v>210-225</c:v>
                </c:pt>
                <c:pt idx="10">
                  <c:v>225-240</c:v>
                </c:pt>
                <c:pt idx="11">
                  <c:v>240-255</c:v>
                </c:pt>
                <c:pt idx="12">
                  <c:v>255-270</c:v>
                </c:pt>
                <c:pt idx="13">
                  <c:v>270-285</c:v>
                </c:pt>
                <c:pt idx="14">
                  <c:v>285-300</c:v>
                </c:pt>
                <c:pt idx="15">
                  <c:v>300-315</c:v>
                </c:pt>
                <c:pt idx="16">
                  <c:v>315-330</c:v>
                </c:pt>
                <c:pt idx="17">
                  <c:v>330-345</c:v>
                </c:pt>
              </c:strCache>
            </c:strRef>
          </c:cat>
          <c:val>
            <c:numRef>
              <c:f>Histograms!$M$6:$M$23</c:f>
              <c:numCache>
                <c:formatCode>General</c:formatCode>
                <c:ptCount val="18"/>
                <c:pt idx="0">
                  <c:v>9</c:v>
                </c:pt>
                <c:pt idx="1">
                  <c:v>18</c:v>
                </c:pt>
                <c:pt idx="2">
                  <c:v>9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D-B245-92A3-1E37E0064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24116015"/>
        <c:axId val="324117743"/>
      </c:barChart>
      <c:catAx>
        <c:axId val="324116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7743"/>
        <c:crosses val="autoZero"/>
        <c:auto val="1"/>
        <c:lblAlgn val="ctr"/>
        <c:lblOffset val="100"/>
        <c:noMultiLvlLbl val="0"/>
      </c:catAx>
      <c:valAx>
        <c:axId val="3241177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116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[Excel_Statistics.xlsx]Normal Distribution!PivotTable1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Distribution for MBA 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Distribution'!$E$5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bg1"/>
              </a:solidFill>
            </a:ln>
            <a:effectLst/>
          </c:spPr>
          <c:invertIfNegative val="0"/>
          <c:cat>
            <c:strRef>
              <c:f>'Normal Distribution'!$D$6:$D$14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'Normal Distribution'!$E$6:$E$14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E-4EEA-9438-A65CCE03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8988911"/>
        <c:axId val="48978511"/>
      </c:barChart>
      <c:catAx>
        <c:axId val="4898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8511"/>
        <c:crosses val="autoZero"/>
        <c:auto val="1"/>
        <c:lblAlgn val="ctr"/>
        <c:lblOffset val="100"/>
        <c:noMultiLvlLbl val="0"/>
      </c:catAx>
      <c:valAx>
        <c:axId val="489785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988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MBA Grades</a:t>
            </a:r>
          </a:p>
          <a:p>
            <a:pPr>
              <a:defRPr/>
            </a:pPr>
            <a:r>
              <a:rPr lang="en-US"/>
              <a:t>X ~ N(80.17,6.17)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'Normal Curve'!$I$5</c:f>
              <c:strCache>
                <c:ptCount val="1"/>
                <c:pt idx="0">
                  <c:v>Cumulative Probability</c:v>
                </c:pt>
              </c:strCache>
            </c:strRef>
          </c:tx>
          <c:spPr>
            <a:solidFill>
              <a:schemeClr val="accent1">
                <a:lumMod val="75000"/>
                <a:alpha val="48000"/>
              </a:schemeClr>
            </a:solidFill>
            <a:ln>
              <a:noFill/>
            </a:ln>
            <a:effectLst/>
          </c:spP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Curve'!$I$6:$I$26</c:f>
              <c:numCache>
                <c:formatCode>General</c:formatCode>
                <c:ptCount val="2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04-9A4B-B8E7-0ACBC1F34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8926032"/>
        <c:axId val="1142741824"/>
      </c:areaChart>
      <c:lineChart>
        <c:grouping val="standard"/>
        <c:varyColors val="0"/>
        <c:ser>
          <c:idx val="0"/>
          <c:order val="0"/>
          <c:tx>
            <c:strRef>
              <c:f>'Normal Curve'!$H$5</c:f>
              <c:strCache>
                <c:ptCount val="1"/>
                <c:pt idx="0">
                  <c:v>Probability Density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'Normal Curve'!$G$6:$G$26</c:f>
              <c:numCache>
                <c:formatCode>General</c:formatCode>
                <c:ptCount val="21"/>
                <c:pt idx="0">
                  <c:v>60</c:v>
                </c:pt>
                <c:pt idx="1">
                  <c:v>62</c:v>
                </c:pt>
                <c:pt idx="2">
                  <c:v>64</c:v>
                </c:pt>
                <c:pt idx="3">
                  <c:v>66</c:v>
                </c:pt>
                <c:pt idx="4">
                  <c:v>68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76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84</c:v>
                </c:pt>
                <c:pt idx="13">
                  <c:v>86</c:v>
                </c:pt>
                <c:pt idx="14">
                  <c:v>88</c:v>
                </c:pt>
                <c:pt idx="15">
                  <c:v>90</c:v>
                </c:pt>
                <c:pt idx="16">
                  <c:v>92</c:v>
                </c:pt>
                <c:pt idx="17">
                  <c:v>94</c:v>
                </c:pt>
                <c:pt idx="18">
                  <c:v>96</c:v>
                </c:pt>
                <c:pt idx="19">
                  <c:v>98</c:v>
                </c:pt>
                <c:pt idx="20">
                  <c:v>100</c:v>
                </c:pt>
              </c:numCache>
            </c:numRef>
          </c:cat>
          <c:val>
            <c:numRef>
              <c:f>'Normal Curve'!$H$6:$H$26</c:f>
              <c:numCache>
                <c:formatCode>General</c:formatCode>
                <c:ptCount val="21"/>
                <c:pt idx="0">
                  <c:v>3.0952931395656784E-4</c:v>
                </c:pt>
                <c:pt idx="1">
                  <c:v>8.4716192775783749E-4</c:v>
                </c:pt>
                <c:pt idx="2">
                  <c:v>2.087421445520822E-3</c:v>
                </c:pt>
                <c:pt idx="3">
                  <c:v>4.6305536271465499E-3</c:v>
                </c:pt>
                <c:pt idx="4">
                  <c:v>9.2477219127595003E-3</c:v>
                </c:pt>
                <c:pt idx="5">
                  <c:v>1.6627067938365887E-2</c:v>
                </c:pt>
                <c:pt idx="6">
                  <c:v>2.6913838820218548E-2</c:v>
                </c:pt>
                <c:pt idx="7">
                  <c:v>3.922064118584874E-2</c:v>
                </c:pt>
                <c:pt idx="8">
                  <c:v>5.1455617885659118E-2</c:v>
                </c:pt>
                <c:pt idx="9">
                  <c:v>6.0775700353358199E-2</c:v>
                </c:pt>
                <c:pt idx="10">
                  <c:v>6.4625841766344283E-2</c:v>
                </c:pt>
                <c:pt idx="11">
                  <c:v>6.186735083523575E-2</c:v>
                </c:pt>
                <c:pt idx="12">
                  <c:v>5.332070624163418E-2</c:v>
                </c:pt>
                <c:pt idx="13">
                  <c:v>4.137226830550346E-2</c:v>
                </c:pt>
                <c:pt idx="14">
                  <c:v>2.8900265870792894E-2</c:v>
                </c:pt>
                <c:pt idx="15">
                  <c:v>1.817495774949713E-2</c:v>
                </c:pt>
                <c:pt idx="16">
                  <c:v>1.0290205502344866E-2</c:v>
                </c:pt>
                <c:pt idx="17">
                  <c:v>5.2450997543787847E-3</c:v>
                </c:pt>
                <c:pt idx="18">
                  <c:v>2.4069248056546818E-3</c:v>
                </c:pt>
                <c:pt idx="19">
                  <c:v>9.9437537201741604E-4</c:v>
                </c:pt>
                <c:pt idx="20">
                  <c:v>3.6984288004996362E-4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04-9A4B-B8E7-0ACBC1F34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8926032"/>
        <c:axId val="1142741824"/>
      </c:lineChart>
      <c:catAx>
        <c:axId val="1208926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- 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741824"/>
        <c:crosses val="autoZero"/>
        <c:auto val="1"/>
        <c:lblAlgn val="ctr"/>
        <c:lblOffset val="100"/>
        <c:noMultiLvlLbl val="0"/>
      </c:catAx>
      <c:valAx>
        <c:axId val="1142741824"/>
        <c:scaling>
          <c:orientation val="minMax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120892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Scatterplots!$C$5</c:f>
              <c:strCache>
                <c:ptCount val="1"/>
                <c:pt idx="0">
                  <c:v>MBA Grade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Scatterplots!$B$6:$B$100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Scatterplots!$C$6:$C$100</c:f>
              <c:numCache>
                <c:formatCode>General</c:formatCode>
                <c:ptCount val="95"/>
                <c:pt idx="0">
                  <c:v>90.2</c:v>
                </c:pt>
                <c:pt idx="1">
                  <c:v>92.8</c:v>
                </c:pt>
                <c:pt idx="2">
                  <c:v>68.7</c:v>
                </c:pt>
                <c:pt idx="3">
                  <c:v>80.7</c:v>
                </c:pt>
                <c:pt idx="4">
                  <c:v>74.900000000000006</c:v>
                </c:pt>
                <c:pt idx="5">
                  <c:v>80.7</c:v>
                </c:pt>
                <c:pt idx="6">
                  <c:v>83.3</c:v>
                </c:pt>
                <c:pt idx="7">
                  <c:v>88.7</c:v>
                </c:pt>
                <c:pt idx="8">
                  <c:v>75.400000000000006</c:v>
                </c:pt>
                <c:pt idx="9">
                  <c:v>82.1</c:v>
                </c:pt>
                <c:pt idx="10">
                  <c:v>87.5</c:v>
                </c:pt>
                <c:pt idx="11">
                  <c:v>66.900000000000006</c:v>
                </c:pt>
                <c:pt idx="12">
                  <c:v>71.3</c:v>
                </c:pt>
                <c:pt idx="13">
                  <c:v>76.8</c:v>
                </c:pt>
                <c:pt idx="14">
                  <c:v>72.3</c:v>
                </c:pt>
                <c:pt idx="15">
                  <c:v>72.400000000000006</c:v>
                </c:pt>
                <c:pt idx="16">
                  <c:v>72</c:v>
                </c:pt>
                <c:pt idx="17">
                  <c:v>81</c:v>
                </c:pt>
                <c:pt idx="18">
                  <c:v>96.1</c:v>
                </c:pt>
                <c:pt idx="19">
                  <c:v>76.7</c:v>
                </c:pt>
                <c:pt idx="20">
                  <c:v>80.3</c:v>
                </c:pt>
                <c:pt idx="21">
                  <c:v>77.8</c:v>
                </c:pt>
                <c:pt idx="22">
                  <c:v>62.6</c:v>
                </c:pt>
                <c:pt idx="23">
                  <c:v>80.2</c:v>
                </c:pt>
                <c:pt idx="24">
                  <c:v>79.099999999999994</c:v>
                </c:pt>
                <c:pt idx="25">
                  <c:v>77.8</c:v>
                </c:pt>
                <c:pt idx="26">
                  <c:v>75.099999999999994</c:v>
                </c:pt>
                <c:pt idx="27">
                  <c:v>82.2</c:v>
                </c:pt>
                <c:pt idx="28">
                  <c:v>70.5</c:v>
                </c:pt>
                <c:pt idx="29">
                  <c:v>70.8</c:v>
                </c:pt>
                <c:pt idx="30">
                  <c:v>87.5</c:v>
                </c:pt>
                <c:pt idx="31">
                  <c:v>79.5</c:v>
                </c:pt>
                <c:pt idx="32">
                  <c:v>80.8</c:v>
                </c:pt>
                <c:pt idx="33">
                  <c:v>79.599999999999994</c:v>
                </c:pt>
                <c:pt idx="34">
                  <c:v>88.9</c:v>
                </c:pt>
                <c:pt idx="35">
                  <c:v>85.9</c:v>
                </c:pt>
                <c:pt idx="36">
                  <c:v>82.3</c:v>
                </c:pt>
                <c:pt idx="37">
                  <c:v>76.7</c:v>
                </c:pt>
                <c:pt idx="38">
                  <c:v>79.900000000000006</c:v>
                </c:pt>
                <c:pt idx="39">
                  <c:v>86.2</c:v>
                </c:pt>
                <c:pt idx="40">
                  <c:v>79.2</c:v>
                </c:pt>
                <c:pt idx="41">
                  <c:v>83.4</c:v>
                </c:pt>
                <c:pt idx="42">
                  <c:v>85.2</c:v>
                </c:pt>
                <c:pt idx="43">
                  <c:v>77.8</c:v>
                </c:pt>
                <c:pt idx="44">
                  <c:v>80.2</c:v>
                </c:pt>
                <c:pt idx="45">
                  <c:v>71</c:v>
                </c:pt>
                <c:pt idx="46">
                  <c:v>87.2</c:v>
                </c:pt>
                <c:pt idx="47">
                  <c:v>82.9</c:v>
                </c:pt>
                <c:pt idx="48">
                  <c:v>73.5</c:v>
                </c:pt>
                <c:pt idx="49">
                  <c:v>74.599999999999994</c:v>
                </c:pt>
                <c:pt idx="50">
                  <c:v>75.099999999999994</c:v>
                </c:pt>
                <c:pt idx="51">
                  <c:v>85.1</c:v>
                </c:pt>
                <c:pt idx="52">
                  <c:v>74.900000000000006</c:v>
                </c:pt>
                <c:pt idx="53">
                  <c:v>84.6</c:v>
                </c:pt>
                <c:pt idx="54">
                  <c:v>81.7</c:v>
                </c:pt>
                <c:pt idx="55">
                  <c:v>81.400000000000006</c:v>
                </c:pt>
                <c:pt idx="56">
                  <c:v>83.8</c:v>
                </c:pt>
                <c:pt idx="57">
                  <c:v>88.5</c:v>
                </c:pt>
                <c:pt idx="58">
                  <c:v>84.9</c:v>
                </c:pt>
                <c:pt idx="59">
                  <c:v>84.3</c:v>
                </c:pt>
                <c:pt idx="60">
                  <c:v>78.2</c:v>
                </c:pt>
                <c:pt idx="61">
                  <c:v>80</c:v>
                </c:pt>
                <c:pt idx="62">
                  <c:v>74.8</c:v>
                </c:pt>
                <c:pt idx="63">
                  <c:v>78.5</c:v>
                </c:pt>
                <c:pt idx="64">
                  <c:v>71.8</c:v>
                </c:pt>
                <c:pt idx="65">
                  <c:v>69.900000000000006</c:v>
                </c:pt>
                <c:pt idx="66">
                  <c:v>82.7</c:v>
                </c:pt>
                <c:pt idx="67">
                  <c:v>74</c:v>
                </c:pt>
                <c:pt idx="68">
                  <c:v>84</c:v>
                </c:pt>
                <c:pt idx="69">
                  <c:v>84.7</c:v>
                </c:pt>
                <c:pt idx="70">
                  <c:v>78.2</c:v>
                </c:pt>
                <c:pt idx="71">
                  <c:v>85</c:v>
                </c:pt>
                <c:pt idx="72">
                  <c:v>80.099999999999994</c:v>
                </c:pt>
                <c:pt idx="73">
                  <c:v>85.3</c:v>
                </c:pt>
                <c:pt idx="74">
                  <c:v>79.7</c:v>
                </c:pt>
                <c:pt idx="75">
                  <c:v>79.599999999999994</c:v>
                </c:pt>
                <c:pt idx="76">
                  <c:v>78.900000000000006</c:v>
                </c:pt>
                <c:pt idx="77">
                  <c:v>78.5</c:v>
                </c:pt>
                <c:pt idx="78">
                  <c:v>72</c:v>
                </c:pt>
                <c:pt idx="79">
                  <c:v>74.2</c:v>
                </c:pt>
                <c:pt idx="80">
                  <c:v>71.7</c:v>
                </c:pt>
                <c:pt idx="81">
                  <c:v>80.7</c:v>
                </c:pt>
                <c:pt idx="82">
                  <c:v>84.1</c:v>
                </c:pt>
                <c:pt idx="83">
                  <c:v>87.4</c:v>
                </c:pt>
                <c:pt idx="84">
                  <c:v>77.400000000000006</c:v>
                </c:pt>
                <c:pt idx="85">
                  <c:v>84.7</c:v>
                </c:pt>
                <c:pt idx="86">
                  <c:v>78.8</c:v>
                </c:pt>
                <c:pt idx="87">
                  <c:v>92.7</c:v>
                </c:pt>
                <c:pt idx="88">
                  <c:v>88.8</c:v>
                </c:pt>
                <c:pt idx="89">
                  <c:v>86.6</c:v>
                </c:pt>
                <c:pt idx="90">
                  <c:v>77.900000000000006</c:v>
                </c:pt>
                <c:pt idx="91">
                  <c:v>86.1</c:v>
                </c:pt>
                <c:pt idx="92">
                  <c:v>89.9</c:v>
                </c:pt>
                <c:pt idx="93">
                  <c:v>83.1</c:v>
                </c:pt>
                <c:pt idx="94">
                  <c:v>82.6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E4-EA45-806E-222E1373E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607215"/>
        <c:axId val="857938127"/>
      </c:scatterChart>
      <c:valAx>
        <c:axId val="648607215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Undergrade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938127"/>
        <c:crosses val="autoZero"/>
        <c:crossBetween val="midCat"/>
      </c:valAx>
      <c:valAx>
        <c:axId val="857938127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607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Scatterplots!$C$5</c:f>
              <c:strCache>
                <c:ptCount val="1"/>
                <c:pt idx="0">
                  <c:v>MBA Grade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Scatterplots!$B$6:$B$100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Scatterplots!$C$6:$C$100</c:f>
              <c:numCache>
                <c:formatCode>General</c:formatCode>
                <c:ptCount val="95"/>
                <c:pt idx="0">
                  <c:v>90.2</c:v>
                </c:pt>
                <c:pt idx="1">
                  <c:v>92.8</c:v>
                </c:pt>
                <c:pt idx="2">
                  <c:v>68.7</c:v>
                </c:pt>
                <c:pt idx="3">
                  <c:v>80.7</c:v>
                </c:pt>
                <c:pt idx="4">
                  <c:v>74.900000000000006</c:v>
                </c:pt>
                <c:pt idx="5">
                  <c:v>80.7</c:v>
                </c:pt>
                <c:pt idx="6">
                  <c:v>83.3</c:v>
                </c:pt>
                <c:pt idx="7">
                  <c:v>88.7</c:v>
                </c:pt>
                <c:pt idx="8">
                  <c:v>75.400000000000006</c:v>
                </c:pt>
                <c:pt idx="9">
                  <c:v>82.1</c:v>
                </c:pt>
                <c:pt idx="10">
                  <c:v>87.5</c:v>
                </c:pt>
                <c:pt idx="11">
                  <c:v>66.900000000000006</c:v>
                </c:pt>
                <c:pt idx="12">
                  <c:v>71.3</c:v>
                </c:pt>
                <c:pt idx="13">
                  <c:v>76.8</c:v>
                </c:pt>
                <c:pt idx="14">
                  <c:v>72.3</c:v>
                </c:pt>
                <c:pt idx="15">
                  <c:v>72.400000000000006</c:v>
                </c:pt>
                <c:pt idx="16">
                  <c:v>72</c:v>
                </c:pt>
                <c:pt idx="17">
                  <c:v>81</c:v>
                </c:pt>
                <c:pt idx="18">
                  <c:v>96.1</c:v>
                </c:pt>
                <c:pt idx="19">
                  <c:v>76.7</c:v>
                </c:pt>
                <c:pt idx="20">
                  <c:v>80.3</c:v>
                </c:pt>
                <c:pt idx="21">
                  <c:v>77.8</c:v>
                </c:pt>
                <c:pt idx="22">
                  <c:v>62.6</c:v>
                </c:pt>
                <c:pt idx="23">
                  <c:v>80.2</c:v>
                </c:pt>
                <c:pt idx="24">
                  <c:v>79.099999999999994</c:v>
                </c:pt>
                <c:pt idx="25">
                  <c:v>77.8</c:v>
                </c:pt>
                <c:pt idx="26">
                  <c:v>75.099999999999994</c:v>
                </c:pt>
                <c:pt idx="27">
                  <c:v>82.2</c:v>
                </c:pt>
                <c:pt idx="28">
                  <c:v>70.5</c:v>
                </c:pt>
                <c:pt idx="29">
                  <c:v>70.8</c:v>
                </c:pt>
                <c:pt idx="30">
                  <c:v>87.5</c:v>
                </c:pt>
                <c:pt idx="31">
                  <c:v>79.5</c:v>
                </c:pt>
                <c:pt idx="32">
                  <c:v>80.8</c:v>
                </c:pt>
                <c:pt idx="33">
                  <c:v>79.599999999999994</c:v>
                </c:pt>
                <c:pt idx="34">
                  <c:v>88.9</c:v>
                </c:pt>
                <c:pt idx="35">
                  <c:v>85.9</c:v>
                </c:pt>
                <c:pt idx="36">
                  <c:v>82.3</c:v>
                </c:pt>
                <c:pt idx="37">
                  <c:v>76.7</c:v>
                </c:pt>
                <c:pt idx="38">
                  <c:v>79.900000000000006</c:v>
                </c:pt>
                <c:pt idx="39">
                  <c:v>86.2</c:v>
                </c:pt>
                <c:pt idx="40">
                  <c:v>79.2</c:v>
                </c:pt>
                <c:pt idx="41">
                  <c:v>83.4</c:v>
                </c:pt>
                <c:pt idx="42">
                  <c:v>85.2</c:v>
                </c:pt>
                <c:pt idx="43">
                  <c:v>77.8</c:v>
                </c:pt>
                <c:pt idx="44">
                  <c:v>80.2</c:v>
                </c:pt>
                <c:pt idx="45">
                  <c:v>71</c:v>
                </c:pt>
                <c:pt idx="46">
                  <c:v>87.2</c:v>
                </c:pt>
                <c:pt idx="47">
                  <c:v>82.9</c:v>
                </c:pt>
                <c:pt idx="48">
                  <c:v>73.5</c:v>
                </c:pt>
                <c:pt idx="49">
                  <c:v>74.599999999999994</c:v>
                </c:pt>
                <c:pt idx="50">
                  <c:v>75.099999999999994</c:v>
                </c:pt>
                <c:pt idx="51">
                  <c:v>85.1</c:v>
                </c:pt>
                <c:pt idx="52">
                  <c:v>74.900000000000006</c:v>
                </c:pt>
                <c:pt idx="53">
                  <c:v>84.6</c:v>
                </c:pt>
                <c:pt idx="54">
                  <c:v>81.7</c:v>
                </c:pt>
                <c:pt idx="55">
                  <c:v>81.400000000000006</c:v>
                </c:pt>
                <c:pt idx="56">
                  <c:v>83.8</c:v>
                </c:pt>
                <c:pt idx="57">
                  <c:v>88.5</c:v>
                </c:pt>
                <c:pt idx="58">
                  <c:v>84.9</c:v>
                </c:pt>
                <c:pt idx="59">
                  <c:v>84.3</c:v>
                </c:pt>
                <c:pt idx="60">
                  <c:v>78.2</c:v>
                </c:pt>
                <c:pt idx="61">
                  <c:v>80</c:v>
                </c:pt>
                <c:pt idx="62">
                  <c:v>74.8</c:v>
                </c:pt>
                <c:pt idx="63">
                  <c:v>78.5</c:v>
                </c:pt>
                <c:pt idx="64">
                  <c:v>71.8</c:v>
                </c:pt>
                <c:pt idx="65">
                  <c:v>69.900000000000006</c:v>
                </c:pt>
                <c:pt idx="66">
                  <c:v>82.7</c:v>
                </c:pt>
                <c:pt idx="67">
                  <c:v>74</c:v>
                </c:pt>
                <c:pt idx="68">
                  <c:v>84</c:v>
                </c:pt>
                <c:pt idx="69">
                  <c:v>84.7</c:v>
                </c:pt>
                <c:pt idx="70">
                  <c:v>78.2</c:v>
                </c:pt>
                <c:pt idx="71">
                  <c:v>85</c:v>
                </c:pt>
                <c:pt idx="72">
                  <c:v>80.099999999999994</c:v>
                </c:pt>
                <c:pt idx="73">
                  <c:v>85.3</c:v>
                </c:pt>
                <c:pt idx="74">
                  <c:v>79.7</c:v>
                </c:pt>
                <c:pt idx="75">
                  <c:v>79.599999999999994</c:v>
                </c:pt>
                <c:pt idx="76">
                  <c:v>78.900000000000006</c:v>
                </c:pt>
                <c:pt idx="77">
                  <c:v>78.5</c:v>
                </c:pt>
                <c:pt idx="78">
                  <c:v>72</c:v>
                </c:pt>
                <c:pt idx="79">
                  <c:v>74.2</c:v>
                </c:pt>
                <c:pt idx="80">
                  <c:v>71.7</c:v>
                </c:pt>
                <c:pt idx="81">
                  <c:v>80.7</c:v>
                </c:pt>
                <c:pt idx="82">
                  <c:v>84.1</c:v>
                </c:pt>
                <c:pt idx="83">
                  <c:v>87.4</c:v>
                </c:pt>
                <c:pt idx="84">
                  <c:v>77.400000000000006</c:v>
                </c:pt>
                <c:pt idx="85">
                  <c:v>84.7</c:v>
                </c:pt>
                <c:pt idx="86">
                  <c:v>78.8</c:v>
                </c:pt>
                <c:pt idx="87">
                  <c:v>92.7</c:v>
                </c:pt>
                <c:pt idx="88">
                  <c:v>88.8</c:v>
                </c:pt>
                <c:pt idx="89">
                  <c:v>86.6</c:v>
                </c:pt>
                <c:pt idx="90">
                  <c:v>77.900000000000006</c:v>
                </c:pt>
                <c:pt idx="91">
                  <c:v>86.1</c:v>
                </c:pt>
                <c:pt idx="92">
                  <c:v>89.9</c:v>
                </c:pt>
                <c:pt idx="93">
                  <c:v>83.1</c:v>
                </c:pt>
                <c:pt idx="94">
                  <c:v>82.6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AE-614B-A08B-95E566028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607215"/>
        <c:axId val="857938127"/>
      </c:scatterChart>
      <c:valAx>
        <c:axId val="648607215"/>
        <c:scaling>
          <c:orientation val="minMax"/>
          <c:max val="100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Undergrade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938127"/>
        <c:crosses val="autoZero"/>
        <c:crossBetween val="midCat"/>
      </c:valAx>
      <c:valAx>
        <c:axId val="857938127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607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'Linear Relationships'!$F$5</c:f>
              <c:strCache>
                <c:ptCount val="1"/>
                <c:pt idx="0">
                  <c:v>Annual Salary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Relationships'!$C$6:$C$58</c:f>
              <c:numCache>
                <c:formatCode>General</c:formatCode>
                <c:ptCount val="53"/>
                <c:pt idx="0">
                  <c:v>90.2</c:v>
                </c:pt>
                <c:pt idx="1">
                  <c:v>68.7</c:v>
                </c:pt>
                <c:pt idx="2">
                  <c:v>83.3</c:v>
                </c:pt>
                <c:pt idx="3">
                  <c:v>88.7</c:v>
                </c:pt>
                <c:pt idx="4">
                  <c:v>75.400000000000006</c:v>
                </c:pt>
                <c:pt idx="5">
                  <c:v>82.1</c:v>
                </c:pt>
                <c:pt idx="6">
                  <c:v>66.900000000000006</c:v>
                </c:pt>
                <c:pt idx="7">
                  <c:v>76.8</c:v>
                </c:pt>
                <c:pt idx="8">
                  <c:v>72.3</c:v>
                </c:pt>
                <c:pt idx="9">
                  <c:v>72.400000000000006</c:v>
                </c:pt>
                <c:pt idx="10">
                  <c:v>81</c:v>
                </c:pt>
                <c:pt idx="11">
                  <c:v>77.8</c:v>
                </c:pt>
                <c:pt idx="12">
                  <c:v>79.099999999999994</c:v>
                </c:pt>
                <c:pt idx="13">
                  <c:v>77.8</c:v>
                </c:pt>
                <c:pt idx="14">
                  <c:v>75.099999999999994</c:v>
                </c:pt>
                <c:pt idx="15">
                  <c:v>70.8</c:v>
                </c:pt>
                <c:pt idx="16">
                  <c:v>79.599999999999994</c:v>
                </c:pt>
                <c:pt idx="17">
                  <c:v>85.9</c:v>
                </c:pt>
                <c:pt idx="18">
                  <c:v>82.3</c:v>
                </c:pt>
                <c:pt idx="19">
                  <c:v>79.2</c:v>
                </c:pt>
                <c:pt idx="20">
                  <c:v>83.4</c:v>
                </c:pt>
                <c:pt idx="21">
                  <c:v>85.2</c:v>
                </c:pt>
                <c:pt idx="22">
                  <c:v>80.2</c:v>
                </c:pt>
                <c:pt idx="23">
                  <c:v>87.2</c:v>
                </c:pt>
                <c:pt idx="24">
                  <c:v>73.5</c:v>
                </c:pt>
                <c:pt idx="25">
                  <c:v>74.599999999999994</c:v>
                </c:pt>
                <c:pt idx="26">
                  <c:v>75.099999999999994</c:v>
                </c:pt>
                <c:pt idx="27">
                  <c:v>74.900000000000006</c:v>
                </c:pt>
                <c:pt idx="28">
                  <c:v>84.6</c:v>
                </c:pt>
                <c:pt idx="29">
                  <c:v>81.7</c:v>
                </c:pt>
                <c:pt idx="30">
                  <c:v>81.400000000000006</c:v>
                </c:pt>
                <c:pt idx="31">
                  <c:v>83.8</c:v>
                </c:pt>
                <c:pt idx="32">
                  <c:v>88.5</c:v>
                </c:pt>
                <c:pt idx="33">
                  <c:v>84.9</c:v>
                </c:pt>
                <c:pt idx="34">
                  <c:v>84.3</c:v>
                </c:pt>
                <c:pt idx="35">
                  <c:v>78.2</c:v>
                </c:pt>
                <c:pt idx="36">
                  <c:v>74.8</c:v>
                </c:pt>
                <c:pt idx="37">
                  <c:v>78.5</c:v>
                </c:pt>
                <c:pt idx="38">
                  <c:v>82.7</c:v>
                </c:pt>
                <c:pt idx="39">
                  <c:v>84</c:v>
                </c:pt>
                <c:pt idx="40">
                  <c:v>78.2</c:v>
                </c:pt>
                <c:pt idx="41">
                  <c:v>79.7</c:v>
                </c:pt>
                <c:pt idx="42">
                  <c:v>78.5</c:v>
                </c:pt>
                <c:pt idx="43">
                  <c:v>72</c:v>
                </c:pt>
                <c:pt idx="44">
                  <c:v>80.7</c:v>
                </c:pt>
                <c:pt idx="45">
                  <c:v>87.4</c:v>
                </c:pt>
                <c:pt idx="46">
                  <c:v>77.400000000000006</c:v>
                </c:pt>
                <c:pt idx="47">
                  <c:v>84.7</c:v>
                </c:pt>
                <c:pt idx="48">
                  <c:v>78.8</c:v>
                </c:pt>
                <c:pt idx="49">
                  <c:v>88.8</c:v>
                </c:pt>
                <c:pt idx="50">
                  <c:v>77.900000000000006</c:v>
                </c:pt>
                <c:pt idx="51">
                  <c:v>86.1</c:v>
                </c:pt>
                <c:pt idx="52">
                  <c:v>83.1</c:v>
                </c:pt>
              </c:numCache>
            </c:numRef>
          </c:xVal>
          <c:yVal>
            <c:numRef>
              <c:f>'Linear Relationships'!$F$6:$F$58</c:f>
              <c:numCache>
                <c:formatCode>"$"#,##0_);[Red]\("$"#,##0\)</c:formatCode>
                <c:ptCount val="53"/>
                <c:pt idx="0">
                  <c:v>111000</c:v>
                </c:pt>
                <c:pt idx="1">
                  <c:v>107000</c:v>
                </c:pt>
                <c:pt idx="2">
                  <c:v>109000</c:v>
                </c:pt>
                <c:pt idx="3">
                  <c:v>148000</c:v>
                </c:pt>
                <c:pt idx="4">
                  <c:v>255500</c:v>
                </c:pt>
                <c:pt idx="5">
                  <c:v>103500</c:v>
                </c:pt>
                <c:pt idx="6">
                  <c:v>114500</c:v>
                </c:pt>
                <c:pt idx="7">
                  <c:v>124000</c:v>
                </c:pt>
                <c:pt idx="8">
                  <c:v>132500</c:v>
                </c:pt>
                <c:pt idx="9">
                  <c:v>99000</c:v>
                </c:pt>
                <c:pt idx="10">
                  <c:v>124000</c:v>
                </c:pt>
                <c:pt idx="11">
                  <c:v>82000</c:v>
                </c:pt>
                <c:pt idx="12">
                  <c:v>185000</c:v>
                </c:pt>
                <c:pt idx="13">
                  <c:v>89500</c:v>
                </c:pt>
                <c:pt idx="14">
                  <c:v>91500</c:v>
                </c:pt>
                <c:pt idx="15">
                  <c:v>113500</c:v>
                </c:pt>
                <c:pt idx="16">
                  <c:v>99000</c:v>
                </c:pt>
                <c:pt idx="17">
                  <c:v>75500</c:v>
                </c:pt>
                <c:pt idx="18">
                  <c:v>86000</c:v>
                </c:pt>
                <c:pt idx="19">
                  <c:v>156500</c:v>
                </c:pt>
                <c:pt idx="20">
                  <c:v>99500</c:v>
                </c:pt>
                <c:pt idx="21">
                  <c:v>148000</c:v>
                </c:pt>
                <c:pt idx="22">
                  <c:v>82000</c:v>
                </c:pt>
                <c:pt idx="23">
                  <c:v>103500</c:v>
                </c:pt>
                <c:pt idx="24">
                  <c:v>205500</c:v>
                </c:pt>
                <c:pt idx="25">
                  <c:v>103500</c:v>
                </c:pt>
                <c:pt idx="26">
                  <c:v>340000</c:v>
                </c:pt>
                <c:pt idx="27">
                  <c:v>103500</c:v>
                </c:pt>
                <c:pt idx="28">
                  <c:v>99500</c:v>
                </c:pt>
                <c:pt idx="29">
                  <c:v>103000</c:v>
                </c:pt>
                <c:pt idx="30">
                  <c:v>103500</c:v>
                </c:pt>
                <c:pt idx="31">
                  <c:v>165000</c:v>
                </c:pt>
                <c:pt idx="32">
                  <c:v>124500</c:v>
                </c:pt>
                <c:pt idx="33">
                  <c:v>103500</c:v>
                </c:pt>
                <c:pt idx="34">
                  <c:v>82500</c:v>
                </c:pt>
                <c:pt idx="35">
                  <c:v>93000</c:v>
                </c:pt>
                <c:pt idx="36">
                  <c:v>168000</c:v>
                </c:pt>
                <c:pt idx="37">
                  <c:v>96000</c:v>
                </c:pt>
                <c:pt idx="38">
                  <c:v>80000</c:v>
                </c:pt>
                <c:pt idx="39">
                  <c:v>124500</c:v>
                </c:pt>
                <c:pt idx="40">
                  <c:v>99000</c:v>
                </c:pt>
                <c:pt idx="41">
                  <c:v>124000</c:v>
                </c:pt>
                <c:pt idx="42">
                  <c:v>91500</c:v>
                </c:pt>
                <c:pt idx="43">
                  <c:v>144500</c:v>
                </c:pt>
                <c:pt idx="44">
                  <c:v>114500</c:v>
                </c:pt>
                <c:pt idx="45">
                  <c:v>104500</c:v>
                </c:pt>
                <c:pt idx="46">
                  <c:v>124000</c:v>
                </c:pt>
                <c:pt idx="47">
                  <c:v>113000</c:v>
                </c:pt>
                <c:pt idx="48">
                  <c:v>78000</c:v>
                </c:pt>
                <c:pt idx="49">
                  <c:v>109000</c:v>
                </c:pt>
                <c:pt idx="50">
                  <c:v>99500</c:v>
                </c:pt>
                <c:pt idx="51">
                  <c:v>107000</c:v>
                </c:pt>
                <c:pt idx="52">
                  <c:v>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81-974F-BF5A-7EF326F71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800671"/>
        <c:axId val="773646207"/>
      </c:scatterChart>
      <c:valAx>
        <c:axId val="837800671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646207"/>
        <c:crosses val="autoZero"/>
        <c:crossBetween val="midCat"/>
      </c:valAx>
      <c:valAx>
        <c:axId val="77364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Annual Salary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0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804055902235462"/>
                  <c:y val="0.490347039953339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Regression'!$B$6:$B$100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'Linear Regression'!$C$6:$C$100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6-4CD8-995C-FAD16089E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Predictions!$C$5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7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Predictions!$B$6:$B$100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Predictions!$C$6:$C$100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3A-4B83-A89A-08B220C80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 Model'!$G$5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6786986001749781"/>
                  <c:y val="-0.332062190142898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'Linear Regression Model'!$B$6:$B$100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'Linear Regression Model'!$G$6:$G$100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4A-DA45-B726-CC1B4429A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724335"/>
        <c:axId val="794726063"/>
      </c:scatterChart>
      <c:valAx>
        <c:axId val="794724335"/>
        <c:scaling>
          <c:orientation val="minMax"/>
          <c:min val="6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MBA Grade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726063"/>
        <c:crosses val="autoZero"/>
        <c:crossBetween val="midCat"/>
      </c:valAx>
      <c:valAx>
        <c:axId val="7947260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Employability Improvement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724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'R-Squared'!$C$5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'R-Squared'!$B$6:$B$100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'R-Squared'!$C$6:$C$100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9-453E-9D3E-E1379A8E8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Error'!$C$5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Error'!$B$6:$B$100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'Standard Error'!$C$6:$C$100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6-45F3-9148-240C148BA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Homoskedasticity!$C$5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Homoskedasticity!$B$6:$B$100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Homoskedasticity!$C$6:$C$100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CD-4253-9334-7ADA5649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'Hypothesis Test'!$C$5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'Hypothesis Test'!$B$6:$B$100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'Hypothesis Test'!$C$6:$C$100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68-4539-97AE-131322711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64800"/>
        <c:axId val="466153984"/>
      </c:scatterChart>
      <c:valAx>
        <c:axId val="46616480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3984"/>
        <c:crosses val="autoZero"/>
        <c:crossBetween val="midCat"/>
      </c:valAx>
      <c:valAx>
        <c:axId val="46615398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6480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4919385076865396E-3"/>
                  <c:y val="0.447109580052493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 Evaluation'!$B$6:$B$100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'Model Evaluation'!$C$6:$C$100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CB-4A2B-82B9-F7093D38D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52320"/>
        <c:axId val="466144416"/>
      </c:scatterChart>
      <c:valAx>
        <c:axId val="466152320"/>
        <c:scaling>
          <c:orientation val="minMax"/>
          <c:max val="100"/>
          <c:min val="60"/>
        </c:scaling>
        <c:delete val="0"/>
        <c:axPos val="b"/>
        <c:title>
          <c:tx>
            <c:strRef>
              <c:f>'Model Evaluation'!$B$5</c:f>
              <c:strCache>
                <c:ptCount val="1"/>
                <c:pt idx="0">
                  <c:v>Undergrad Grade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44416"/>
        <c:crosses val="autoZero"/>
        <c:crossBetween val="midCat"/>
      </c:valAx>
      <c:valAx>
        <c:axId val="466144416"/>
        <c:scaling>
          <c:orientation val="minMax"/>
        </c:scaling>
        <c:delete val="0"/>
        <c:axPos val="l"/>
        <c:title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15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'Analysis ToolPak'!$C$7:$C$100</c:f>
              <c:numCache>
                <c:formatCode>General</c:formatCode>
                <c:ptCount val="94"/>
                <c:pt idx="0">
                  <c:v>410</c:v>
                </c:pt>
                <c:pt idx="1">
                  <c:v>119</c:v>
                </c:pt>
                <c:pt idx="2">
                  <c:v>334</c:v>
                </c:pt>
                <c:pt idx="3">
                  <c:v>252</c:v>
                </c:pt>
                <c:pt idx="4">
                  <c:v>209</c:v>
                </c:pt>
                <c:pt idx="5">
                  <c:v>462</c:v>
                </c:pt>
                <c:pt idx="6">
                  <c:v>342</c:v>
                </c:pt>
                <c:pt idx="7">
                  <c:v>347</c:v>
                </c:pt>
                <c:pt idx="8">
                  <c:v>313</c:v>
                </c:pt>
                <c:pt idx="9">
                  <c:v>232</c:v>
                </c:pt>
                <c:pt idx="10">
                  <c:v>163</c:v>
                </c:pt>
                <c:pt idx="11">
                  <c:v>119</c:v>
                </c:pt>
                <c:pt idx="12">
                  <c:v>304</c:v>
                </c:pt>
                <c:pt idx="13">
                  <c:v>211</c:v>
                </c:pt>
                <c:pt idx="14">
                  <c:v>286</c:v>
                </c:pt>
                <c:pt idx="15">
                  <c:v>122</c:v>
                </c:pt>
                <c:pt idx="16">
                  <c:v>443</c:v>
                </c:pt>
                <c:pt idx="17">
                  <c:v>366</c:v>
                </c:pt>
                <c:pt idx="18">
                  <c:v>244</c:v>
                </c:pt>
                <c:pt idx="19">
                  <c:v>241</c:v>
                </c:pt>
                <c:pt idx="20">
                  <c:v>237</c:v>
                </c:pt>
                <c:pt idx="21">
                  <c:v>122</c:v>
                </c:pt>
                <c:pt idx="22">
                  <c:v>129</c:v>
                </c:pt>
                <c:pt idx="23">
                  <c:v>236</c:v>
                </c:pt>
                <c:pt idx="24">
                  <c:v>251</c:v>
                </c:pt>
                <c:pt idx="25">
                  <c:v>283</c:v>
                </c:pt>
                <c:pt idx="26">
                  <c:v>225</c:v>
                </c:pt>
                <c:pt idx="27">
                  <c:v>102</c:v>
                </c:pt>
                <c:pt idx="28">
                  <c:v>180</c:v>
                </c:pt>
                <c:pt idx="29">
                  <c:v>247</c:v>
                </c:pt>
                <c:pt idx="30">
                  <c:v>343</c:v>
                </c:pt>
                <c:pt idx="31">
                  <c:v>283</c:v>
                </c:pt>
                <c:pt idx="32">
                  <c:v>253</c:v>
                </c:pt>
                <c:pt idx="33">
                  <c:v>263</c:v>
                </c:pt>
                <c:pt idx="34">
                  <c:v>291</c:v>
                </c:pt>
                <c:pt idx="35">
                  <c:v>368</c:v>
                </c:pt>
                <c:pt idx="36">
                  <c:v>206</c:v>
                </c:pt>
                <c:pt idx="37">
                  <c:v>231</c:v>
                </c:pt>
                <c:pt idx="38">
                  <c:v>389</c:v>
                </c:pt>
                <c:pt idx="39">
                  <c:v>396</c:v>
                </c:pt>
                <c:pt idx="40">
                  <c:v>339</c:v>
                </c:pt>
                <c:pt idx="41">
                  <c:v>286</c:v>
                </c:pt>
                <c:pt idx="42">
                  <c:v>146</c:v>
                </c:pt>
                <c:pt idx="43">
                  <c:v>315</c:v>
                </c:pt>
                <c:pt idx="44">
                  <c:v>183</c:v>
                </c:pt>
                <c:pt idx="45">
                  <c:v>481</c:v>
                </c:pt>
                <c:pt idx="46">
                  <c:v>349</c:v>
                </c:pt>
                <c:pt idx="47">
                  <c:v>225</c:v>
                </c:pt>
                <c:pt idx="48">
                  <c:v>217</c:v>
                </c:pt>
                <c:pt idx="49">
                  <c:v>353</c:v>
                </c:pt>
                <c:pt idx="50">
                  <c:v>314</c:v>
                </c:pt>
                <c:pt idx="51">
                  <c:v>247</c:v>
                </c:pt>
                <c:pt idx="52">
                  <c:v>410</c:v>
                </c:pt>
                <c:pt idx="53">
                  <c:v>395</c:v>
                </c:pt>
                <c:pt idx="54">
                  <c:v>416</c:v>
                </c:pt>
                <c:pt idx="55">
                  <c:v>342</c:v>
                </c:pt>
                <c:pt idx="56">
                  <c:v>446</c:v>
                </c:pt>
                <c:pt idx="57">
                  <c:v>477</c:v>
                </c:pt>
                <c:pt idx="58">
                  <c:v>444</c:v>
                </c:pt>
                <c:pt idx="59">
                  <c:v>351</c:v>
                </c:pt>
                <c:pt idx="60">
                  <c:v>165</c:v>
                </c:pt>
                <c:pt idx="61">
                  <c:v>317</c:v>
                </c:pt>
                <c:pt idx="62">
                  <c:v>250</c:v>
                </c:pt>
                <c:pt idx="63">
                  <c:v>217</c:v>
                </c:pt>
                <c:pt idx="64">
                  <c:v>138</c:v>
                </c:pt>
                <c:pt idx="65">
                  <c:v>302</c:v>
                </c:pt>
                <c:pt idx="66">
                  <c:v>311</c:v>
                </c:pt>
                <c:pt idx="67">
                  <c:v>373</c:v>
                </c:pt>
                <c:pt idx="68">
                  <c:v>196</c:v>
                </c:pt>
                <c:pt idx="69">
                  <c:v>306</c:v>
                </c:pt>
                <c:pt idx="70">
                  <c:v>302</c:v>
                </c:pt>
                <c:pt idx="71">
                  <c:v>278</c:v>
                </c:pt>
                <c:pt idx="72">
                  <c:v>429</c:v>
                </c:pt>
                <c:pt idx="73">
                  <c:v>338</c:v>
                </c:pt>
                <c:pt idx="74">
                  <c:v>261</c:v>
                </c:pt>
                <c:pt idx="75">
                  <c:v>256</c:v>
                </c:pt>
                <c:pt idx="76">
                  <c:v>183</c:v>
                </c:pt>
                <c:pt idx="77">
                  <c:v>274</c:v>
                </c:pt>
                <c:pt idx="78">
                  <c:v>182</c:v>
                </c:pt>
                <c:pt idx="79">
                  <c:v>183</c:v>
                </c:pt>
                <c:pt idx="80">
                  <c:v>309</c:v>
                </c:pt>
                <c:pt idx="81">
                  <c:v>178</c:v>
                </c:pt>
                <c:pt idx="82">
                  <c:v>458</c:v>
                </c:pt>
                <c:pt idx="83">
                  <c:v>234</c:v>
                </c:pt>
                <c:pt idx="84">
                  <c:v>306</c:v>
                </c:pt>
                <c:pt idx="85">
                  <c:v>400</c:v>
                </c:pt>
                <c:pt idx="86">
                  <c:v>337</c:v>
                </c:pt>
                <c:pt idx="87">
                  <c:v>325</c:v>
                </c:pt>
                <c:pt idx="88">
                  <c:v>329</c:v>
                </c:pt>
                <c:pt idx="89">
                  <c:v>369</c:v>
                </c:pt>
                <c:pt idx="90">
                  <c:v>457</c:v>
                </c:pt>
                <c:pt idx="91">
                  <c:v>421</c:v>
                </c:pt>
                <c:pt idx="92">
                  <c:v>282</c:v>
                </c:pt>
                <c:pt idx="93">
                  <c:v>256</c:v>
                </c:pt>
              </c:numCache>
            </c:numRef>
          </c:xVal>
          <c:yVal>
            <c:numRef>
              <c:f>'Analysis ToolPak'!$P$29:$P$122</c:f>
              <c:numCache>
                <c:formatCode>General</c:formatCode>
                <c:ptCount val="94"/>
                <c:pt idx="0">
                  <c:v>-68.762357616460577</c:v>
                </c:pt>
                <c:pt idx="1">
                  <c:v>-27.130699929935076</c:v>
                </c:pt>
                <c:pt idx="2">
                  <c:v>-5.30498560502906</c:v>
                </c:pt>
                <c:pt idx="3">
                  <c:v>-45.984282786827123</c:v>
                </c:pt>
                <c:pt idx="4">
                  <c:v>17.41652697004281</c:v>
                </c:pt>
                <c:pt idx="5">
                  <c:v>5.9640289335504804</c:v>
                </c:pt>
                <c:pt idx="6">
                  <c:v>3.7280319654259984</c:v>
                </c:pt>
                <c:pt idx="7">
                  <c:v>21.124242810886528</c:v>
                </c:pt>
                <c:pt idx="8">
                  <c:v>8.8176117904425837</c:v>
                </c:pt>
                <c:pt idx="9">
                  <c:v>2.1948768632060194</c:v>
                </c:pt>
                <c:pt idx="10">
                  <c:v>0.34101894278416012</c:v>
                </c:pt>
                <c:pt idx="11">
                  <c:v>-57.088209473131457</c:v>
                </c:pt>
                <c:pt idx="12">
                  <c:v>35.973226756369286</c:v>
                </c:pt>
                <c:pt idx="13">
                  <c:v>12.185403976857486</c:v>
                </c:pt>
                <c:pt idx="14">
                  <c:v>8.6760686222738173</c:v>
                </c:pt>
                <c:pt idx="15">
                  <c:v>16.156985317811817</c:v>
                </c:pt>
                <c:pt idx="16">
                  <c:v>-4.7718305028091095</c:v>
                </c:pt>
                <c:pt idx="17">
                  <c:v>38.058207669976468</c:v>
                </c:pt>
                <c:pt idx="18">
                  <c:v>-10.597544827715126</c:v>
                </c:pt>
                <c:pt idx="19">
                  <c:v>-37.356948948181241</c:v>
                </c:pt>
                <c:pt idx="20">
                  <c:v>7.1948768632060194</c:v>
                </c:pt>
                <c:pt idx="21">
                  <c:v>-21.03164721856993</c:v>
                </c:pt>
                <c:pt idx="22">
                  <c:v>-41.923121620856222</c:v>
                </c:pt>
                <c:pt idx="23">
                  <c:v>24.7891931313969</c:v>
                </c:pt>
                <c:pt idx="24">
                  <c:v>17.062806581385843</c:v>
                </c:pt>
                <c:pt idx="25">
                  <c:v>-1.5550543709115345</c:v>
                </c:pt>
                <c:pt idx="26">
                  <c:v>-6.871158277704069</c:v>
                </c:pt>
                <c:pt idx="27">
                  <c:v>-18.305260668558859</c:v>
                </c:pt>
                <c:pt idx="28">
                  <c:v>8.04386080868872</c:v>
                </c:pt>
                <c:pt idx="29">
                  <c:v>16.161859292750989</c:v>
                </c:pt>
                <c:pt idx="30">
                  <c:v>51.213822635903171</c:v>
                </c:pt>
                <c:pt idx="31">
                  <c:v>27.369437601829816</c:v>
                </c:pt>
                <c:pt idx="32">
                  <c:v>24.227894433661078</c:v>
                </c:pt>
                <c:pt idx="33">
                  <c:v>-25.687124652731711</c:v>
                </c:pt>
                <c:pt idx="34">
                  <c:v>26.072279467734404</c:v>
                </c:pt>
                <c:pt idx="35">
                  <c:v>27.661996824515882</c:v>
                </c:pt>
                <c:pt idx="36">
                  <c:v>-55.828667820900478</c:v>
                </c:pt>
                <c:pt idx="37">
                  <c:v>-26.696597539080244</c:v>
                </c:pt>
                <c:pt idx="38">
                  <c:v>-41.210531805073288</c:v>
                </c:pt>
                <c:pt idx="39">
                  <c:v>11.242241294948826</c:v>
                </c:pt>
                <c:pt idx="40">
                  <c:v>39.982699642717819</c:v>
                </c:pt>
                <c:pt idx="41">
                  <c:v>8.6760686222738173</c:v>
                </c:pt>
                <c:pt idx="42">
                  <c:v>-23.890104050401163</c:v>
                </c:pt>
                <c:pt idx="43">
                  <c:v>72.798666017745461</c:v>
                </c:pt>
                <c:pt idx="44">
                  <c:v>-20.979683875417777</c:v>
                </c:pt>
                <c:pt idx="45">
                  <c:v>23.931011363095422</c:v>
                </c:pt>
                <c:pt idx="46">
                  <c:v>-26.460600570955762</c:v>
                </c:pt>
                <c:pt idx="47">
                  <c:v>-3.7721055663389222</c:v>
                </c:pt>
                <c:pt idx="48">
                  <c:v>13.020316124582223</c:v>
                </c:pt>
                <c:pt idx="49">
                  <c:v>36.421400944981997</c:v>
                </c:pt>
                <c:pt idx="50">
                  <c:v>-4.6446341959281199</c:v>
                </c:pt>
                <c:pt idx="51">
                  <c:v>32.690140420031753</c:v>
                </c:pt>
                <c:pt idx="52">
                  <c:v>14.912065590398299</c:v>
                </c:pt>
                <c:pt idx="53">
                  <c:v>-7.3190574027869957</c:v>
                </c:pt>
                <c:pt idx="54">
                  <c:v>22.978100731308416</c:v>
                </c:pt>
                <c:pt idx="55">
                  <c:v>65.709086192728876</c:v>
                </c:pt>
                <c:pt idx="56">
                  <c:v>-18.30011163008993</c:v>
                </c:pt>
                <c:pt idx="57">
                  <c:v>21.997046504005539</c:v>
                </c:pt>
                <c:pt idx="58">
                  <c:v>15.855503335836772</c:v>
                </c:pt>
                <c:pt idx="59">
                  <c:v>45.784594219987525</c:v>
                </c:pt>
                <c:pt idx="60">
                  <c:v>-27.616490600412249</c:v>
                </c:pt>
                <c:pt idx="61">
                  <c:v>19.015717213172877</c:v>
                </c:pt>
                <c:pt idx="62">
                  <c:v>3.6665957359252559</c:v>
                </c:pt>
                <c:pt idx="63">
                  <c:v>-41.729615109535303</c:v>
                </c:pt>
                <c:pt idx="64">
                  <c:v>-14.32880535266537</c:v>
                </c:pt>
                <c:pt idx="65">
                  <c:v>13.312875347268289</c:v>
                </c:pt>
                <c:pt idx="66">
                  <c:v>-27.271968034574002</c:v>
                </c:pt>
                <c:pt idx="67">
                  <c:v>-20.021899268691584</c:v>
                </c:pt>
                <c:pt idx="68">
                  <c:v>-5.9136487345076603</c:v>
                </c:pt>
                <c:pt idx="69">
                  <c:v>-7.4795463436528848</c:v>
                </c:pt>
                <c:pt idx="70">
                  <c:v>-13.545581484562945</c:v>
                </c:pt>
                <c:pt idx="71">
                  <c:v>-21.017300357282181</c:v>
                </c:pt>
                <c:pt idx="72">
                  <c:v>-2.243549375528346</c:v>
                </c:pt>
                <c:pt idx="73">
                  <c:v>-14.734214020944705</c:v>
                </c:pt>
                <c:pt idx="74">
                  <c:v>-30.786177364096829</c:v>
                </c:pt>
                <c:pt idx="75">
                  <c:v>-3.7626326799903609</c:v>
                </c:pt>
                <c:pt idx="76">
                  <c:v>-24.078736586782895</c:v>
                </c:pt>
                <c:pt idx="77">
                  <c:v>7.0062443268242873</c:v>
                </c:pt>
                <c:pt idx="78">
                  <c:v>2.8127378155033966</c:v>
                </c:pt>
                <c:pt idx="79">
                  <c:v>15.175931090508925</c:v>
                </c:pt>
                <c:pt idx="80">
                  <c:v>23.411928058633407</c:v>
                </c:pt>
                <c:pt idx="81">
                  <c:v>-11.517437889047102</c:v>
                </c:pt>
                <c:pt idx="82">
                  <c:v>50.515854744937769</c:v>
                </c:pt>
                <c:pt idx="83">
                  <c:v>-28.861685391355536</c:v>
                </c:pt>
                <c:pt idx="84">
                  <c:v>31.775121333638936</c:v>
                </c:pt>
                <c:pt idx="85">
                  <c:v>88.586488797257232</c:v>
                </c:pt>
                <c:pt idx="86">
                  <c:v>9.0582076699764684</c:v>
                </c:pt>
                <c:pt idx="87">
                  <c:v>-8.1068801822987666</c:v>
                </c:pt>
                <c:pt idx="88">
                  <c:v>-45.427583000500704</c:v>
                </c:pt>
                <c:pt idx="89">
                  <c:v>-9.5596532823208804</c:v>
                </c:pt>
                <c:pt idx="90">
                  <c:v>-19.69632247555046</c:v>
                </c:pt>
                <c:pt idx="91">
                  <c:v>-0.94639124143293429</c:v>
                </c:pt>
                <c:pt idx="92">
                  <c:v>-48.007827470933648</c:v>
                </c:pt>
                <c:pt idx="93">
                  <c:v>-62.64463419592812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40-BD4E-A696-E962D9278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5527392"/>
        <c:axId val="1065529072"/>
      </c:scatterChart>
      <c:valAx>
        <c:axId val="1065527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5529072"/>
        <c:crosses val="autoZero"/>
        <c:crossBetween val="midCat"/>
      </c:valAx>
      <c:valAx>
        <c:axId val="10655290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0655273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252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'Analysis ToolPak'!$B$7:$B$100</c:f>
              <c:numCache>
                <c:formatCode>General</c:formatCode>
                <c:ptCount val="94"/>
                <c:pt idx="0">
                  <c:v>423</c:v>
                </c:pt>
                <c:pt idx="1">
                  <c:v>101</c:v>
                </c:pt>
                <c:pt idx="2">
                  <c:v>288</c:v>
                </c:pt>
                <c:pt idx="3">
                  <c:v>248</c:v>
                </c:pt>
                <c:pt idx="4">
                  <c:v>145</c:v>
                </c:pt>
                <c:pt idx="5">
                  <c:v>401</c:v>
                </c:pt>
                <c:pt idx="6">
                  <c:v>287</c:v>
                </c:pt>
                <c:pt idx="7">
                  <c:v>275</c:v>
                </c:pt>
                <c:pt idx="8">
                  <c:v>254</c:v>
                </c:pt>
                <c:pt idx="9">
                  <c:v>182</c:v>
                </c:pt>
                <c:pt idx="10">
                  <c:v>117</c:v>
                </c:pt>
                <c:pt idx="11">
                  <c:v>130</c:v>
                </c:pt>
                <c:pt idx="12">
                  <c:v>219</c:v>
                </c:pt>
                <c:pt idx="13">
                  <c:v>152</c:v>
                </c:pt>
                <c:pt idx="14">
                  <c:v>228</c:v>
                </c:pt>
                <c:pt idx="15">
                  <c:v>62</c:v>
                </c:pt>
                <c:pt idx="16">
                  <c:v>393</c:v>
                </c:pt>
                <c:pt idx="17">
                  <c:v>277</c:v>
                </c:pt>
                <c:pt idx="18">
                  <c:v>206</c:v>
                </c:pt>
                <c:pt idx="19">
                  <c:v>229</c:v>
                </c:pt>
                <c:pt idx="20">
                  <c:v>182</c:v>
                </c:pt>
                <c:pt idx="21">
                  <c:v>98</c:v>
                </c:pt>
                <c:pt idx="22">
                  <c:v>125</c:v>
                </c:pt>
                <c:pt idx="23">
                  <c:v>164</c:v>
                </c:pt>
                <c:pt idx="24">
                  <c:v>186</c:v>
                </c:pt>
                <c:pt idx="25">
                  <c:v>235</c:v>
                </c:pt>
                <c:pt idx="26">
                  <c:v>184</c:v>
                </c:pt>
                <c:pt idx="27">
                  <c:v>76</c:v>
                </c:pt>
                <c:pt idx="28">
                  <c:v>126</c:v>
                </c:pt>
                <c:pt idx="29">
                  <c:v>183</c:v>
                </c:pt>
                <c:pt idx="30">
                  <c:v>242</c:v>
                </c:pt>
                <c:pt idx="31">
                  <c:v>207</c:v>
                </c:pt>
                <c:pt idx="32">
                  <c:v>181</c:v>
                </c:pt>
                <c:pt idx="33">
                  <c:v>239</c:v>
                </c:pt>
                <c:pt idx="34">
                  <c:v>216</c:v>
                </c:pt>
                <c:pt idx="35">
                  <c:v>289</c:v>
                </c:pt>
                <c:pt idx="36">
                  <c:v>213</c:v>
                </c:pt>
                <c:pt idx="37">
                  <c:v>209</c:v>
                </c:pt>
                <c:pt idx="38">
                  <c:v>376</c:v>
                </c:pt>
                <c:pt idx="39">
                  <c:v>332</c:v>
                </c:pt>
                <c:pt idx="40">
                  <c:v>249</c:v>
                </c:pt>
                <c:pt idx="41">
                  <c:v>228</c:v>
                </c:pt>
                <c:pt idx="42">
                  <c:v>124</c:v>
                </c:pt>
                <c:pt idx="43">
                  <c:v>194</c:v>
                </c:pt>
                <c:pt idx="44">
                  <c:v>157</c:v>
                </c:pt>
                <c:pt idx="45">
                  <c:v>402</c:v>
                </c:pt>
                <c:pt idx="46">
                  <c:v>323</c:v>
                </c:pt>
                <c:pt idx="47">
                  <c:v>181</c:v>
                </c:pt>
                <c:pt idx="48">
                  <c:v>157</c:v>
                </c:pt>
                <c:pt idx="49">
                  <c:v>266</c:v>
                </c:pt>
                <c:pt idx="50">
                  <c:v>268</c:v>
                </c:pt>
                <c:pt idx="51">
                  <c:v>167</c:v>
                </c:pt>
                <c:pt idx="52">
                  <c:v>342</c:v>
                </c:pt>
                <c:pt idx="53">
                  <c:v>349</c:v>
                </c:pt>
                <c:pt idx="54">
                  <c:v>340</c:v>
                </c:pt>
                <c:pt idx="55">
                  <c:v>227</c:v>
                </c:pt>
                <c:pt idx="56">
                  <c:v>409</c:v>
                </c:pt>
                <c:pt idx="57">
                  <c:v>400</c:v>
                </c:pt>
                <c:pt idx="58">
                  <c:v>374</c:v>
                </c:pt>
                <c:pt idx="59">
                  <c:v>255</c:v>
                </c:pt>
                <c:pt idx="60">
                  <c:v>146</c:v>
                </c:pt>
                <c:pt idx="61">
                  <c:v>248</c:v>
                </c:pt>
                <c:pt idx="62">
                  <c:v>198</c:v>
                </c:pt>
                <c:pt idx="63">
                  <c:v>210</c:v>
                </c:pt>
                <c:pt idx="64">
                  <c:v>107</c:v>
                </c:pt>
                <c:pt idx="65">
                  <c:v>239</c:v>
                </c:pt>
                <c:pt idx="66">
                  <c:v>287</c:v>
                </c:pt>
                <c:pt idx="67">
                  <c:v>340</c:v>
                </c:pt>
                <c:pt idx="68">
                  <c:v>155</c:v>
                </c:pt>
                <c:pt idx="69">
                  <c:v>263</c:v>
                </c:pt>
                <c:pt idx="70">
                  <c:v>265</c:v>
                </c:pt>
                <c:pt idx="71">
                  <c:v>249</c:v>
                </c:pt>
                <c:pt idx="72">
                  <c:v>377</c:v>
                </c:pt>
                <c:pt idx="73">
                  <c:v>301</c:v>
                </c:pt>
                <c:pt idx="74">
                  <c:v>242</c:v>
                </c:pt>
                <c:pt idx="75">
                  <c:v>211</c:v>
                </c:pt>
                <c:pt idx="76">
                  <c:v>160</c:v>
                </c:pt>
                <c:pt idx="77">
                  <c:v>218</c:v>
                </c:pt>
                <c:pt idx="78">
                  <c:v>133</c:v>
                </c:pt>
                <c:pt idx="79">
                  <c:v>122</c:v>
                </c:pt>
                <c:pt idx="80">
                  <c:v>236</c:v>
                </c:pt>
                <c:pt idx="81">
                  <c:v>143</c:v>
                </c:pt>
                <c:pt idx="82">
                  <c:v>354</c:v>
                </c:pt>
                <c:pt idx="83">
                  <c:v>214</c:v>
                </c:pt>
                <c:pt idx="84">
                  <c:v>225</c:v>
                </c:pt>
                <c:pt idx="85">
                  <c:v>261</c:v>
                </c:pt>
                <c:pt idx="86">
                  <c:v>277</c:v>
                </c:pt>
                <c:pt idx="87">
                  <c:v>282</c:v>
                </c:pt>
                <c:pt idx="88">
                  <c:v>322</c:v>
                </c:pt>
                <c:pt idx="89">
                  <c:v>326</c:v>
                </c:pt>
                <c:pt idx="90">
                  <c:v>421</c:v>
                </c:pt>
                <c:pt idx="91">
                  <c:v>368</c:v>
                </c:pt>
                <c:pt idx="92">
                  <c:v>279</c:v>
                </c:pt>
                <c:pt idx="93">
                  <c:v>268</c:v>
                </c:pt>
              </c:numCache>
            </c:numRef>
          </c:xVal>
          <c:yVal>
            <c:numRef>
              <c:f>'Analysis ToolPak'!$P$29:$P$122</c:f>
              <c:numCache>
                <c:formatCode>General</c:formatCode>
                <c:ptCount val="94"/>
                <c:pt idx="0">
                  <c:v>-68.762357616460577</c:v>
                </c:pt>
                <c:pt idx="1">
                  <c:v>-27.130699929935076</c:v>
                </c:pt>
                <c:pt idx="2">
                  <c:v>-5.30498560502906</c:v>
                </c:pt>
                <c:pt idx="3">
                  <c:v>-45.984282786827123</c:v>
                </c:pt>
                <c:pt idx="4">
                  <c:v>17.41652697004281</c:v>
                </c:pt>
                <c:pt idx="5">
                  <c:v>5.9640289335504804</c:v>
                </c:pt>
                <c:pt idx="6">
                  <c:v>3.7280319654259984</c:v>
                </c:pt>
                <c:pt idx="7">
                  <c:v>21.124242810886528</c:v>
                </c:pt>
                <c:pt idx="8">
                  <c:v>8.8176117904425837</c:v>
                </c:pt>
                <c:pt idx="9">
                  <c:v>2.1948768632060194</c:v>
                </c:pt>
                <c:pt idx="10">
                  <c:v>0.34101894278416012</c:v>
                </c:pt>
                <c:pt idx="11">
                  <c:v>-57.088209473131457</c:v>
                </c:pt>
                <c:pt idx="12">
                  <c:v>35.973226756369286</c:v>
                </c:pt>
                <c:pt idx="13">
                  <c:v>12.185403976857486</c:v>
                </c:pt>
                <c:pt idx="14">
                  <c:v>8.6760686222738173</c:v>
                </c:pt>
                <c:pt idx="15">
                  <c:v>16.156985317811817</c:v>
                </c:pt>
                <c:pt idx="16">
                  <c:v>-4.7718305028091095</c:v>
                </c:pt>
                <c:pt idx="17">
                  <c:v>38.058207669976468</c:v>
                </c:pt>
                <c:pt idx="18">
                  <c:v>-10.597544827715126</c:v>
                </c:pt>
                <c:pt idx="19">
                  <c:v>-37.356948948181241</c:v>
                </c:pt>
                <c:pt idx="20">
                  <c:v>7.1948768632060194</c:v>
                </c:pt>
                <c:pt idx="21">
                  <c:v>-21.03164721856993</c:v>
                </c:pt>
                <c:pt idx="22">
                  <c:v>-41.923121620856222</c:v>
                </c:pt>
                <c:pt idx="23">
                  <c:v>24.7891931313969</c:v>
                </c:pt>
                <c:pt idx="24">
                  <c:v>17.062806581385843</c:v>
                </c:pt>
                <c:pt idx="25">
                  <c:v>-1.5550543709115345</c:v>
                </c:pt>
                <c:pt idx="26">
                  <c:v>-6.871158277704069</c:v>
                </c:pt>
                <c:pt idx="27">
                  <c:v>-18.305260668558859</c:v>
                </c:pt>
                <c:pt idx="28">
                  <c:v>8.04386080868872</c:v>
                </c:pt>
                <c:pt idx="29">
                  <c:v>16.161859292750989</c:v>
                </c:pt>
                <c:pt idx="30">
                  <c:v>51.213822635903171</c:v>
                </c:pt>
                <c:pt idx="31">
                  <c:v>27.369437601829816</c:v>
                </c:pt>
                <c:pt idx="32">
                  <c:v>24.227894433661078</c:v>
                </c:pt>
                <c:pt idx="33">
                  <c:v>-25.687124652731711</c:v>
                </c:pt>
                <c:pt idx="34">
                  <c:v>26.072279467734404</c:v>
                </c:pt>
                <c:pt idx="35">
                  <c:v>27.661996824515882</c:v>
                </c:pt>
                <c:pt idx="36">
                  <c:v>-55.828667820900478</c:v>
                </c:pt>
                <c:pt idx="37">
                  <c:v>-26.696597539080244</c:v>
                </c:pt>
                <c:pt idx="38">
                  <c:v>-41.210531805073288</c:v>
                </c:pt>
                <c:pt idx="39">
                  <c:v>11.242241294948826</c:v>
                </c:pt>
                <c:pt idx="40">
                  <c:v>39.982699642717819</c:v>
                </c:pt>
                <c:pt idx="41">
                  <c:v>8.6760686222738173</c:v>
                </c:pt>
                <c:pt idx="42">
                  <c:v>-23.890104050401163</c:v>
                </c:pt>
                <c:pt idx="43">
                  <c:v>72.798666017745461</c:v>
                </c:pt>
                <c:pt idx="44">
                  <c:v>-20.979683875417777</c:v>
                </c:pt>
                <c:pt idx="45">
                  <c:v>23.931011363095422</c:v>
                </c:pt>
                <c:pt idx="46">
                  <c:v>-26.460600570955762</c:v>
                </c:pt>
                <c:pt idx="47">
                  <c:v>-3.7721055663389222</c:v>
                </c:pt>
                <c:pt idx="48">
                  <c:v>13.020316124582223</c:v>
                </c:pt>
                <c:pt idx="49">
                  <c:v>36.421400944981997</c:v>
                </c:pt>
                <c:pt idx="50">
                  <c:v>-4.6446341959281199</c:v>
                </c:pt>
                <c:pt idx="51">
                  <c:v>32.690140420031753</c:v>
                </c:pt>
                <c:pt idx="52">
                  <c:v>14.912065590398299</c:v>
                </c:pt>
                <c:pt idx="53">
                  <c:v>-7.3190574027869957</c:v>
                </c:pt>
                <c:pt idx="54">
                  <c:v>22.978100731308416</c:v>
                </c:pt>
                <c:pt idx="55">
                  <c:v>65.709086192728876</c:v>
                </c:pt>
                <c:pt idx="56">
                  <c:v>-18.30011163008993</c:v>
                </c:pt>
                <c:pt idx="57">
                  <c:v>21.997046504005539</c:v>
                </c:pt>
                <c:pt idx="58">
                  <c:v>15.855503335836772</c:v>
                </c:pt>
                <c:pt idx="59">
                  <c:v>45.784594219987525</c:v>
                </c:pt>
                <c:pt idx="60">
                  <c:v>-27.616490600412249</c:v>
                </c:pt>
                <c:pt idx="61">
                  <c:v>19.015717213172877</c:v>
                </c:pt>
                <c:pt idx="62">
                  <c:v>3.6665957359252559</c:v>
                </c:pt>
                <c:pt idx="63">
                  <c:v>-41.729615109535303</c:v>
                </c:pt>
                <c:pt idx="64">
                  <c:v>-14.32880535266537</c:v>
                </c:pt>
                <c:pt idx="65">
                  <c:v>13.312875347268289</c:v>
                </c:pt>
                <c:pt idx="66">
                  <c:v>-27.271968034574002</c:v>
                </c:pt>
                <c:pt idx="67">
                  <c:v>-20.021899268691584</c:v>
                </c:pt>
                <c:pt idx="68">
                  <c:v>-5.9136487345076603</c:v>
                </c:pt>
                <c:pt idx="69">
                  <c:v>-7.4795463436528848</c:v>
                </c:pt>
                <c:pt idx="70">
                  <c:v>-13.545581484562945</c:v>
                </c:pt>
                <c:pt idx="71">
                  <c:v>-21.017300357282181</c:v>
                </c:pt>
                <c:pt idx="72">
                  <c:v>-2.243549375528346</c:v>
                </c:pt>
                <c:pt idx="73">
                  <c:v>-14.734214020944705</c:v>
                </c:pt>
                <c:pt idx="74">
                  <c:v>-30.786177364096829</c:v>
                </c:pt>
                <c:pt idx="75">
                  <c:v>-3.7626326799903609</c:v>
                </c:pt>
                <c:pt idx="76">
                  <c:v>-24.078736586782895</c:v>
                </c:pt>
                <c:pt idx="77">
                  <c:v>7.0062443268242873</c:v>
                </c:pt>
                <c:pt idx="78">
                  <c:v>2.8127378155033966</c:v>
                </c:pt>
                <c:pt idx="79">
                  <c:v>15.175931090508925</c:v>
                </c:pt>
                <c:pt idx="80">
                  <c:v>23.411928058633407</c:v>
                </c:pt>
                <c:pt idx="81">
                  <c:v>-11.517437889047102</c:v>
                </c:pt>
                <c:pt idx="82">
                  <c:v>50.515854744937769</c:v>
                </c:pt>
                <c:pt idx="83">
                  <c:v>-28.861685391355536</c:v>
                </c:pt>
                <c:pt idx="84">
                  <c:v>31.775121333638936</c:v>
                </c:pt>
                <c:pt idx="85">
                  <c:v>88.586488797257232</c:v>
                </c:pt>
                <c:pt idx="86">
                  <c:v>9.0582076699764684</c:v>
                </c:pt>
                <c:pt idx="87">
                  <c:v>-8.1068801822987666</c:v>
                </c:pt>
                <c:pt idx="88">
                  <c:v>-45.427583000500704</c:v>
                </c:pt>
                <c:pt idx="89">
                  <c:v>-9.5596532823208804</c:v>
                </c:pt>
                <c:pt idx="90">
                  <c:v>-19.69632247555046</c:v>
                </c:pt>
                <c:pt idx="91">
                  <c:v>-0.94639124143293429</c:v>
                </c:pt>
                <c:pt idx="92">
                  <c:v>-48.007827470933648</c:v>
                </c:pt>
                <c:pt idx="93">
                  <c:v>-62.64463419592812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8D-B34C-A230-3E39938FE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832544"/>
        <c:axId val="1047935056"/>
      </c:scatterChart>
      <c:valAx>
        <c:axId val="100183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252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7935056"/>
        <c:crosses val="autoZero"/>
        <c:crossBetween val="midCat"/>
      </c:valAx>
      <c:valAx>
        <c:axId val="1047935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18325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Undergrad Grade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Linear Regression'!$B$6:$B$100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'Multiple Linear Regression'!$J$30:$J$124</c:f>
              <c:numCache>
                <c:formatCode>General</c:formatCode>
                <c:ptCount val="95"/>
                <c:pt idx="0">
                  <c:v>-1.3577160032980373</c:v>
                </c:pt>
                <c:pt idx="1">
                  <c:v>-14.087522741904422</c:v>
                </c:pt>
                <c:pt idx="2">
                  <c:v>-15.053611458896569</c:v>
                </c:pt>
                <c:pt idx="3">
                  <c:v>-3.5445793025697299</c:v>
                </c:pt>
                <c:pt idx="4">
                  <c:v>5.9877646069959667</c:v>
                </c:pt>
                <c:pt idx="5">
                  <c:v>15.579268662110763</c:v>
                </c:pt>
                <c:pt idx="6">
                  <c:v>7.5528710284963836</c:v>
                </c:pt>
                <c:pt idx="7">
                  <c:v>-21.92733880563577</c:v>
                </c:pt>
                <c:pt idx="8">
                  <c:v>15.788422682340126</c:v>
                </c:pt>
                <c:pt idx="9">
                  <c:v>-20.72840784555234</c:v>
                </c:pt>
                <c:pt idx="10">
                  <c:v>-2.8899201769581282</c:v>
                </c:pt>
                <c:pt idx="11">
                  <c:v>-8.1045538823149741</c:v>
                </c:pt>
                <c:pt idx="12">
                  <c:v>-16.8270942059672</c:v>
                </c:pt>
                <c:pt idx="13">
                  <c:v>6.835660153344179</c:v>
                </c:pt>
                <c:pt idx="14">
                  <c:v>5.1563983670893379</c:v>
                </c:pt>
                <c:pt idx="15">
                  <c:v>1.4380010902829099</c:v>
                </c:pt>
                <c:pt idx="16">
                  <c:v>6.2153863965128551</c:v>
                </c:pt>
                <c:pt idx="17">
                  <c:v>-9.3468399945012948</c:v>
                </c:pt>
                <c:pt idx="18">
                  <c:v>12.728111508140444</c:v>
                </c:pt>
                <c:pt idx="19">
                  <c:v>-16.17099769029295</c:v>
                </c:pt>
                <c:pt idx="20">
                  <c:v>8.0060400198997002</c:v>
                </c:pt>
                <c:pt idx="21">
                  <c:v>-5.9200092694815112</c:v>
                </c:pt>
                <c:pt idx="22">
                  <c:v>4.4291710428660025</c:v>
                </c:pt>
                <c:pt idx="23">
                  <c:v>-4.4194014463603253</c:v>
                </c:pt>
                <c:pt idx="24">
                  <c:v>-5.8443995678280203</c:v>
                </c:pt>
                <c:pt idx="25">
                  <c:v>-0.27023475118576812</c:v>
                </c:pt>
                <c:pt idx="26">
                  <c:v>-1.5747315162932409</c:v>
                </c:pt>
                <c:pt idx="27">
                  <c:v>-6.7649519246071179</c:v>
                </c:pt>
                <c:pt idx="28">
                  <c:v>1.155087219426818</c:v>
                </c:pt>
                <c:pt idx="29">
                  <c:v>-2.957484272606564</c:v>
                </c:pt>
                <c:pt idx="30">
                  <c:v>-15.162755973934907</c:v>
                </c:pt>
                <c:pt idx="31">
                  <c:v>0.74189603082606936</c:v>
                </c:pt>
                <c:pt idx="32">
                  <c:v>20.741445939280993</c:v>
                </c:pt>
                <c:pt idx="33">
                  <c:v>4.1374580084211061</c:v>
                </c:pt>
                <c:pt idx="34">
                  <c:v>-8.754722117708468</c:v>
                </c:pt>
                <c:pt idx="35">
                  <c:v>-5.376731480280057</c:v>
                </c:pt>
                <c:pt idx="36">
                  <c:v>14.497710439918308</c:v>
                </c:pt>
                <c:pt idx="37">
                  <c:v>-6.368199791388804</c:v>
                </c:pt>
                <c:pt idx="38">
                  <c:v>12.381863703909232</c:v>
                </c:pt>
                <c:pt idx="39">
                  <c:v>-9.9731832639107552</c:v>
                </c:pt>
                <c:pt idx="40">
                  <c:v>2.3733372653789502</c:v>
                </c:pt>
                <c:pt idx="41">
                  <c:v>11.329325410656054</c:v>
                </c:pt>
                <c:pt idx="42">
                  <c:v>7.6430699345055473</c:v>
                </c:pt>
                <c:pt idx="43">
                  <c:v>-3.2170435092818366</c:v>
                </c:pt>
                <c:pt idx="44">
                  <c:v>3.2288283261872266</c:v>
                </c:pt>
                <c:pt idx="45">
                  <c:v>-26.346306541497995</c:v>
                </c:pt>
                <c:pt idx="46">
                  <c:v>4.0250878771016687</c:v>
                </c:pt>
                <c:pt idx="47">
                  <c:v>-9.7784772157397128</c:v>
                </c:pt>
                <c:pt idx="48">
                  <c:v>5.3377819812334906</c:v>
                </c:pt>
                <c:pt idx="49">
                  <c:v>-5.1214482796034417</c:v>
                </c:pt>
                <c:pt idx="50">
                  <c:v>-12.349157184547835</c:v>
                </c:pt>
                <c:pt idx="51">
                  <c:v>17.111535956970897</c:v>
                </c:pt>
                <c:pt idx="52">
                  <c:v>10.573060910018739</c:v>
                </c:pt>
                <c:pt idx="53">
                  <c:v>-9.9772871837839716</c:v>
                </c:pt>
                <c:pt idx="54">
                  <c:v>0.56026368585071396</c:v>
                </c:pt>
                <c:pt idx="55">
                  <c:v>11.147947046872787</c:v>
                </c:pt>
                <c:pt idx="56">
                  <c:v>17.550091749791136</c:v>
                </c:pt>
                <c:pt idx="57">
                  <c:v>-9.8174098491854807</c:v>
                </c:pt>
                <c:pt idx="58">
                  <c:v>-15.510018063694588</c:v>
                </c:pt>
                <c:pt idx="59">
                  <c:v>4.30643136874221</c:v>
                </c:pt>
                <c:pt idx="60">
                  <c:v>20.659096528923953</c:v>
                </c:pt>
                <c:pt idx="61">
                  <c:v>-13.718101423948184</c:v>
                </c:pt>
                <c:pt idx="62">
                  <c:v>-4.9330777223163409</c:v>
                </c:pt>
                <c:pt idx="63">
                  <c:v>-1.8656398690680476</c:v>
                </c:pt>
                <c:pt idx="64">
                  <c:v>-7.7207372127785732</c:v>
                </c:pt>
                <c:pt idx="65">
                  <c:v>-1.6438727379099021</c:v>
                </c:pt>
                <c:pt idx="66">
                  <c:v>12.360079448943964</c:v>
                </c:pt>
                <c:pt idx="67">
                  <c:v>-2.1917759028742125</c:v>
                </c:pt>
                <c:pt idx="68">
                  <c:v>-18.346903115701423</c:v>
                </c:pt>
                <c:pt idx="69">
                  <c:v>13.824061327943866</c:v>
                </c:pt>
                <c:pt idx="70">
                  <c:v>10.424216567597341</c:v>
                </c:pt>
                <c:pt idx="71">
                  <c:v>12.104213167569469</c:v>
                </c:pt>
                <c:pt idx="72">
                  <c:v>-8.4252169777464019</c:v>
                </c:pt>
                <c:pt idx="73">
                  <c:v>18.449155074499117</c:v>
                </c:pt>
                <c:pt idx="74">
                  <c:v>19.67270218873125</c:v>
                </c:pt>
                <c:pt idx="75">
                  <c:v>4.8828517506227058</c:v>
                </c:pt>
                <c:pt idx="76">
                  <c:v>-7.3086985492201393</c:v>
                </c:pt>
                <c:pt idx="77">
                  <c:v>5.7164495615401165</c:v>
                </c:pt>
                <c:pt idx="78">
                  <c:v>-7.9366376884642023</c:v>
                </c:pt>
                <c:pt idx="79">
                  <c:v>2.3148195677586614</c:v>
                </c:pt>
                <c:pt idx="80">
                  <c:v>12.042781705699269</c:v>
                </c:pt>
                <c:pt idx="81">
                  <c:v>7.7375501268745666</c:v>
                </c:pt>
                <c:pt idx="82">
                  <c:v>2.6245352900488115</c:v>
                </c:pt>
                <c:pt idx="83">
                  <c:v>4.9419472785799599</c:v>
                </c:pt>
                <c:pt idx="84">
                  <c:v>3.1190616034781726</c:v>
                </c:pt>
                <c:pt idx="85">
                  <c:v>2.5153907750104167</c:v>
                </c:pt>
                <c:pt idx="86">
                  <c:v>-1.631893688917387</c:v>
                </c:pt>
                <c:pt idx="87">
                  <c:v>8.54838688503105</c:v>
                </c:pt>
                <c:pt idx="88">
                  <c:v>21.150993800275614</c:v>
                </c:pt>
                <c:pt idx="89">
                  <c:v>-18.930823653469929</c:v>
                </c:pt>
                <c:pt idx="90">
                  <c:v>-9.5462961644436177</c:v>
                </c:pt>
                <c:pt idx="91">
                  <c:v>14.45733892001806</c:v>
                </c:pt>
                <c:pt idx="92">
                  <c:v>3.32187488246268</c:v>
                </c:pt>
                <c:pt idx="93">
                  <c:v>-21.061397833348508</c:v>
                </c:pt>
                <c:pt idx="94">
                  <c:v>-18.623217013759586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30-CE45-8C7A-B8C9D2C95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138768"/>
        <c:axId val="1008283152"/>
      </c:scatterChart>
      <c:valAx>
        <c:axId val="1008138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Undergrad Grade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8283152"/>
        <c:crosses val="autoZero"/>
        <c:crossBetween val="midCat"/>
      </c:valAx>
      <c:valAx>
        <c:axId val="1008283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081387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Employability (Before)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'Multiple Linear Regression'!$C$6:$C$100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'Multiple Linear Regression'!$J$30:$J$124</c:f>
              <c:numCache>
                <c:formatCode>General</c:formatCode>
                <c:ptCount val="95"/>
                <c:pt idx="0">
                  <c:v>-1.3577160032980373</c:v>
                </c:pt>
                <c:pt idx="1">
                  <c:v>-14.087522741904422</c:v>
                </c:pt>
                <c:pt idx="2">
                  <c:v>-15.053611458896569</c:v>
                </c:pt>
                <c:pt idx="3">
                  <c:v>-3.5445793025697299</c:v>
                </c:pt>
                <c:pt idx="4">
                  <c:v>5.9877646069959667</c:v>
                </c:pt>
                <c:pt idx="5">
                  <c:v>15.579268662110763</c:v>
                </c:pt>
                <c:pt idx="6">
                  <c:v>7.5528710284963836</c:v>
                </c:pt>
                <c:pt idx="7">
                  <c:v>-21.92733880563577</c:v>
                </c:pt>
                <c:pt idx="8">
                  <c:v>15.788422682340126</c:v>
                </c:pt>
                <c:pt idx="9">
                  <c:v>-20.72840784555234</c:v>
                </c:pt>
                <c:pt idx="10">
                  <c:v>-2.8899201769581282</c:v>
                </c:pt>
                <c:pt idx="11">
                  <c:v>-8.1045538823149741</c:v>
                </c:pt>
                <c:pt idx="12">
                  <c:v>-16.8270942059672</c:v>
                </c:pt>
                <c:pt idx="13">
                  <c:v>6.835660153344179</c:v>
                </c:pt>
                <c:pt idx="14">
                  <c:v>5.1563983670893379</c:v>
                </c:pt>
                <c:pt idx="15">
                  <c:v>1.4380010902829099</c:v>
                </c:pt>
                <c:pt idx="16">
                  <c:v>6.2153863965128551</c:v>
                </c:pt>
                <c:pt idx="17">
                  <c:v>-9.3468399945012948</c:v>
                </c:pt>
                <c:pt idx="18">
                  <c:v>12.728111508140444</c:v>
                </c:pt>
                <c:pt idx="19">
                  <c:v>-16.17099769029295</c:v>
                </c:pt>
                <c:pt idx="20">
                  <c:v>8.0060400198997002</c:v>
                </c:pt>
                <c:pt idx="21">
                  <c:v>-5.9200092694815112</c:v>
                </c:pt>
                <c:pt idx="22">
                  <c:v>4.4291710428660025</c:v>
                </c:pt>
                <c:pt idx="23">
                  <c:v>-4.4194014463603253</c:v>
                </c:pt>
                <c:pt idx="24">
                  <c:v>-5.8443995678280203</c:v>
                </c:pt>
                <c:pt idx="25">
                  <c:v>-0.27023475118576812</c:v>
                </c:pt>
                <c:pt idx="26">
                  <c:v>-1.5747315162932409</c:v>
                </c:pt>
                <c:pt idx="27">
                  <c:v>-6.7649519246071179</c:v>
                </c:pt>
                <c:pt idx="28">
                  <c:v>1.155087219426818</c:v>
                </c:pt>
                <c:pt idx="29">
                  <c:v>-2.957484272606564</c:v>
                </c:pt>
                <c:pt idx="30">
                  <c:v>-15.162755973934907</c:v>
                </c:pt>
                <c:pt idx="31">
                  <c:v>0.74189603082606936</c:v>
                </c:pt>
                <c:pt idx="32">
                  <c:v>20.741445939280993</c:v>
                </c:pt>
                <c:pt idx="33">
                  <c:v>4.1374580084211061</c:v>
                </c:pt>
                <c:pt idx="34">
                  <c:v>-8.754722117708468</c:v>
                </c:pt>
                <c:pt idx="35">
                  <c:v>-5.376731480280057</c:v>
                </c:pt>
                <c:pt idx="36">
                  <c:v>14.497710439918308</c:v>
                </c:pt>
                <c:pt idx="37">
                  <c:v>-6.368199791388804</c:v>
                </c:pt>
                <c:pt idx="38">
                  <c:v>12.381863703909232</c:v>
                </c:pt>
                <c:pt idx="39">
                  <c:v>-9.9731832639107552</c:v>
                </c:pt>
                <c:pt idx="40">
                  <c:v>2.3733372653789502</c:v>
                </c:pt>
                <c:pt idx="41">
                  <c:v>11.329325410656054</c:v>
                </c:pt>
                <c:pt idx="42">
                  <c:v>7.6430699345055473</c:v>
                </c:pt>
                <c:pt idx="43">
                  <c:v>-3.2170435092818366</c:v>
                </c:pt>
                <c:pt idx="44">
                  <c:v>3.2288283261872266</c:v>
                </c:pt>
                <c:pt idx="45">
                  <c:v>-26.346306541497995</c:v>
                </c:pt>
                <c:pt idx="46">
                  <c:v>4.0250878771016687</c:v>
                </c:pt>
                <c:pt idx="47">
                  <c:v>-9.7784772157397128</c:v>
                </c:pt>
                <c:pt idx="48">
                  <c:v>5.3377819812334906</c:v>
                </c:pt>
                <c:pt idx="49">
                  <c:v>-5.1214482796034417</c:v>
                </c:pt>
                <c:pt idx="50">
                  <c:v>-12.349157184547835</c:v>
                </c:pt>
                <c:pt idx="51">
                  <c:v>17.111535956970897</c:v>
                </c:pt>
                <c:pt idx="52">
                  <c:v>10.573060910018739</c:v>
                </c:pt>
                <c:pt idx="53">
                  <c:v>-9.9772871837839716</c:v>
                </c:pt>
                <c:pt idx="54">
                  <c:v>0.56026368585071396</c:v>
                </c:pt>
                <c:pt idx="55">
                  <c:v>11.147947046872787</c:v>
                </c:pt>
                <c:pt idx="56">
                  <c:v>17.550091749791136</c:v>
                </c:pt>
                <c:pt idx="57">
                  <c:v>-9.8174098491854807</c:v>
                </c:pt>
                <c:pt idx="58">
                  <c:v>-15.510018063694588</c:v>
                </c:pt>
                <c:pt idx="59">
                  <c:v>4.30643136874221</c:v>
                </c:pt>
                <c:pt idx="60">
                  <c:v>20.659096528923953</c:v>
                </c:pt>
                <c:pt idx="61">
                  <c:v>-13.718101423948184</c:v>
                </c:pt>
                <c:pt idx="62">
                  <c:v>-4.9330777223163409</c:v>
                </c:pt>
                <c:pt idx="63">
                  <c:v>-1.8656398690680476</c:v>
                </c:pt>
                <c:pt idx="64">
                  <c:v>-7.7207372127785732</c:v>
                </c:pt>
                <c:pt idx="65">
                  <c:v>-1.6438727379099021</c:v>
                </c:pt>
                <c:pt idx="66">
                  <c:v>12.360079448943964</c:v>
                </c:pt>
                <c:pt idx="67">
                  <c:v>-2.1917759028742125</c:v>
                </c:pt>
                <c:pt idx="68">
                  <c:v>-18.346903115701423</c:v>
                </c:pt>
                <c:pt idx="69">
                  <c:v>13.824061327943866</c:v>
                </c:pt>
                <c:pt idx="70">
                  <c:v>10.424216567597341</c:v>
                </c:pt>
                <c:pt idx="71">
                  <c:v>12.104213167569469</c:v>
                </c:pt>
                <c:pt idx="72">
                  <c:v>-8.4252169777464019</c:v>
                </c:pt>
                <c:pt idx="73">
                  <c:v>18.449155074499117</c:v>
                </c:pt>
                <c:pt idx="74">
                  <c:v>19.67270218873125</c:v>
                </c:pt>
                <c:pt idx="75">
                  <c:v>4.8828517506227058</c:v>
                </c:pt>
                <c:pt idx="76">
                  <c:v>-7.3086985492201393</c:v>
                </c:pt>
                <c:pt idx="77">
                  <c:v>5.7164495615401165</c:v>
                </c:pt>
                <c:pt idx="78">
                  <c:v>-7.9366376884642023</c:v>
                </c:pt>
                <c:pt idx="79">
                  <c:v>2.3148195677586614</c:v>
                </c:pt>
                <c:pt idx="80">
                  <c:v>12.042781705699269</c:v>
                </c:pt>
                <c:pt idx="81">
                  <c:v>7.7375501268745666</c:v>
                </c:pt>
                <c:pt idx="82">
                  <c:v>2.6245352900488115</c:v>
                </c:pt>
                <c:pt idx="83">
                  <c:v>4.9419472785799599</c:v>
                </c:pt>
                <c:pt idx="84">
                  <c:v>3.1190616034781726</c:v>
                </c:pt>
                <c:pt idx="85">
                  <c:v>2.5153907750104167</c:v>
                </c:pt>
                <c:pt idx="86">
                  <c:v>-1.631893688917387</c:v>
                </c:pt>
                <c:pt idx="87">
                  <c:v>8.54838688503105</c:v>
                </c:pt>
                <c:pt idx="88">
                  <c:v>21.150993800275614</c:v>
                </c:pt>
                <c:pt idx="89">
                  <c:v>-18.930823653469929</c:v>
                </c:pt>
                <c:pt idx="90">
                  <c:v>-9.5462961644436177</c:v>
                </c:pt>
                <c:pt idx="91">
                  <c:v>14.45733892001806</c:v>
                </c:pt>
                <c:pt idx="92">
                  <c:v>3.32187488246268</c:v>
                </c:pt>
                <c:pt idx="93">
                  <c:v>-21.061397833348508</c:v>
                </c:pt>
                <c:pt idx="94">
                  <c:v>-18.623217013759586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D7-1A43-95DF-2135C0A11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656896"/>
        <c:axId val="1066660544"/>
      </c:scatterChart>
      <c:valAx>
        <c:axId val="1066656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Employability (Before)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6660544"/>
        <c:crosses val="autoZero"/>
        <c:crossBetween val="midCat"/>
      </c:valAx>
      <c:valAx>
        <c:axId val="10666605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66568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Salary Distribution for MBA Graduates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81A64F8D-D368-5F4F-B02A-CE77C7EFB870}">
          <cx:tx>
            <cx:txData>
              <cx:f>_xlchart.v1.0</cx:f>
              <cx:v>Annual Salary (Thousands of USD)</cx:v>
            </cx:txData>
          </cx:tx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"/>
        <cx:title>
          <cx:tx>
            <cx:txData>
              <cx:v>Annual Salary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Annual Salary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>
      <cx:tx>
        <cx:txData>
          <cx:v>Distribution of Grades for MBA Gradutes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Grades for MBA Gradutes</a:t>
          </a:r>
        </a:p>
      </cx:txPr>
    </cx:title>
    <cx:plotArea>
      <cx:plotAreaRegion>
        <cx:series layoutId="clusteredColumn" uniqueId="{C40DAA94-3FDA-1246-A48D-0A0F1CEE9987}">
          <cx:tx>
            <cx:txData>
              <cx:f>_xlchart.v1.3</cx:f>
              <cx:v># of Students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Grades Average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Grades Average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Graduates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>
                  <a:solidFill>
                    <a:schemeClr val="tx1"/>
                  </a:solidFill>
                </a:defRPr>
              </a:pPr>
              <a:r>
                <a:rPr lang="en-US" sz="11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Graduates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_xlchart.v1.8</cx:f>
      </cx:numDim>
    </cx:data>
  </cx:chartData>
  <cx:chart>
    <cx:plotArea>
      <cx:plotAreaRegion>
        <cx:series layoutId="boxWhisker" uniqueId="{6A44A27E-7FE1-7249-B71C-132E79C2482E}">
          <cx:tx>
            <cx:txData>
              <cx:f>_xlchart.v1.5</cx:f>
              <cx:v>Employability (Before)</cx:v>
            </cx:txData>
          </cx:tx>
          <cx:spPr>
            <a:solidFill>
              <a:schemeClr val="accent1">
                <a:lumMod val="75000"/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  <cx:series layoutId="boxWhisker" uniqueId="{1ED8A682-20B2-1C41-AFA0-3105FCA980F2}">
          <cx:tx>
            <cx:txData>
              <cx:f>_xlchart.v1.7</cx:f>
              <cx:v>Employability (After)</cx:v>
            </cx:txData>
          </cx:tx>
          <cx:spPr>
            <a:solidFill>
              <a:schemeClr val="accent2">
                <a:alpha val="30000"/>
              </a:schemeClr>
            </a:solidFill>
          </cx:spPr>
          <cx:dataId val="1"/>
          <cx:layoutPr>
            <cx:visibility meanLine="0" meanMarker="1" nonoutliers="0" outliers="1"/>
            <cx:statistics quartileMethod="inclusive"/>
          </cx:layoutPr>
        </cx:series>
      </cx:plotAreaRegion>
      <cx:axis id="0" hidden="1">
        <cx:catScaling gapWidth="1"/>
        <cx:tickLabels/>
      </cx:axis>
      <cx:axis id="1">
        <cx:valScaling max="500"/>
        <cx:title>
          <cx:tx>
            <cx:txData>
              <cx:v>Employability Scores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Employability Scores</a:t>
              </a:r>
            </a:p>
          </cx:txPr>
        </cx:title>
        <cx:majorTickMarks type="out"/>
        <cx:tickLabels/>
      </cx:axis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plotArea>
      <cx:plotAreaRegion>
        <cx:series layoutId="boxWhisker" uniqueId="{694EBC66-9150-FE4B-8243-30065FAB87F7}">
          <cx:tx>
            <cx:txData>
              <cx:f>_xlchart.v1.10</cx:f>
              <cx:v>MBA Grade</cx:v>
            </cx:txData>
          </cx:tx>
          <cx:spPr>
            <a:solidFill>
              <a:schemeClr val="accent1">
                <a:lumMod val="75000"/>
                <a:alpha val="30000"/>
              </a:schemeClr>
            </a:solidFill>
          </cx:spPr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tle>
          <cx:tx>
            <cx:txData>
              <cx:v>Undergrad Degree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Undergrad Degree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in="60"/>
        <cx:title>
          <cx:tx>
            <cx:txData>
              <cx:v>MBA Grade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MBA Grade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/>
    <cx:plotArea>
      <cx:plotAreaRegion>
        <cx:series layoutId="clusteredColumn" uniqueId="{C749FDBF-0FC4-4549-B2C5-E5A7A4486B0D}">
          <cx:dataId val="0"/>
          <cx:layoutPr>
            <cx:binning intervalClosed="r">
              <cx:binSize val="15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7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chart" Target="../charts/chart11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chart" Target="../charts/chart13.xml"/><Relationship Id="rId4" Type="http://schemas.openxmlformats.org/officeDocument/2006/relationships/image" Target="../media/image18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266700</xdr:colOff>
      <xdr:row>4</xdr:row>
      <xdr:rowOff>101600</xdr:rowOff>
    </xdr:from>
    <xdr:to>
      <xdr:col>22</xdr:col>
      <xdr:colOff>152400</xdr:colOff>
      <xdr:row>21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D389D4-2C9E-A852-494B-A8D760B24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165100</xdr:colOff>
      <xdr:row>4</xdr:row>
      <xdr:rowOff>177800</xdr:rowOff>
    </xdr:from>
    <xdr:to>
      <xdr:col>10</xdr:col>
      <xdr:colOff>469900</xdr:colOff>
      <xdr:row>20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73F960B-CD46-1FF1-3E62-506A42955A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0" y="1104900"/>
              <a:ext cx="5689600" cy="3124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15</xdr:row>
      <xdr:rowOff>76200</xdr:rowOff>
    </xdr:from>
    <xdr:to>
      <xdr:col>14</xdr:col>
      <xdr:colOff>406400</xdr:colOff>
      <xdr:row>34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9BED8DB-AA45-3026-3AA8-74F2F9EA70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19550" y="3314700"/>
              <a:ext cx="6521450" cy="355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374650</xdr:colOff>
      <xdr:row>3</xdr:row>
      <xdr:rowOff>177800</xdr:rowOff>
    </xdr:from>
    <xdr:to>
      <xdr:col>10</xdr:col>
      <xdr:colOff>495300</xdr:colOff>
      <xdr:row>34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AD9C6BE-8275-3D15-3A44-EBA8391819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3250" y="914400"/>
              <a:ext cx="4159250" cy="5778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107950</xdr:colOff>
      <xdr:row>12</xdr:row>
      <xdr:rowOff>0</xdr:rowOff>
    </xdr:from>
    <xdr:to>
      <xdr:col>9</xdr:col>
      <xdr:colOff>381000</xdr:colOff>
      <xdr:row>36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6E3790-CA1C-EE6A-C49A-6479D062D4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3250" y="2451100"/>
              <a:ext cx="4667250" cy="472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8</xdr:col>
      <xdr:colOff>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447F1-1932-6E4D-A93F-6F8DD3BFB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10</xdr:row>
      <xdr:rowOff>47625</xdr:rowOff>
    </xdr:from>
    <xdr:to>
      <xdr:col>9</xdr:col>
      <xdr:colOff>30988</xdr:colOff>
      <xdr:row>13</xdr:row>
      <xdr:rowOff>104067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8B93A2-610F-9CDE-DC8C-93C17A53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2124075"/>
          <a:ext cx="1469263" cy="62794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13</xdr:row>
      <xdr:rowOff>127000</xdr:rowOff>
    </xdr:from>
    <xdr:to>
      <xdr:col>14</xdr:col>
      <xdr:colOff>469900</xdr:colOff>
      <xdr:row>34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E703835-E332-11DD-1BE6-6E14D0AEC0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95450" y="2806700"/>
              <a:ext cx="9493250" cy="393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349250</xdr:colOff>
      <xdr:row>7</xdr:row>
      <xdr:rowOff>139700</xdr:rowOff>
    </xdr:from>
    <xdr:to>
      <xdr:col>17</xdr:col>
      <xdr:colOff>209550</xdr:colOff>
      <xdr:row>22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8A7A4A-2842-9E50-5389-43307FF72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13</xdr:row>
      <xdr:rowOff>19050</xdr:rowOff>
    </xdr:from>
    <xdr:to>
      <xdr:col>8</xdr:col>
      <xdr:colOff>420845</xdr:colOff>
      <xdr:row>15</xdr:row>
      <xdr:rowOff>168448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F7C06-4698-6CED-3A50-E886C2EA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13</xdr:row>
      <xdr:rowOff>19050</xdr:rowOff>
    </xdr:from>
    <xdr:to>
      <xdr:col>8</xdr:col>
      <xdr:colOff>468470</xdr:colOff>
      <xdr:row>15</xdr:row>
      <xdr:rowOff>168448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F122B-38D6-2BA1-FF74-DEAE6CDB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14</xdr:row>
      <xdr:rowOff>76200</xdr:rowOff>
    </xdr:from>
    <xdr:to>
      <xdr:col>4</xdr:col>
      <xdr:colOff>465297</xdr:colOff>
      <xdr:row>18</xdr:row>
      <xdr:rowOff>161617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EC8354-FF3F-0A76-A713-C72293ED3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2914650"/>
          <a:ext cx="1103472" cy="847417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12</xdr:row>
      <xdr:rowOff>57150</xdr:rowOff>
    </xdr:from>
    <xdr:to>
      <xdr:col>12</xdr:col>
      <xdr:colOff>529273</xdr:colOff>
      <xdr:row>19</xdr:row>
      <xdr:rowOff>180720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5E621A-C0FA-359A-2F66-E38F2E376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00" y="2514600"/>
          <a:ext cx="5139373" cy="145707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85127</xdr:rowOff>
    </xdr:from>
    <xdr:to>
      <xdr:col>12</xdr:col>
      <xdr:colOff>803710</xdr:colOff>
      <xdr:row>29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2D826D-9024-2930-3592-B159CF144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3399827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17</xdr:row>
      <xdr:rowOff>186500</xdr:rowOff>
    </xdr:from>
    <xdr:to>
      <xdr:col>16</xdr:col>
      <xdr:colOff>686051</xdr:colOff>
      <xdr:row>29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9243F5-4422-427D-69C3-759D6EBF7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3691700"/>
          <a:ext cx="2895851" cy="21947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94652</xdr:rowOff>
    </xdr:from>
    <xdr:to>
      <xdr:col>11</xdr:col>
      <xdr:colOff>803710</xdr:colOff>
      <xdr:row>26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D13C3D-2A82-492D-B90E-69078D9F5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837852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5525</xdr:rowOff>
    </xdr:from>
    <xdr:to>
      <xdr:col>15</xdr:col>
      <xdr:colOff>686051</xdr:colOff>
      <xdr:row>26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C3B57-A39A-4826-95BE-B9CA2E65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8875" y="3129725"/>
          <a:ext cx="2895851" cy="21947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14</xdr:row>
      <xdr:rowOff>0</xdr:rowOff>
    </xdr:from>
    <xdr:to>
      <xdr:col>16</xdr:col>
      <xdr:colOff>342900</xdr:colOff>
      <xdr:row>28</xdr:row>
      <xdr:rowOff>106848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B578F1-127F-A95C-59D7-207004E23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876550"/>
          <a:ext cx="9667875" cy="277384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10</xdr:row>
      <xdr:rowOff>133350</xdr:rowOff>
    </xdr:from>
    <xdr:to>
      <xdr:col>15</xdr:col>
      <xdr:colOff>263892</xdr:colOff>
      <xdr:row>19</xdr:row>
      <xdr:rowOff>150264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669E262-396B-246B-594E-8E990226D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2209800"/>
          <a:ext cx="7169517" cy="173141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10</xdr:row>
      <xdr:rowOff>152400</xdr:rowOff>
    </xdr:from>
    <xdr:to>
      <xdr:col>14</xdr:col>
      <xdr:colOff>985792</xdr:colOff>
      <xdr:row>26</xdr:row>
      <xdr:rowOff>134375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E61507E-71EA-304F-A39D-7FE4414F9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2228850"/>
          <a:ext cx="6072142" cy="302997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10</xdr:row>
      <xdr:rowOff>104775</xdr:rowOff>
    </xdr:from>
    <xdr:to>
      <xdr:col>17</xdr:col>
      <xdr:colOff>1103785</xdr:colOff>
      <xdr:row>16</xdr:row>
      <xdr:rowOff>156695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727FD1-DFDC-8C27-78BA-F9951416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2181225"/>
          <a:ext cx="9114310" cy="119492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10</xdr:row>
      <xdr:rowOff>47626</xdr:rowOff>
    </xdr:from>
    <xdr:to>
      <xdr:col>17</xdr:col>
      <xdr:colOff>0</xdr:colOff>
      <xdr:row>29</xdr:row>
      <xdr:rowOff>187888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F33F6A67-EB81-7C15-A3E5-AFD37297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2124076"/>
          <a:ext cx="7867650" cy="3759762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13</xdr:row>
      <xdr:rowOff>57150</xdr:rowOff>
    </xdr:from>
    <xdr:to>
      <xdr:col>17</xdr:col>
      <xdr:colOff>1817561</xdr:colOff>
      <xdr:row>23</xdr:row>
      <xdr:rowOff>90846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7C79A2C-071B-F736-73DC-BC835730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2705100"/>
          <a:ext cx="8059611" cy="1938696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13</xdr:row>
      <xdr:rowOff>129349</xdr:rowOff>
    </xdr:from>
    <xdr:to>
      <xdr:col>20</xdr:col>
      <xdr:colOff>901700</xdr:colOff>
      <xdr:row>28</xdr:row>
      <xdr:rowOff>7830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596140-2740-4967-88AB-78E8F498F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2910649"/>
          <a:ext cx="3609975" cy="27359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57150</xdr:rowOff>
    </xdr:from>
    <xdr:to>
      <xdr:col>15</xdr:col>
      <xdr:colOff>598467</xdr:colOff>
      <xdr:row>28</xdr:row>
      <xdr:rowOff>107694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5C99635-5A35-8D4A-3E45-EABF73809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838450"/>
          <a:ext cx="7827942" cy="290804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615950</xdr:colOff>
      <xdr:row>5</xdr:row>
      <xdr:rowOff>12700</xdr:rowOff>
    </xdr:from>
    <xdr:to>
      <xdr:col>10</xdr:col>
      <xdr:colOff>476250</xdr:colOff>
      <xdr:row>19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BE3E28-DC49-3425-84DC-BCF9F7220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406400</xdr:colOff>
      <xdr:row>7</xdr:row>
      <xdr:rowOff>76200</xdr:rowOff>
    </xdr:from>
    <xdr:to>
      <xdr:col>9</xdr:col>
      <xdr:colOff>495300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7D21D2-A7DB-9F44-BCCB-1C0AF0C5B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9</xdr:row>
      <xdr:rowOff>0</xdr:rowOff>
    </xdr:from>
    <xdr:to>
      <xdr:col>12</xdr:col>
      <xdr:colOff>38100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B67BC4-8108-A65B-78BB-67D39D1BE3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13</xdr:col>
      <xdr:colOff>523875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824E3-3116-9D16-5F04-BDBBDA497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F40BEE-46E0-4E41-8077-DF1640ED9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114300</xdr:rowOff>
    </xdr:from>
    <xdr:to>
      <xdr:col>11</xdr:col>
      <xdr:colOff>571500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5D7112-7EA3-21E2-5BE7-464490A5E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F74FDC-A1A1-454F-8713-737C70429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D9384-5289-4B07-BAAB-41902CE1D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266700</xdr:colOff>
      <xdr:row>12</xdr:row>
      <xdr:rowOff>161925</xdr:rowOff>
    </xdr:from>
    <xdr:to>
      <xdr:col>20</xdr:col>
      <xdr:colOff>171965</xdr:colOff>
      <xdr:row>22</xdr:row>
      <xdr:rowOff>12725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4B775F16-61A0-E520-96A3-C1780A920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2619375"/>
          <a:ext cx="5944115" cy="175580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35101-0B44-4A70-940B-05BD96B16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17ABF-2C81-446C-88C1-15BED143F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247650</xdr:colOff>
      <xdr:row>16</xdr:row>
      <xdr:rowOff>114300</xdr:rowOff>
    </xdr:from>
    <xdr:to>
      <xdr:col>14</xdr:col>
      <xdr:colOff>113725</xdr:colOff>
      <xdr:row>22</xdr:row>
      <xdr:rowOff>7710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E447A2-C57E-FA46-3A96-7B53F5F2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0" y="3333750"/>
          <a:ext cx="2152075" cy="1036410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16</xdr:row>
      <xdr:rowOff>85725</xdr:rowOff>
    </xdr:from>
    <xdr:to>
      <xdr:col>24</xdr:col>
      <xdr:colOff>76315</xdr:colOff>
      <xdr:row>22</xdr:row>
      <xdr:rowOff>149838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43A4086-7DB6-3698-5028-D1066DB86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5675" y="3305175"/>
          <a:ext cx="5724640" cy="120711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25</xdr:row>
      <xdr:rowOff>0</xdr:rowOff>
    </xdr:from>
    <xdr:to>
      <xdr:col>19</xdr:col>
      <xdr:colOff>463798</xdr:colOff>
      <xdr:row>32</xdr:row>
      <xdr:rowOff>93088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1F3A69A-7C2C-DEA1-B404-847B36C03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0" y="4933950"/>
          <a:ext cx="5797798" cy="1426588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180975</xdr:rowOff>
    </xdr:from>
    <xdr:to>
      <xdr:col>9</xdr:col>
      <xdr:colOff>304800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33921B-B5FE-4252-A1AC-C4C8E4786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63500</xdr:colOff>
      <xdr:row>5</xdr:row>
      <xdr:rowOff>76200</xdr:rowOff>
    </xdr:from>
    <xdr:to>
      <xdr:col>28</xdr:col>
      <xdr:colOff>63500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6704E6-D31F-9922-80E3-136F985B8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279400</xdr:colOff>
      <xdr:row>73</xdr:row>
      <xdr:rowOff>82550</xdr:rowOff>
    </xdr:from>
    <xdr:to>
      <xdr:col>28</xdr:col>
      <xdr:colOff>279400</xdr:colOff>
      <xdr:row>83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9C908C-48EC-9ABF-3F27-D6A9AEB1B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279400</xdr:colOff>
      <xdr:row>5</xdr:row>
      <xdr:rowOff>76200</xdr:rowOff>
    </xdr:from>
    <xdr:to>
      <xdr:col>22</xdr:col>
      <xdr:colOff>279400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DA7D56-9F80-05EF-8536-64E9D1D7C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406400</xdr:colOff>
      <xdr:row>17</xdr:row>
      <xdr:rowOff>127000</xdr:rowOff>
    </xdr:from>
    <xdr:to>
      <xdr:col>22</xdr:col>
      <xdr:colOff>406400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ECE18E-5621-2E83-B6E2-5AF80649BB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que Ruiz" refreshedDate="44847.391748263886" createdVersion="8" refreshedVersion="8" minRefreshableVersion="3" recordCount="95" xr:uid="{0A2407D4-C344-42C2-8D5D-C4C49F99B15D}">
  <cacheSource type="worksheet">
    <worksheetSource ref="B5:B100" sheet="Normal Distribution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049085648" createdVersion="8" refreshedVersion="8" minRefreshableVersion="3" recordCount="95" xr:uid="{5FD9201B-F8FE-064A-BDB9-628143FBE818}">
  <cacheSource type="worksheet">
    <worksheetSource ref="B5:B100" sheet="Categorical Distributions"/>
  </cacheSource>
  <cacheFields count="1">
    <cacheField name="Status" numFmtId="0">
      <sharedItems count="2">
        <s v="Placed"/>
        <s v="Not Plac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1.715660648151" createdVersion="8" refreshedVersion="8" minRefreshableVersion="3" recordCount="53" xr:uid="{CF7FCACA-26ED-F846-A70B-C112C550D2C7}">
  <cacheSource type="worksheet">
    <worksheetSource ref="B5:B58" sheet="Numerical Distributions"/>
  </cacheSource>
  <cacheFields count="1">
    <cacheField name="Annual Salary (Thousands of USD)" numFmtId="0">
      <sharedItems containsSemiMixedTypes="0" containsString="0" containsNumber="1" minValue="75.5" maxValue="340" count="34">
        <n v="111"/>
        <n v="107"/>
        <n v="109"/>
        <n v="148"/>
        <n v="255.5"/>
        <n v="103.5"/>
        <n v="114.5"/>
        <n v="124"/>
        <n v="132.5"/>
        <n v="99"/>
        <n v="82"/>
        <n v="185"/>
        <n v="89.5"/>
        <n v="91.5"/>
        <n v="113.5"/>
        <n v="75.5"/>
        <n v="86"/>
        <n v="156.5"/>
        <n v="99.5"/>
        <n v="205.5"/>
        <n v="340"/>
        <n v="103"/>
        <n v="165"/>
        <n v="124.5"/>
        <n v="82.5"/>
        <n v="93"/>
        <n v="168"/>
        <n v="96"/>
        <n v="80"/>
        <n v="144.5"/>
        <n v="104.5"/>
        <n v="113"/>
        <n v="78"/>
        <n v="84"/>
      </sharedItems>
      <fieldGroup base="0">
        <rangePr autoStart="0" autoEnd="0" startNum="70" endNum="350" groupInterval="20"/>
        <groupItems count="16">
          <s v="&lt;70"/>
          <s v="70-90"/>
          <s v="90-110"/>
          <s v="110-130"/>
          <s v="130-150"/>
          <s v="150-170"/>
          <s v="170-190"/>
          <s v="190-210"/>
          <s v="210-230"/>
          <s v="230-250"/>
          <s v="250-270"/>
          <s v="270-290"/>
          <s v="290-310"/>
          <s v="310-330"/>
          <s v="330-350"/>
          <s v="&gt;3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rge Soto" refreshedDate="44982.397881481484" createdVersion="8" refreshedVersion="8" minRefreshableVersion="3" recordCount="95" xr:uid="{2D01F0AB-22E2-A74D-A562-BA151156766E}">
  <cacheSource type="worksheet">
    <worksheetSource ref="B5:B100" sheet="Frequency Distributions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7"/>
  </r>
  <r>
    <x v="10"/>
  </r>
  <r>
    <x v="11"/>
  </r>
  <r>
    <x v="12"/>
  </r>
  <r>
    <x v="13"/>
  </r>
  <r>
    <x v="14"/>
  </r>
  <r>
    <x v="9"/>
  </r>
  <r>
    <x v="15"/>
  </r>
  <r>
    <x v="16"/>
  </r>
  <r>
    <x v="17"/>
  </r>
  <r>
    <x v="18"/>
  </r>
  <r>
    <x v="3"/>
  </r>
  <r>
    <x v="10"/>
  </r>
  <r>
    <x v="5"/>
  </r>
  <r>
    <x v="19"/>
  </r>
  <r>
    <x v="5"/>
  </r>
  <r>
    <x v="20"/>
  </r>
  <r>
    <x v="5"/>
  </r>
  <r>
    <x v="18"/>
  </r>
  <r>
    <x v="21"/>
  </r>
  <r>
    <x v="5"/>
  </r>
  <r>
    <x v="22"/>
  </r>
  <r>
    <x v="23"/>
  </r>
  <r>
    <x v="5"/>
  </r>
  <r>
    <x v="24"/>
  </r>
  <r>
    <x v="25"/>
  </r>
  <r>
    <x v="26"/>
  </r>
  <r>
    <x v="27"/>
  </r>
  <r>
    <x v="28"/>
  </r>
  <r>
    <x v="23"/>
  </r>
  <r>
    <x v="9"/>
  </r>
  <r>
    <x v="7"/>
  </r>
  <r>
    <x v="13"/>
  </r>
  <r>
    <x v="29"/>
  </r>
  <r>
    <x v="6"/>
  </r>
  <r>
    <x v="30"/>
  </r>
  <r>
    <x v="7"/>
  </r>
  <r>
    <x v="31"/>
  </r>
  <r>
    <x v="32"/>
  </r>
  <r>
    <x v="2"/>
  </r>
  <r>
    <x v="18"/>
  </r>
  <r>
    <x v="1"/>
  </r>
  <r>
    <x v="3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BD41D-0FFC-BF4E-84EC-2832D3D0124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us">
  <location ref="D5:F8" firstHeaderRow="0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Relative Frequency" fld="0" subtotal="count" showDataAs="percentOfCo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196B95-FB86-104F-AC43-2E81172FA6AC}" name="PivotTable2" cacheId="2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rowHeaderCaption="Annual Salary">
  <location ref="D5:F15" firstHeaderRow="0" firstDataRow="1" firstDataCol="1"/>
  <pivotFields count="1">
    <pivotField axis="axisRow" dataField="1" showAll="0" sortType="descending">
      <items count="17">
        <item x="2"/>
        <item x="1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h="1" x="15"/>
        <item h="1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0">
    <i>
      <x/>
    </i>
    <i>
      <x v="13"/>
    </i>
    <i>
      <x v="1"/>
    </i>
    <i>
      <x v="12"/>
    </i>
    <i>
      <x v="11"/>
    </i>
    <i>
      <x v="10"/>
    </i>
    <i>
      <x v="2"/>
    </i>
    <i>
      <x v="6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0D4EE9-0520-AE44-9F3D-A92140887FAE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rades">
  <location ref="D5:F14" firstHeaderRow="0" firstDataRow="1" firstDataCol="1"/>
  <pivotFields count="1">
    <pivotField axis="axisRow" dataField="1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Frequency" fld="0" subtotal="count" baseField="0" baseItem="0"/>
    <dataField name="Cumulative Re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6">
    <format dxfId="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">
      <pivotArea field="0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">
      <pivotArea field="0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0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F96FC-062E-444E-BB8F-5DC1DC439AE3}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outline="1" outlineData="1" compactData="0" multipleFieldFilters="0" chartFormat="7">
  <location ref="D5:E14" firstHeaderRow="1" firstDataRow="1" firstDataCol="1"/>
  <pivotFields count="1">
    <pivotField axis="axisRow" dataField="1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5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31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32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34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35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36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37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8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9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40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41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42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6368-A499-4EC1-A193-76839E6FAA6C}">
  <sheetPr codeName="Sheet1"/>
  <dimension ref="A1:K96"/>
  <sheetViews>
    <sheetView showGridLines="0" workbookViewId="0"/>
  </sheetViews>
  <sheetFormatPr baseColWidth="10" defaultColWidth="8.83203125" defaultRowHeight="15" x14ac:dyDescent="0.2"/>
  <cols>
    <col min="1" max="1" width="10" bestFit="1" customWidth="1"/>
    <col min="2" max="2" width="17.1640625" bestFit="1" customWidth="1"/>
    <col min="3" max="3" width="16" bestFit="1" customWidth="1"/>
    <col min="4" max="4" width="10.6640625" bestFit="1" customWidth="1"/>
    <col min="5" max="5" width="15.6640625" bestFit="1" customWidth="1"/>
    <col min="6" max="6" width="20.6640625" bestFit="1" customWidth="1"/>
    <col min="7" max="7" width="19.33203125" bestFit="1" customWidth="1"/>
    <col min="8" max="8" width="10.33203125" bestFit="1" customWidth="1"/>
    <col min="9" max="9" width="12.6640625" bestFit="1" customWidth="1"/>
    <col min="10" max="10" width="10.83203125" bestFit="1" customWidth="1"/>
  </cols>
  <sheetData>
    <row r="1" spans="1:11" x14ac:dyDescent="0.2">
      <c r="A1" s="40" t="s">
        <v>20</v>
      </c>
      <c r="B1" s="43" t="s">
        <v>36</v>
      </c>
      <c r="C1" s="43" t="s">
        <v>76</v>
      </c>
      <c r="D1" s="43" t="s">
        <v>77</v>
      </c>
      <c r="E1" s="43" t="s">
        <v>21</v>
      </c>
      <c r="F1" s="43" t="s">
        <v>22</v>
      </c>
      <c r="G1" s="43" t="s">
        <v>23</v>
      </c>
      <c r="H1" s="43" t="s">
        <v>12</v>
      </c>
      <c r="I1" s="41" t="s">
        <v>35</v>
      </c>
    </row>
    <row r="2" spans="1:11" x14ac:dyDescent="0.2">
      <c r="A2" s="51">
        <v>1</v>
      </c>
      <c r="B2" s="51" t="s">
        <v>24</v>
      </c>
      <c r="C2" s="51">
        <v>68.400000000000006</v>
      </c>
      <c r="D2" s="51">
        <v>90.2</v>
      </c>
      <c r="E2" s="51" t="s">
        <v>25</v>
      </c>
      <c r="F2" s="51">
        <v>252</v>
      </c>
      <c r="G2" s="51">
        <v>276</v>
      </c>
      <c r="H2" s="51" t="s">
        <v>13</v>
      </c>
      <c r="I2" s="52">
        <v>111000</v>
      </c>
      <c r="J2" s="6"/>
      <c r="K2" s="6"/>
    </row>
    <row r="3" spans="1:11" x14ac:dyDescent="0.2">
      <c r="A3" s="8">
        <v>2</v>
      </c>
      <c r="B3" s="8" t="s">
        <v>24</v>
      </c>
      <c r="C3" s="8">
        <v>62.1</v>
      </c>
      <c r="D3" s="8">
        <v>92.8</v>
      </c>
      <c r="E3" s="8" t="s">
        <v>25</v>
      </c>
      <c r="F3" s="8">
        <v>423</v>
      </c>
      <c r="G3" s="8">
        <v>410</v>
      </c>
      <c r="H3" s="8" t="s">
        <v>14</v>
      </c>
      <c r="I3" s="8"/>
      <c r="J3" s="6"/>
    </row>
    <row r="4" spans="1:11" x14ac:dyDescent="0.2">
      <c r="A4" s="8">
        <v>3</v>
      </c>
      <c r="B4" s="8" t="s">
        <v>73</v>
      </c>
      <c r="C4" s="8">
        <v>70.2</v>
      </c>
      <c r="D4" s="8">
        <v>68.7</v>
      </c>
      <c r="E4" s="8" t="s">
        <v>27</v>
      </c>
      <c r="F4" s="8">
        <v>101</v>
      </c>
      <c r="G4" s="8">
        <v>119</v>
      </c>
      <c r="H4" s="8" t="s">
        <v>13</v>
      </c>
      <c r="I4" s="12">
        <v>107000</v>
      </c>
      <c r="J4" s="6"/>
    </row>
    <row r="5" spans="1:11" x14ac:dyDescent="0.2">
      <c r="A5" s="8">
        <v>4</v>
      </c>
      <c r="B5" s="8" t="s">
        <v>72</v>
      </c>
      <c r="C5" s="8">
        <v>75.099999999999994</v>
      </c>
      <c r="D5" s="8">
        <v>80.7</v>
      </c>
      <c r="E5" s="8" t="s">
        <v>25</v>
      </c>
      <c r="F5" s="8">
        <v>288</v>
      </c>
      <c r="G5" s="8">
        <v>334</v>
      </c>
      <c r="H5" s="8" t="s">
        <v>14</v>
      </c>
      <c r="I5" s="8"/>
      <c r="J5" s="6"/>
    </row>
    <row r="6" spans="1:11" x14ac:dyDescent="0.2">
      <c r="A6" s="8">
        <v>5</v>
      </c>
      <c r="B6" s="8" t="s">
        <v>74</v>
      </c>
      <c r="C6" s="8">
        <v>60.9</v>
      </c>
      <c r="D6" s="8">
        <v>74.900000000000006</v>
      </c>
      <c r="E6" s="8" t="s">
        <v>25</v>
      </c>
      <c r="F6" s="8">
        <v>248</v>
      </c>
      <c r="G6" s="8">
        <v>252</v>
      </c>
      <c r="H6" s="8" t="s">
        <v>14</v>
      </c>
      <c r="I6" s="8"/>
      <c r="J6" s="6"/>
      <c r="K6" s="6"/>
    </row>
    <row r="7" spans="1:11" x14ac:dyDescent="0.2">
      <c r="A7" s="8">
        <v>6</v>
      </c>
      <c r="B7" s="8" t="s">
        <v>73</v>
      </c>
      <c r="C7" s="8">
        <v>74.5</v>
      </c>
      <c r="D7" s="8">
        <v>80.7</v>
      </c>
      <c r="E7" s="8" t="s">
        <v>25</v>
      </c>
      <c r="F7" s="8">
        <v>145</v>
      </c>
      <c r="G7" s="8">
        <v>209</v>
      </c>
      <c r="H7" s="8" t="s">
        <v>14</v>
      </c>
      <c r="I7" s="8"/>
      <c r="J7" s="6"/>
      <c r="K7" s="6"/>
    </row>
    <row r="8" spans="1:11" x14ac:dyDescent="0.2">
      <c r="A8" s="8">
        <v>7</v>
      </c>
      <c r="B8" s="8" t="s">
        <v>74</v>
      </c>
      <c r="C8" s="8">
        <v>76.400000000000006</v>
      </c>
      <c r="D8" s="8">
        <v>83.3</v>
      </c>
      <c r="E8" s="8" t="s">
        <v>25</v>
      </c>
      <c r="F8" s="8">
        <v>401</v>
      </c>
      <c r="G8" s="8">
        <v>462</v>
      </c>
      <c r="H8" s="8" t="s">
        <v>13</v>
      </c>
      <c r="I8" s="12">
        <v>109000</v>
      </c>
      <c r="J8" s="6"/>
      <c r="K8" s="6"/>
    </row>
    <row r="9" spans="1:11" x14ac:dyDescent="0.2">
      <c r="A9" s="8">
        <v>8</v>
      </c>
      <c r="B9" s="8" t="s">
        <v>24</v>
      </c>
      <c r="C9" s="8">
        <v>82.6</v>
      </c>
      <c r="D9" s="8">
        <v>88.7</v>
      </c>
      <c r="E9" s="8" t="s">
        <v>25</v>
      </c>
      <c r="F9" s="8">
        <v>287</v>
      </c>
      <c r="G9" s="8">
        <v>342</v>
      </c>
      <c r="H9" s="8" t="s">
        <v>13</v>
      </c>
      <c r="I9" s="12">
        <v>148000</v>
      </c>
      <c r="J9" s="6"/>
      <c r="K9" s="6"/>
    </row>
    <row r="10" spans="1:11" x14ac:dyDescent="0.2">
      <c r="A10" s="8">
        <v>9</v>
      </c>
      <c r="B10" s="8" t="s">
        <v>74</v>
      </c>
      <c r="C10" s="8">
        <v>76.900000000000006</v>
      </c>
      <c r="D10" s="8">
        <v>75.400000000000006</v>
      </c>
      <c r="E10" s="8" t="s">
        <v>25</v>
      </c>
      <c r="F10" s="8">
        <v>275</v>
      </c>
      <c r="G10" s="8">
        <v>347</v>
      </c>
      <c r="H10" s="8" t="s">
        <v>13</v>
      </c>
      <c r="I10" s="12">
        <v>255500</v>
      </c>
      <c r="J10" s="6"/>
      <c r="K10" s="6"/>
    </row>
    <row r="11" spans="1:11" x14ac:dyDescent="0.2">
      <c r="A11" s="8">
        <v>10</v>
      </c>
      <c r="B11" s="8" t="s">
        <v>73</v>
      </c>
      <c r="C11" s="8">
        <v>83.3</v>
      </c>
      <c r="D11" s="8">
        <v>82.1</v>
      </c>
      <c r="E11" s="8" t="s">
        <v>25</v>
      </c>
      <c r="F11" s="8">
        <v>254</v>
      </c>
      <c r="G11" s="8">
        <v>313</v>
      </c>
      <c r="H11" s="8" t="s">
        <v>13</v>
      </c>
      <c r="I11" s="12">
        <v>103500</v>
      </c>
      <c r="J11" s="6"/>
      <c r="K11" s="6"/>
    </row>
    <row r="12" spans="1:11" x14ac:dyDescent="0.2">
      <c r="A12" s="8">
        <v>11</v>
      </c>
      <c r="B12" s="8" t="s">
        <v>24</v>
      </c>
      <c r="C12" s="8">
        <v>75.8</v>
      </c>
      <c r="D12" s="8">
        <v>87.5</v>
      </c>
      <c r="E12" s="8" t="s">
        <v>25</v>
      </c>
      <c r="F12" s="8">
        <v>182</v>
      </c>
      <c r="G12" s="8">
        <v>232</v>
      </c>
      <c r="H12" s="8" t="s">
        <v>14</v>
      </c>
      <c r="I12" s="8"/>
      <c r="J12" s="6"/>
      <c r="K12" s="6"/>
    </row>
    <row r="13" spans="1:11" x14ac:dyDescent="0.2">
      <c r="A13" s="8">
        <v>12</v>
      </c>
      <c r="B13" s="8" t="s">
        <v>72</v>
      </c>
      <c r="C13" s="8">
        <v>76</v>
      </c>
      <c r="D13" s="8">
        <v>66.900000000000006</v>
      </c>
      <c r="E13" s="8" t="s">
        <v>25</v>
      </c>
      <c r="F13" s="8">
        <v>117</v>
      </c>
      <c r="G13" s="8">
        <v>163</v>
      </c>
      <c r="H13" s="8" t="s">
        <v>13</v>
      </c>
      <c r="I13" s="12">
        <v>114500</v>
      </c>
      <c r="J13" s="6"/>
      <c r="K13" s="6"/>
    </row>
    <row r="14" spans="1:11" x14ac:dyDescent="0.2">
      <c r="A14" s="8">
        <v>13</v>
      </c>
      <c r="B14" s="8" t="s">
        <v>24</v>
      </c>
      <c r="C14" s="8">
        <v>62.8</v>
      </c>
      <c r="D14" s="8">
        <v>71.3</v>
      </c>
      <c r="E14" s="8" t="s">
        <v>25</v>
      </c>
      <c r="F14" s="8">
        <v>130</v>
      </c>
      <c r="G14" s="8">
        <v>119</v>
      </c>
      <c r="H14" s="8" t="s">
        <v>14</v>
      </c>
      <c r="I14" s="8"/>
      <c r="J14" s="6"/>
      <c r="K14" s="6"/>
    </row>
    <row r="15" spans="1:11" x14ac:dyDescent="0.2">
      <c r="A15" s="8">
        <v>14</v>
      </c>
      <c r="B15" s="8" t="s">
        <v>72</v>
      </c>
      <c r="C15" s="8">
        <v>82.8</v>
      </c>
      <c r="D15" s="8">
        <v>76.8</v>
      </c>
      <c r="E15" s="8" t="s">
        <v>25</v>
      </c>
      <c r="F15" s="8">
        <v>219</v>
      </c>
      <c r="G15" s="8">
        <v>304</v>
      </c>
      <c r="H15" s="8" t="s">
        <v>13</v>
      </c>
      <c r="I15" s="12">
        <v>124000</v>
      </c>
      <c r="J15" s="6"/>
      <c r="K15" s="6"/>
    </row>
    <row r="16" spans="1:11" x14ac:dyDescent="0.2">
      <c r="A16" s="8">
        <v>15</v>
      </c>
      <c r="B16" s="8" t="s">
        <v>24</v>
      </c>
      <c r="C16" s="8">
        <v>76</v>
      </c>
      <c r="D16" s="8">
        <v>72.3</v>
      </c>
      <c r="E16" s="8" t="s">
        <v>25</v>
      </c>
      <c r="F16" s="8">
        <v>152</v>
      </c>
      <c r="G16" s="8">
        <v>211</v>
      </c>
      <c r="H16" s="8" t="s">
        <v>13</v>
      </c>
      <c r="I16" s="12">
        <v>132500</v>
      </c>
      <c r="J16" s="6"/>
      <c r="K16" s="6"/>
    </row>
    <row r="17" spans="1:11" x14ac:dyDescent="0.2">
      <c r="A17" s="8">
        <v>16</v>
      </c>
      <c r="B17" s="8" t="s">
        <v>74</v>
      </c>
      <c r="C17" s="8">
        <v>76.900000000000006</v>
      </c>
      <c r="D17" s="8">
        <v>72.400000000000006</v>
      </c>
      <c r="E17" s="8" t="s">
        <v>25</v>
      </c>
      <c r="F17" s="8">
        <v>228</v>
      </c>
      <c r="G17" s="8">
        <v>286</v>
      </c>
      <c r="H17" s="8" t="s">
        <v>13</v>
      </c>
      <c r="I17" s="12">
        <v>99000</v>
      </c>
      <c r="J17" s="6"/>
      <c r="K17" s="6"/>
    </row>
    <row r="18" spans="1:11" x14ac:dyDescent="0.2">
      <c r="A18" s="8">
        <v>17</v>
      </c>
      <c r="B18" s="8" t="s">
        <v>73</v>
      </c>
      <c r="C18" s="8">
        <v>75.8</v>
      </c>
      <c r="D18" s="8">
        <v>72</v>
      </c>
      <c r="E18" s="8" t="s">
        <v>27</v>
      </c>
      <c r="F18" s="8">
        <v>62</v>
      </c>
      <c r="G18" s="8">
        <v>122</v>
      </c>
      <c r="H18" s="8" t="s">
        <v>14</v>
      </c>
      <c r="I18" s="8"/>
      <c r="J18" s="6"/>
      <c r="K18" s="6"/>
    </row>
    <row r="19" spans="1:11" x14ac:dyDescent="0.2">
      <c r="A19" s="8">
        <v>18</v>
      </c>
      <c r="B19" s="8" t="s">
        <v>75</v>
      </c>
      <c r="C19" s="8">
        <v>78</v>
      </c>
      <c r="D19" s="8">
        <v>81</v>
      </c>
      <c r="E19" s="8" t="s">
        <v>25</v>
      </c>
      <c r="F19" s="8">
        <v>393</v>
      </c>
      <c r="G19" s="8">
        <v>443</v>
      </c>
      <c r="H19" s="8" t="s">
        <v>13</v>
      </c>
      <c r="I19" s="12">
        <v>124000</v>
      </c>
      <c r="J19" s="6"/>
      <c r="K19" s="6"/>
    </row>
    <row r="20" spans="1:11" x14ac:dyDescent="0.2">
      <c r="A20" s="8">
        <v>19</v>
      </c>
      <c r="B20" s="8" t="s">
        <v>24</v>
      </c>
      <c r="C20" s="8">
        <v>82.4</v>
      </c>
      <c r="D20" s="8">
        <v>96.1</v>
      </c>
      <c r="E20" s="8" t="s">
        <v>25</v>
      </c>
      <c r="F20" s="8">
        <v>277</v>
      </c>
      <c r="G20" s="8">
        <v>366</v>
      </c>
      <c r="H20" s="8" t="s">
        <v>14</v>
      </c>
      <c r="I20" s="8"/>
      <c r="J20" s="6"/>
      <c r="K20" s="6"/>
    </row>
    <row r="21" spans="1:11" x14ac:dyDescent="0.2">
      <c r="A21" s="8">
        <v>20</v>
      </c>
      <c r="B21" s="8" t="s">
        <v>73</v>
      </c>
      <c r="C21" s="8">
        <v>76.2</v>
      </c>
      <c r="D21" s="8">
        <v>76.7</v>
      </c>
      <c r="E21" s="8" t="s">
        <v>25</v>
      </c>
      <c r="F21" s="8">
        <v>206</v>
      </c>
      <c r="G21" s="8">
        <v>244</v>
      </c>
      <c r="H21" s="8" t="s">
        <v>14</v>
      </c>
      <c r="I21" s="8"/>
      <c r="J21" s="6"/>
      <c r="K21" s="6"/>
    </row>
    <row r="22" spans="1:11" x14ac:dyDescent="0.2">
      <c r="A22" s="8">
        <v>21</v>
      </c>
      <c r="B22" s="8" t="s">
        <v>24</v>
      </c>
      <c r="C22" s="8">
        <v>62.5</v>
      </c>
      <c r="D22" s="8">
        <v>80.3</v>
      </c>
      <c r="E22" s="8" t="s">
        <v>25</v>
      </c>
      <c r="F22" s="8">
        <v>229</v>
      </c>
      <c r="G22" s="8">
        <v>241</v>
      </c>
      <c r="H22" s="8" t="s">
        <v>14</v>
      </c>
      <c r="I22" s="8"/>
      <c r="J22" s="6"/>
      <c r="K22" s="6"/>
    </row>
    <row r="23" spans="1:11" x14ac:dyDescent="0.2">
      <c r="A23" s="8">
        <v>22</v>
      </c>
      <c r="B23" s="8" t="s">
        <v>75</v>
      </c>
      <c r="C23" s="8">
        <v>78</v>
      </c>
      <c r="D23" s="8">
        <v>77.8</v>
      </c>
      <c r="E23" s="8" t="s">
        <v>25</v>
      </c>
      <c r="F23" s="8">
        <v>182</v>
      </c>
      <c r="G23" s="8">
        <v>237</v>
      </c>
      <c r="H23" s="8" t="s">
        <v>13</v>
      </c>
      <c r="I23" s="12">
        <v>82000</v>
      </c>
      <c r="J23" s="6"/>
      <c r="K23" s="6"/>
    </row>
    <row r="24" spans="1:11" x14ac:dyDescent="0.2">
      <c r="A24" s="8">
        <v>23</v>
      </c>
      <c r="B24" s="8" t="s">
        <v>72</v>
      </c>
      <c r="C24" s="8">
        <v>66.5</v>
      </c>
      <c r="D24" s="8">
        <v>62.6</v>
      </c>
      <c r="E24" s="8" t="s">
        <v>25</v>
      </c>
      <c r="F24" s="8">
        <v>98</v>
      </c>
      <c r="G24" s="8">
        <v>122</v>
      </c>
      <c r="H24" s="8" t="s">
        <v>14</v>
      </c>
      <c r="I24" s="8"/>
      <c r="J24" s="6"/>
      <c r="K24" s="6"/>
    </row>
    <row r="25" spans="1:11" x14ac:dyDescent="0.2">
      <c r="A25" s="8">
        <v>24</v>
      </c>
      <c r="B25" s="8" t="s">
        <v>73</v>
      </c>
      <c r="C25" s="8">
        <v>63.5</v>
      </c>
      <c r="D25" s="8">
        <v>80.2</v>
      </c>
      <c r="E25" s="8" t="s">
        <v>25</v>
      </c>
      <c r="F25" s="8">
        <v>125</v>
      </c>
      <c r="G25" s="8">
        <v>129</v>
      </c>
      <c r="H25" s="8" t="s">
        <v>14</v>
      </c>
      <c r="I25" s="8"/>
      <c r="J25" s="6"/>
      <c r="K25" s="6"/>
    </row>
    <row r="26" spans="1:11" x14ac:dyDescent="0.2">
      <c r="A26" s="8">
        <v>25</v>
      </c>
      <c r="B26" s="8" t="s">
        <v>24</v>
      </c>
      <c r="C26" s="8">
        <v>82.6</v>
      </c>
      <c r="D26" s="8">
        <v>79.099999999999994</v>
      </c>
      <c r="E26" s="8" t="s">
        <v>25</v>
      </c>
      <c r="F26" s="8">
        <v>164</v>
      </c>
      <c r="G26" s="8">
        <v>236</v>
      </c>
      <c r="H26" s="8" t="s">
        <v>13</v>
      </c>
      <c r="I26" s="12">
        <v>185000</v>
      </c>
      <c r="J26" s="6"/>
      <c r="K26" s="6"/>
    </row>
    <row r="27" spans="1:11" x14ac:dyDescent="0.2">
      <c r="A27" s="8">
        <v>26</v>
      </c>
      <c r="B27" s="8" t="s">
        <v>73</v>
      </c>
      <c r="C27" s="8">
        <v>79.2</v>
      </c>
      <c r="D27" s="8">
        <v>77.8</v>
      </c>
      <c r="E27" s="8" t="s">
        <v>25</v>
      </c>
      <c r="F27" s="8">
        <v>186</v>
      </c>
      <c r="G27" s="8">
        <v>251</v>
      </c>
      <c r="H27" s="8" t="s">
        <v>13</v>
      </c>
      <c r="I27" s="12">
        <v>89500</v>
      </c>
      <c r="J27" s="6"/>
      <c r="K27" s="6"/>
    </row>
    <row r="28" spans="1:11" x14ac:dyDescent="0.2">
      <c r="A28" s="8">
        <v>27</v>
      </c>
      <c r="B28" s="8" t="s">
        <v>73</v>
      </c>
      <c r="C28" s="8">
        <v>75</v>
      </c>
      <c r="D28" s="8">
        <v>75.099999999999994</v>
      </c>
      <c r="E28" s="8" t="s">
        <v>25</v>
      </c>
      <c r="F28" s="8">
        <v>235</v>
      </c>
      <c r="G28" s="8">
        <v>283</v>
      </c>
      <c r="H28" s="8" t="s">
        <v>13</v>
      </c>
      <c r="I28" s="12">
        <v>91500</v>
      </c>
      <c r="J28" s="6"/>
      <c r="K28" s="6"/>
    </row>
    <row r="29" spans="1:11" x14ac:dyDescent="0.2">
      <c r="A29" s="8">
        <v>28</v>
      </c>
      <c r="B29" s="8" t="s">
        <v>75</v>
      </c>
      <c r="C29" s="8">
        <v>74.400000000000006</v>
      </c>
      <c r="D29" s="8">
        <v>82.2</v>
      </c>
      <c r="E29" s="8" t="s">
        <v>25</v>
      </c>
      <c r="F29" s="8">
        <v>184</v>
      </c>
      <c r="G29" s="8">
        <v>225</v>
      </c>
      <c r="H29" s="8" t="s">
        <v>14</v>
      </c>
      <c r="I29" s="8"/>
      <c r="J29" s="6"/>
      <c r="K29" s="6"/>
    </row>
    <row r="30" spans="1:11" x14ac:dyDescent="0.2">
      <c r="A30" s="8">
        <v>29</v>
      </c>
      <c r="B30" s="8" t="s">
        <v>74</v>
      </c>
      <c r="C30" s="8">
        <v>67.900000000000006</v>
      </c>
      <c r="D30" s="8">
        <v>70.5</v>
      </c>
      <c r="E30" s="8" t="s">
        <v>25</v>
      </c>
      <c r="F30" s="8">
        <v>76</v>
      </c>
      <c r="G30" s="8">
        <v>102</v>
      </c>
      <c r="H30" s="8" t="s">
        <v>14</v>
      </c>
      <c r="I30" s="8"/>
      <c r="J30" s="6"/>
      <c r="K30" s="6"/>
    </row>
    <row r="31" spans="1:11" x14ac:dyDescent="0.2">
      <c r="A31" s="8">
        <v>30</v>
      </c>
      <c r="B31" s="8" t="s">
        <v>75</v>
      </c>
      <c r="C31" s="8">
        <v>76.8</v>
      </c>
      <c r="D31" s="8">
        <v>70.8</v>
      </c>
      <c r="E31" s="8" t="s">
        <v>25</v>
      </c>
      <c r="F31" s="8">
        <v>126</v>
      </c>
      <c r="G31" s="8">
        <v>180</v>
      </c>
      <c r="H31" s="8" t="s">
        <v>13</v>
      </c>
      <c r="I31" s="12">
        <v>113500</v>
      </c>
      <c r="J31" s="6"/>
      <c r="K31" s="6"/>
    </row>
    <row r="32" spans="1:11" x14ac:dyDescent="0.2">
      <c r="A32" s="8">
        <v>31</v>
      </c>
      <c r="B32" s="8" t="s">
        <v>24</v>
      </c>
      <c r="C32" s="8">
        <v>83</v>
      </c>
      <c r="D32" s="8">
        <v>87.5</v>
      </c>
      <c r="E32" s="8" t="s">
        <v>25</v>
      </c>
      <c r="F32" s="8">
        <v>183</v>
      </c>
      <c r="G32" s="8">
        <v>247</v>
      </c>
      <c r="H32" s="8" t="s">
        <v>14</v>
      </c>
      <c r="I32" s="8"/>
      <c r="J32" s="6"/>
      <c r="K32" s="6"/>
    </row>
    <row r="33" spans="1:11" x14ac:dyDescent="0.2">
      <c r="A33" s="8">
        <v>32</v>
      </c>
      <c r="B33" s="8" t="s">
        <v>73</v>
      </c>
      <c r="C33" s="8">
        <v>88.9</v>
      </c>
      <c r="D33" s="8">
        <v>79.5</v>
      </c>
      <c r="E33" s="8" t="s">
        <v>25</v>
      </c>
      <c r="F33" s="8">
        <v>242</v>
      </c>
      <c r="G33" s="8">
        <v>343</v>
      </c>
      <c r="H33" s="8" t="s">
        <v>14</v>
      </c>
      <c r="I33" s="8"/>
      <c r="J33" s="6"/>
      <c r="K33" s="6"/>
    </row>
    <row r="34" spans="1:11" x14ac:dyDescent="0.2">
      <c r="A34" s="8">
        <v>33</v>
      </c>
      <c r="B34" s="8" t="s">
        <v>24</v>
      </c>
      <c r="C34" s="8">
        <v>76.5</v>
      </c>
      <c r="D34" s="8">
        <v>80.8</v>
      </c>
      <c r="E34" s="8" t="s">
        <v>25</v>
      </c>
      <c r="F34" s="8">
        <v>207</v>
      </c>
      <c r="G34" s="8">
        <v>283</v>
      </c>
      <c r="H34" s="8" t="s">
        <v>14</v>
      </c>
      <c r="I34" s="8"/>
      <c r="J34" s="6"/>
      <c r="K34" s="6"/>
    </row>
    <row r="35" spans="1:11" x14ac:dyDescent="0.2">
      <c r="A35" s="8">
        <v>34</v>
      </c>
      <c r="B35" s="8" t="s">
        <v>74</v>
      </c>
      <c r="C35" s="8">
        <v>79.900000000000006</v>
      </c>
      <c r="D35" s="8">
        <v>79.599999999999994</v>
      </c>
      <c r="E35" s="8" t="s">
        <v>27</v>
      </c>
      <c r="F35" s="8">
        <v>181</v>
      </c>
      <c r="G35" s="8">
        <v>253</v>
      </c>
      <c r="H35" s="8" t="s">
        <v>13</v>
      </c>
      <c r="I35" s="12">
        <v>99000</v>
      </c>
      <c r="J35" s="6"/>
      <c r="K35" s="6"/>
    </row>
    <row r="36" spans="1:11" x14ac:dyDescent="0.2">
      <c r="A36" s="8">
        <v>35</v>
      </c>
      <c r="B36" s="8" t="s">
        <v>24</v>
      </c>
      <c r="C36" s="8">
        <v>70.400000000000006</v>
      </c>
      <c r="D36" s="8">
        <v>88.9</v>
      </c>
      <c r="E36" s="8" t="s">
        <v>25</v>
      </c>
      <c r="F36" s="8">
        <v>239</v>
      </c>
      <c r="G36" s="8">
        <v>263</v>
      </c>
      <c r="H36" s="8" t="s">
        <v>14</v>
      </c>
      <c r="I36" s="8"/>
      <c r="J36" s="6"/>
      <c r="K36" s="6"/>
    </row>
    <row r="37" spans="1:11" x14ac:dyDescent="0.2">
      <c r="A37" s="8">
        <v>36</v>
      </c>
      <c r="B37" s="8" t="s">
        <v>75</v>
      </c>
      <c r="C37" s="8">
        <v>83.4</v>
      </c>
      <c r="D37" s="8">
        <v>85.9</v>
      </c>
      <c r="E37" s="8" t="s">
        <v>25</v>
      </c>
      <c r="F37" s="8">
        <v>216</v>
      </c>
      <c r="G37" s="8">
        <v>291</v>
      </c>
      <c r="H37" s="8" t="s">
        <v>13</v>
      </c>
      <c r="I37" s="12">
        <v>75500</v>
      </c>
      <c r="J37" s="6"/>
      <c r="K37" s="6"/>
    </row>
    <row r="38" spans="1:11" x14ac:dyDescent="0.2">
      <c r="A38" s="8">
        <v>37</v>
      </c>
      <c r="B38" s="8" t="s">
        <v>24</v>
      </c>
      <c r="C38" s="8">
        <v>79.2</v>
      </c>
      <c r="D38" s="8">
        <v>82.3</v>
      </c>
      <c r="E38" s="8" t="s">
        <v>27</v>
      </c>
      <c r="F38" s="8">
        <v>289</v>
      </c>
      <c r="G38" s="8">
        <v>368</v>
      </c>
      <c r="H38" s="8" t="s">
        <v>13</v>
      </c>
      <c r="I38" s="12">
        <v>86000</v>
      </c>
      <c r="J38" s="6"/>
      <c r="K38" s="6"/>
    </row>
    <row r="39" spans="1:11" x14ac:dyDescent="0.2">
      <c r="A39" s="8">
        <v>38</v>
      </c>
      <c r="B39" s="8" t="s">
        <v>72</v>
      </c>
      <c r="C39" s="8">
        <v>61.2</v>
      </c>
      <c r="D39" s="8">
        <v>76.7</v>
      </c>
      <c r="E39" s="8" t="s">
        <v>25</v>
      </c>
      <c r="F39" s="8">
        <v>213</v>
      </c>
      <c r="G39" s="8">
        <v>206</v>
      </c>
      <c r="H39" s="8" t="s">
        <v>14</v>
      </c>
      <c r="I39" s="8"/>
      <c r="J39" s="6"/>
      <c r="K39" s="6"/>
    </row>
    <row r="40" spans="1:11" x14ac:dyDescent="0.2">
      <c r="A40" s="8">
        <v>39</v>
      </c>
      <c r="B40" s="8" t="s">
        <v>75</v>
      </c>
      <c r="C40" s="8">
        <v>64</v>
      </c>
      <c r="D40" s="8">
        <v>79.900000000000006</v>
      </c>
      <c r="E40" s="8" t="s">
        <v>25</v>
      </c>
      <c r="F40" s="8">
        <v>209</v>
      </c>
      <c r="G40" s="8">
        <v>231</v>
      </c>
      <c r="H40" s="8" t="s">
        <v>14</v>
      </c>
      <c r="I40" s="8"/>
      <c r="J40" s="6"/>
      <c r="K40" s="6"/>
    </row>
    <row r="41" spans="1:11" x14ac:dyDescent="0.2">
      <c r="A41" s="8">
        <v>40</v>
      </c>
      <c r="B41" s="8" t="s">
        <v>75</v>
      </c>
      <c r="C41" s="8">
        <v>68</v>
      </c>
      <c r="D41" s="8">
        <v>86.2</v>
      </c>
      <c r="E41" s="8" t="s">
        <v>27</v>
      </c>
      <c r="F41" s="8">
        <v>376</v>
      </c>
      <c r="G41" s="8">
        <v>389</v>
      </c>
      <c r="H41" s="8" t="s">
        <v>14</v>
      </c>
      <c r="I41" s="8"/>
      <c r="J41" s="6"/>
      <c r="K41" s="6"/>
    </row>
    <row r="42" spans="1:11" x14ac:dyDescent="0.2">
      <c r="A42" s="8">
        <v>41</v>
      </c>
      <c r="B42" s="8" t="s">
        <v>72</v>
      </c>
      <c r="C42" s="8">
        <v>78.5</v>
      </c>
      <c r="D42" s="8">
        <v>79.2</v>
      </c>
      <c r="E42" s="8" t="s">
        <v>25</v>
      </c>
      <c r="F42" s="8">
        <v>332</v>
      </c>
      <c r="G42" s="8">
        <v>396</v>
      </c>
      <c r="H42" s="8" t="s">
        <v>13</v>
      </c>
      <c r="I42" s="12">
        <v>156500</v>
      </c>
      <c r="J42" s="6"/>
      <c r="K42" s="6"/>
    </row>
    <row r="43" spans="1:11" x14ac:dyDescent="0.2">
      <c r="A43" s="8">
        <v>42</v>
      </c>
      <c r="B43" s="8" t="s">
        <v>24</v>
      </c>
      <c r="C43" s="8">
        <v>83</v>
      </c>
      <c r="D43" s="8">
        <v>83.4</v>
      </c>
      <c r="E43" s="8" t="s">
        <v>27</v>
      </c>
      <c r="F43" s="8">
        <v>249</v>
      </c>
      <c r="G43" s="8">
        <v>339</v>
      </c>
      <c r="H43" s="8" t="s">
        <v>13</v>
      </c>
      <c r="I43" s="12">
        <v>99500</v>
      </c>
      <c r="J43" s="6"/>
      <c r="K43" s="6"/>
    </row>
    <row r="44" spans="1:11" x14ac:dyDescent="0.2">
      <c r="A44" s="8">
        <v>43</v>
      </c>
      <c r="B44" s="8" t="s">
        <v>74</v>
      </c>
      <c r="C44" s="8">
        <v>75.2</v>
      </c>
      <c r="D44" s="8">
        <v>85.2</v>
      </c>
      <c r="E44" s="8" t="s">
        <v>27</v>
      </c>
      <c r="F44" s="8">
        <v>228</v>
      </c>
      <c r="G44" s="8">
        <v>286</v>
      </c>
      <c r="H44" s="8" t="s">
        <v>13</v>
      </c>
      <c r="I44" s="12">
        <v>148000</v>
      </c>
      <c r="J44" s="6"/>
      <c r="K44" s="6"/>
    </row>
    <row r="45" spans="1:11" x14ac:dyDescent="0.2">
      <c r="A45" s="8">
        <v>44</v>
      </c>
      <c r="B45" s="8" t="s">
        <v>24</v>
      </c>
      <c r="C45" s="8">
        <v>68.099999999999994</v>
      </c>
      <c r="D45" s="8">
        <v>77.8</v>
      </c>
      <c r="E45" s="8" t="s">
        <v>25</v>
      </c>
      <c r="F45" s="8">
        <v>124</v>
      </c>
      <c r="G45" s="8">
        <v>146</v>
      </c>
      <c r="H45" s="8" t="s">
        <v>14</v>
      </c>
      <c r="I45" s="8"/>
      <c r="J45" s="6"/>
      <c r="K45" s="6"/>
    </row>
    <row r="46" spans="1:11" x14ac:dyDescent="0.2">
      <c r="A46" s="8">
        <v>45</v>
      </c>
      <c r="B46" s="8" t="s">
        <v>74</v>
      </c>
      <c r="C46" s="8">
        <v>93.6</v>
      </c>
      <c r="D46" s="8">
        <v>80.2</v>
      </c>
      <c r="E46" s="8" t="s">
        <v>25</v>
      </c>
      <c r="F46" s="8">
        <v>194</v>
      </c>
      <c r="G46" s="8">
        <v>315</v>
      </c>
      <c r="H46" s="8" t="s">
        <v>13</v>
      </c>
      <c r="I46" s="12">
        <v>82000</v>
      </c>
      <c r="J46" s="6"/>
      <c r="K46" s="6"/>
    </row>
    <row r="47" spans="1:11" x14ac:dyDescent="0.2">
      <c r="A47" s="8">
        <v>46</v>
      </c>
      <c r="B47" s="8" t="s">
        <v>24</v>
      </c>
      <c r="C47" s="8">
        <v>75.599999999999994</v>
      </c>
      <c r="D47" s="8">
        <v>71</v>
      </c>
      <c r="E47" s="8" t="s">
        <v>27</v>
      </c>
      <c r="F47" s="8">
        <v>157</v>
      </c>
      <c r="G47" s="8">
        <v>183</v>
      </c>
      <c r="H47" s="8" t="s">
        <v>14</v>
      </c>
      <c r="I47" s="8"/>
      <c r="J47" s="6"/>
      <c r="K47" s="6"/>
    </row>
    <row r="48" spans="1:11" x14ac:dyDescent="0.2">
      <c r="A48" s="8">
        <v>47</v>
      </c>
      <c r="B48" s="8" t="s">
        <v>24</v>
      </c>
      <c r="C48" s="8">
        <v>82.3</v>
      </c>
      <c r="D48" s="8">
        <v>87.2</v>
      </c>
      <c r="E48" s="8" t="s">
        <v>25</v>
      </c>
      <c r="F48" s="8">
        <v>402</v>
      </c>
      <c r="G48" s="8">
        <v>481</v>
      </c>
      <c r="H48" s="8" t="s">
        <v>13</v>
      </c>
      <c r="I48" s="12">
        <v>103500</v>
      </c>
      <c r="J48" s="6"/>
      <c r="K48" s="6"/>
    </row>
    <row r="49" spans="1:11" x14ac:dyDescent="0.2">
      <c r="A49" s="8">
        <v>48</v>
      </c>
      <c r="B49" s="8" t="s">
        <v>24</v>
      </c>
      <c r="C49" s="8">
        <v>71.400000000000006</v>
      </c>
      <c r="D49" s="8">
        <v>82.9</v>
      </c>
      <c r="E49" s="8" t="s">
        <v>25</v>
      </c>
      <c r="F49" s="8">
        <v>323</v>
      </c>
      <c r="G49" s="8">
        <v>349</v>
      </c>
      <c r="H49" s="8" t="s">
        <v>14</v>
      </c>
      <c r="I49" s="8"/>
      <c r="J49" s="6"/>
      <c r="K49" s="6"/>
    </row>
    <row r="50" spans="1:11" x14ac:dyDescent="0.2">
      <c r="A50" s="8">
        <v>49</v>
      </c>
      <c r="B50" s="8" t="s">
        <v>72</v>
      </c>
      <c r="C50" s="8">
        <v>71.900000000000006</v>
      </c>
      <c r="D50" s="8">
        <v>73.5</v>
      </c>
      <c r="E50" s="8" t="s">
        <v>25</v>
      </c>
      <c r="F50" s="8">
        <v>181</v>
      </c>
      <c r="G50" s="8">
        <v>225</v>
      </c>
      <c r="H50" s="8" t="s">
        <v>13</v>
      </c>
      <c r="I50" s="12">
        <v>205500</v>
      </c>
      <c r="J50" s="6"/>
      <c r="K50" s="6"/>
    </row>
    <row r="51" spans="1:11" x14ac:dyDescent="0.2">
      <c r="A51" s="8">
        <v>50</v>
      </c>
      <c r="B51" s="8" t="s">
        <v>75</v>
      </c>
      <c r="C51" s="8">
        <v>79.099999999999994</v>
      </c>
      <c r="D51" s="8">
        <v>74.599999999999994</v>
      </c>
      <c r="E51" s="8" t="s">
        <v>25</v>
      </c>
      <c r="F51" s="8">
        <v>157</v>
      </c>
      <c r="G51" s="8">
        <v>217</v>
      </c>
      <c r="H51" s="8" t="s">
        <v>13</v>
      </c>
      <c r="I51" s="12">
        <v>103500</v>
      </c>
      <c r="J51" s="6"/>
      <c r="K51" s="6"/>
    </row>
    <row r="52" spans="1:11" x14ac:dyDescent="0.2">
      <c r="A52" s="8">
        <v>51</v>
      </c>
      <c r="B52" s="8" t="s">
        <v>24</v>
      </c>
      <c r="C52" s="8">
        <v>88.7</v>
      </c>
      <c r="D52" s="8">
        <v>75.099999999999994</v>
      </c>
      <c r="E52" s="8" t="s">
        <v>27</v>
      </c>
      <c r="F52" s="8">
        <v>266</v>
      </c>
      <c r="G52" s="8">
        <v>353</v>
      </c>
      <c r="H52" s="8" t="s">
        <v>13</v>
      </c>
      <c r="I52" s="12">
        <v>340000</v>
      </c>
      <c r="J52" s="6"/>
      <c r="K52" s="6"/>
    </row>
    <row r="53" spans="1:11" x14ac:dyDescent="0.2">
      <c r="A53" s="8">
        <v>52</v>
      </c>
      <c r="B53" s="8" t="s">
        <v>72</v>
      </c>
      <c r="C53" s="8">
        <v>69.400000000000006</v>
      </c>
      <c r="D53" s="8">
        <v>85.1</v>
      </c>
      <c r="E53" s="8" t="s">
        <v>25</v>
      </c>
      <c r="F53" s="8">
        <v>268</v>
      </c>
      <c r="G53" s="8">
        <v>314</v>
      </c>
      <c r="H53" s="8" t="s">
        <v>14</v>
      </c>
      <c r="I53" s="8"/>
      <c r="J53" s="6"/>
      <c r="K53" s="6"/>
    </row>
    <row r="54" spans="1:11" x14ac:dyDescent="0.2">
      <c r="A54" s="8">
        <v>53</v>
      </c>
      <c r="B54" s="8" t="s">
        <v>24</v>
      </c>
      <c r="C54" s="8">
        <v>80.3</v>
      </c>
      <c r="D54" s="8">
        <v>74.900000000000006</v>
      </c>
      <c r="E54" s="8" t="s">
        <v>27</v>
      </c>
      <c r="F54" s="8">
        <v>167</v>
      </c>
      <c r="G54" s="8">
        <v>247</v>
      </c>
      <c r="H54" s="8" t="s">
        <v>13</v>
      </c>
      <c r="I54" s="12">
        <v>103500</v>
      </c>
      <c r="J54" s="6"/>
      <c r="K54" s="6"/>
    </row>
    <row r="55" spans="1:11" x14ac:dyDescent="0.2">
      <c r="A55" s="8">
        <v>54</v>
      </c>
      <c r="B55" s="8" t="s">
        <v>74</v>
      </c>
      <c r="C55" s="8">
        <v>83</v>
      </c>
      <c r="D55" s="8">
        <v>84.6</v>
      </c>
      <c r="E55" s="8" t="s">
        <v>27</v>
      </c>
      <c r="F55" s="8">
        <v>342</v>
      </c>
      <c r="G55" s="8">
        <v>410</v>
      </c>
      <c r="H55" s="8" t="s">
        <v>13</v>
      </c>
      <c r="I55" s="12">
        <v>99500</v>
      </c>
      <c r="J55" s="6"/>
      <c r="K55" s="6"/>
    </row>
    <row r="56" spans="1:11" x14ac:dyDescent="0.2">
      <c r="A56" s="8">
        <v>55</v>
      </c>
      <c r="B56" s="8" t="s">
        <v>24</v>
      </c>
      <c r="C56" s="8">
        <v>74.099999999999994</v>
      </c>
      <c r="D56" s="8">
        <v>81.7</v>
      </c>
      <c r="E56" s="8" t="s">
        <v>27</v>
      </c>
      <c r="F56" s="8">
        <v>349</v>
      </c>
      <c r="G56" s="8">
        <v>395</v>
      </c>
      <c r="H56" s="8" t="s">
        <v>13</v>
      </c>
      <c r="I56" s="12">
        <v>103000</v>
      </c>
      <c r="J56" s="6"/>
      <c r="K56" s="6"/>
    </row>
    <row r="57" spans="1:11" x14ac:dyDescent="0.2">
      <c r="A57" s="8">
        <v>56</v>
      </c>
      <c r="B57" s="8" t="s">
        <v>72</v>
      </c>
      <c r="C57" s="8">
        <v>79.400000000000006</v>
      </c>
      <c r="D57" s="8">
        <v>81.400000000000006</v>
      </c>
      <c r="E57" s="8" t="s">
        <v>25</v>
      </c>
      <c r="F57" s="8">
        <v>340</v>
      </c>
      <c r="G57" s="8">
        <v>416</v>
      </c>
      <c r="H57" s="8" t="s">
        <v>13</v>
      </c>
      <c r="I57" s="12">
        <v>103500</v>
      </c>
      <c r="J57" s="6"/>
      <c r="K57" s="6"/>
    </row>
    <row r="58" spans="1:11" x14ac:dyDescent="0.2">
      <c r="A58" s="8">
        <v>57</v>
      </c>
      <c r="B58" s="8" t="s">
        <v>24</v>
      </c>
      <c r="C58" s="8">
        <v>88.1</v>
      </c>
      <c r="D58" s="8">
        <v>83.8</v>
      </c>
      <c r="E58" s="8" t="s">
        <v>27</v>
      </c>
      <c r="F58" s="8">
        <v>227</v>
      </c>
      <c r="G58" s="8">
        <v>342</v>
      </c>
      <c r="H58" s="8" t="s">
        <v>13</v>
      </c>
      <c r="I58" s="12">
        <v>165000</v>
      </c>
      <c r="J58" s="6"/>
      <c r="K58" s="6"/>
    </row>
    <row r="59" spans="1:11" x14ac:dyDescent="0.2">
      <c r="A59" s="8">
        <v>58</v>
      </c>
      <c r="B59" s="8" t="s">
        <v>73</v>
      </c>
      <c r="C59" s="8">
        <v>74.599999999999994</v>
      </c>
      <c r="D59" s="8">
        <v>88.5</v>
      </c>
      <c r="E59" s="8" t="s">
        <v>27</v>
      </c>
      <c r="F59" s="8">
        <v>409</v>
      </c>
      <c r="G59" s="8">
        <v>446</v>
      </c>
      <c r="H59" s="8" t="s">
        <v>13</v>
      </c>
      <c r="I59" s="12">
        <v>124500</v>
      </c>
      <c r="J59" s="6"/>
      <c r="K59" s="6"/>
    </row>
    <row r="60" spans="1:11" x14ac:dyDescent="0.2">
      <c r="A60" s="8">
        <v>59</v>
      </c>
      <c r="B60" s="8" t="s">
        <v>73</v>
      </c>
      <c r="C60" s="8">
        <v>87.1</v>
      </c>
      <c r="D60" s="8">
        <v>84.9</v>
      </c>
      <c r="E60" s="8" t="s">
        <v>27</v>
      </c>
      <c r="F60" s="8">
        <v>400</v>
      </c>
      <c r="G60" s="8">
        <v>477</v>
      </c>
      <c r="H60" s="8" t="s">
        <v>13</v>
      </c>
      <c r="I60" s="12">
        <v>103500</v>
      </c>
      <c r="J60" s="6"/>
      <c r="K60" s="6"/>
    </row>
    <row r="61" spans="1:11" x14ac:dyDescent="0.2">
      <c r="A61" s="8">
        <v>60</v>
      </c>
      <c r="B61" s="8" t="s">
        <v>73</v>
      </c>
      <c r="C61" s="8">
        <v>79.7</v>
      </c>
      <c r="D61" s="8">
        <v>84.3</v>
      </c>
      <c r="E61" s="8" t="s">
        <v>25</v>
      </c>
      <c r="F61" s="8">
        <v>374</v>
      </c>
      <c r="G61" s="8">
        <v>444</v>
      </c>
      <c r="H61" s="8" t="s">
        <v>13</v>
      </c>
      <c r="I61" s="12">
        <v>82500</v>
      </c>
      <c r="J61" s="6"/>
      <c r="K61" s="6"/>
    </row>
    <row r="62" spans="1:11" x14ac:dyDescent="0.2">
      <c r="A62" s="8">
        <v>61</v>
      </c>
      <c r="B62" s="8" t="s">
        <v>73</v>
      </c>
      <c r="C62" s="8">
        <v>82.1</v>
      </c>
      <c r="D62" s="8">
        <v>78.2</v>
      </c>
      <c r="E62" s="8" t="s">
        <v>25</v>
      </c>
      <c r="F62" s="8">
        <v>255</v>
      </c>
      <c r="G62" s="8">
        <v>351</v>
      </c>
      <c r="H62" s="8" t="s">
        <v>13</v>
      </c>
      <c r="I62" s="12">
        <v>93000</v>
      </c>
      <c r="J62" s="6"/>
      <c r="K62" s="6"/>
    </row>
    <row r="63" spans="1:11" x14ac:dyDescent="0.2">
      <c r="A63" s="8">
        <v>62</v>
      </c>
      <c r="B63" s="8" t="s">
        <v>74</v>
      </c>
      <c r="C63" s="8">
        <v>70.2</v>
      </c>
      <c r="D63" s="8">
        <v>80</v>
      </c>
      <c r="E63" s="8" t="s">
        <v>25</v>
      </c>
      <c r="F63" s="8">
        <v>146</v>
      </c>
      <c r="G63" s="8">
        <v>165</v>
      </c>
      <c r="H63" s="8" t="s">
        <v>14</v>
      </c>
      <c r="I63" s="8"/>
      <c r="J63" s="6"/>
      <c r="K63" s="6"/>
    </row>
    <row r="64" spans="1:11" x14ac:dyDescent="0.2">
      <c r="A64" s="8">
        <v>63</v>
      </c>
      <c r="B64" s="8" t="s">
        <v>24</v>
      </c>
      <c r="C64" s="8">
        <v>81.7</v>
      </c>
      <c r="D64" s="8">
        <v>74.8</v>
      </c>
      <c r="E64" s="8" t="s">
        <v>25</v>
      </c>
      <c r="F64" s="8">
        <v>248</v>
      </c>
      <c r="G64" s="8">
        <v>317</v>
      </c>
      <c r="H64" s="8" t="s">
        <v>13</v>
      </c>
      <c r="I64" s="12">
        <v>168000</v>
      </c>
      <c r="J64" s="6"/>
      <c r="K64" s="6"/>
    </row>
    <row r="65" spans="1:11" x14ac:dyDescent="0.2">
      <c r="A65" s="8">
        <v>64</v>
      </c>
      <c r="B65" s="8" t="s">
        <v>73</v>
      </c>
      <c r="C65" s="8">
        <v>76.099999999999994</v>
      </c>
      <c r="D65" s="8">
        <v>78.5</v>
      </c>
      <c r="E65" s="8" t="s">
        <v>25</v>
      </c>
      <c r="F65" s="8">
        <v>198</v>
      </c>
      <c r="G65" s="8">
        <v>250</v>
      </c>
      <c r="H65" s="8" t="s">
        <v>13</v>
      </c>
      <c r="I65" s="12">
        <v>96000</v>
      </c>
      <c r="J65" s="6"/>
      <c r="K65" s="6"/>
    </row>
    <row r="66" spans="1:11" x14ac:dyDescent="0.2">
      <c r="A66" s="8">
        <v>65</v>
      </c>
      <c r="B66" s="8" t="s">
        <v>72</v>
      </c>
      <c r="C66" s="8">
        <v>65.400000000000006</v>
      </c>
      <c r="D66" s="8">
        <v>71.8</v>
      </c>
      <c r="E66" s="8" t="s">
        <v>27</v>
      </c>
      <c r="F66" s="8">
        <v>210</v>
      </c>
      <c r="G66" s="8">
        <v>217</v>
      </c>
      <c r="H66" s="8" t="s">
        <v>14</v>
      </c>
      <c r="I66" s="8"/>
      <c r="J66" s="6"/>
      <c r="K66" s="6"/>
    </row>
    <row r="67" spans="1:11" x14ac:dyDescent="0.2">
      <c r="A67" s="8">
        <v>66</v>
      </c>
      <c r="B67" s="8" t="s">
        <v>72</v>
      </c>
      <c r="C67" s="8">
        <v>70.099999999999994</v>
      </c>
      <c r="D67" s="8">
        <v>69.900000000000006</v>
      </c>
      <c r="E67" s="8" t="s">
        <v>27</v>
      </c>
      <c r="F67" s="8">
        <v>107</v>
      </c>
      <c r="G67" s="8">
        <v>138</v>
      </c>
      <c r="H67" s="8" t="s">
        <v>14</v>
      </c>
      <c r="I67" s="8"/>
      <c r="J67" s="6"/>
      <c r="K67" s="6"/>
    </row>
    <row r="68" spans="1:11" x14ac:dyDescent="0.2">
      <c r="A68" s="8">
        <v>67</v>
      </c>
      <c r="B68" s="8" t="s">
        <v>24</v>
      </c>
      <c r="C68" s="8">
        <v>75.3</v>
      </c>
      <c r="D68" s="8">
        <v>82.7</v>
      </c>
      <c r="E68" s="8" t="s">
        <v>27</v>
      </c>
      <c r="F68" s="8">
        <v>239</v>
      </c>
      <c r="G68" s="8">
        <v>302</v>
      </c>
      <c r="H68" s="8" t="s">
        <v>13</v>
      </c>
      <c r="I68" s="12">
        <v>80000</v>
      </c>
      <c r="J68" s="6"/>
      <c r="K68" s="6"/>
    </row>
    <row r="69" spans="1:11" x14ac:dyDescent="0.2">
      <c r="A69" s="8">
        <v>68</v>
      </c>
      <c r="B69" s="8" t="s">
        <v>73</v>
      </c>
      <c r="C69" s="8">
        <v>68.7</v>
      </c>
      <c r="D69" s="8">
        <v>74</v>
      </c>
      <c r="E69" s="8" t="s">
        <v>25</v>
      </c>
      <c r="F69" s="8">
        <v>287</v>
      </c>
      <c r="G69" s="8">
        <v>311</v>
      </c>
      <c r="H69" s="8" t="s">
        <v>14</v>
      </c>
      <c r="I69" s="8"/>
      <c r="J69" s="6"/>
      <c r="K69" s="6"/>
    </row>
    <row r="70" spans="1:11" x14ac:dyDescent="0.2">
      <c r="A70" s="8">
        <v>69</v>
      </c>
      <c r="B70" s="8" t="s">
        <v>24</v>
      </c>
      <c r="C70" s="8">
        <v>75.7</v>
      </c>
      <c r="D70" s="8">
        <v>84</v>
      </c>
      <c r="E70" s="8" t="s">
        <v>27</v>
      </c>
      <c r="F70" s="8">
        <v>340</v>
      </c>
      <c r="G70" s="8">
        <v>373</v>
      </c>
      <c r="H70" s="8" t="s">
        <v>13</v>
      </c>
      <c r="I70" s="12">
        <v>124500</v>
      </c>
      <c r="J70" s="6"/>
      <c r="K70" s="6"/>
    </row>
    <row r="71" spans="1:11" x14ac:dyDescent="0.2">
      <c r="A71" s="8">
        <v>70</v>
      </c>
      <c r="B71" s="8" t="s">
        <v>73</v>
      </c>
      <c r="C71" s="8">
        <v>68.7</v>
      </c>
      <c r="D71" s="8">
        <v>84.7</v>
      </c>
      <c r="E71" s="8" t="s">
        <v>25</v>
      </c>
      <c r="F71" s="8">
        <v>155</v>
      </c>
      <c r="G71" s="8">
        <v>196</v>
      </c>
      <c r="H71" s="8" t="s">
        <v>14</v>
      </c>
      <c r="I71" s="8"/>
      <c r="J71" s="6"/>
      <c r="K71" s="6"/>
    </row>
    <row r="72" spans="1:11" x14ac:dyDescent="0.2">
      <c r="A72" s="8">
        <v>71</v>
      </c>
      <c r="B72" s="8" t="s">
        <v>72</v>
      </c>
      <c r="C72" s="8">
        <v>70.400000000000006</v>
      </c>
      <c r="D72" s="8">
        <v>78.2</v>
      </c>
      <c r="E72" s="8" t="s">
        <v>27</v>
      </c>
      <c r="F72" s="8">
        <v>263</v>
      </c>
      <c r="G72" s="8">
        <v>306</v>
      </c>
      <c r="H72" s="8" t="s">
        <v>13</v>
      </c>
      <c r="I72" s="12">
        <v>99000</v>
      </c>
      <c r="J72" s="6"/>
      <c r="K72" s="6"/>
    </row>
    <row r="73" spans="1:11" x14ac:dyDescent="0.2">
      <c r="A73" s="8">
        <v>72</v>
      </c>
      <c r="B73" s="8" t="s">
        <v>72</v>
      </c>
      <c r="C73" s="8">
        <v>68.3</v>
      </c>
      <c r="D73" s="8">
        <v>85</v>
      </c>
      <c r="E73" s="8" t="s">
        <v>27</v>
      </c>
      <c r="F73" s="8">
        <v>265</v>
      </c>
      <c r="G73" s="8">
        <v>302</v>
      </c>
      <c r="H73" s="8" t="s">
        <v>14</v>
      </c>
      <c r="I73" s="8"/>
      <c r="J73" s="6"/>
      <c r="K73" s="6"/>
    </row>
    <row r="74" spans="1:11" x14ac:dyDescent="0.2">
      <c r="A74" s="8">
        <v>73</v>
      </c>
      <c r="B74" s="8" t="s">
        <v>24</v>
      </c>
      <c r="C74" s="8">
        <v>71.7</v>
      </c>
      <c r="D74" s="8">
        <v>80.099999999999994</v>
      </c>
      <c r="E74" s="8" t="s">
        <v>25</v>
      </c>
      <c r="F74" s="8">
        <v>249</v>
      </c>
      <c r="G74" s="8">
        <v>278</v>
      </c>
      <c r="H74" s="8" t="s">
        <v>14</v>
      </c>
      <c r="I74" s="8"/>
      <c r="J74" s="6"/>
      <c r="K74" s="6"/>
    </row>
    <row r="75" spans="1:11" x14ac:dyDescent="0.2">
      <c r="A75" s="8">
        <v>74</v>
      </c>
      <c r="B75" s="8" t="s">
        <v>73</v>
      </c>
      <c r="C75" s="8">
        <v>70.900000000000006</v>
      </c>
      <c r="D75" s="8">
        <v>85.3</v>
      </c>
      <c r="E75" s="8" t="s">
        <v>25</v>
      </c>
      <c r="F75" s="8">
        <v>377</v>
      </c>
      <c r="G75" s="8">
        <v>429</v>
      </c>
      <c r="H75" s="8" t="s">
        <v>14</v>
      </c>
      <c r="I75" s="8"/>
      <c r="J75" s="6"/>
      <c r="K75" s="6"/>
    </row>
    <row r="76" spans="1:11" x14ac:dyDescent="0.2">
      <c r="A76" s="8">
        <v>75</v>
      </c>
      <c r="B76" s="8" t="s">
        <v>72</v>
      </c>
      <c r="C76" s="8">
        <v>66.3</v>
      </c>
      <c r="D76" s="8">
        <v>79.7</v>
      </c>
      <c r="E76" s="8" t="s">
        <v>25</v>
      </c>
      <c r="F76" s="8">
        <v>301</v>
      </c>
      <c r="G76" s="8">
        <v>338</v>
      </c>
      <c r="H76" s="8" t="s">
        <v>13</v>
      </c>
      <c r="I76" s="12">
        <v>124000</v>
      </c>
      <c r="J76" s="6"/>
      <c r="K76" s="6"/>
    </row>
    <row r="77" spans="1:11" x14ac:dyDescent="0.2">
      <c r="A77" s="8">
        <v>76</v>
      </c>
      <c r="B77" s="8" t="s">
        <v>24</v>
      </c>
      <c r="C77" s="8">
        <v>65.3</v>
      </c>
      <c r="D77" s="8">
        <v>79.599999999999994</v>
      </c>
      <c r="E77" s="8" t="s">
        <v>25</v>
      </c>
      <c r="F77" s="8">
        <v>242</v>
      </c>
      <c r="G77" s="8">
        <v>261</v>
      </c>
      <c r="H77" s="8" t="s">
        <v>14</v>
      </c>
      <c r="I77" s="8"/>
      <c r="J77" s="6"/>
      <c r="K77" s="6"/>
    </row>
    <row r="78" spans="1:11" x14ac:dyDescent="0.2">
      <c r="A78" s="8">
        <v>77</v>
      </c>
      <c r="B78" s="8" t="s">
        <v>24</v>
      </c>
      <c r="C78" s="8">
        <v>75.7</v>
      </c>
      <c r="D78" s="8">
        <v>78.900000000000006</v>
      </c>
      <c r="E78" s="8" t="s">
        <v>25</v>
      </c>
      <c r="F78" s="8">
        <v>211</v>
      </c>
      <c r="G78" s="8">
        <v>256</v>
      </c>
      <c r="H78" s="8" t="s">
        <v>14</v>
      </c>
      <c r="I78" s="8"/>
      <c r="J78" s="6"/>
      <c r="K78" s="6"/>
    </row>
    <row r="79" spans="1:11" x14ac:dyDescent="0.2">
      <c r="A79" s="8">
        <v>78</v>
      </c>
      <c r="B79" s="8" t="s">
        <v>74</v>
      </c>
      <c r="C79" s="8">
        <v>66</v>
      </c>
      <c r="D79" s="8">
        <v>78.5</v>
      </c>
      <c r="E79" s="8" t="s">
        <v>25</v>
      </c>
      <c r="F79" s="8">
        <v>160</v>
      </c>
      <c r="G79" s="8">
        <v>183</v>
      </c>
      <c r="H79" s="8" t="s">
        <v>13</v>
      </c>
      <c r="I79" s="12">
        <v>91500</v>
      </c>
      <c r="J79" s="6"/>
      <c r="K79" s="6"/>
    </row>
    <row r="80" spans="1:11" x14ac:dyDescent="0.2">
      <c r="A80" s="8">
        <v>79</v>
      </c>
      <c r="B80" s="8" t="s">
        <v>24</v>
      </c>
      <c r="C80" s="8">
        <v>78.900000000000006</v>
      </c>
      <c r="D80" s="8">
        <v>72</v>
      </c>
      <c r="E80" s="8" t="s">
        <v>25</v>
      </c>
      <c r="F80" s="8">
        <v>218</v>
      </c>
      <c r="G80" s="8">
        <v>274</v>
      </c>
      <c r="H80" s="8" t="s">
        <v>13</v>
      </c>
      <c r="I80" s="12">
        <v>144500</v>
      </c>
      <c r="J80" s="6"/>
      <c r="K80" s="6"/>
    </row>
    <row r="81" spans="1:11" x14ac:dyDescent="0.2">
      <c r="A81" s="8">
        <v>80</v>
      </c>
      <c r="B81" s="8" t="s">
        <v>24</v>
      </c>
      <c r="C81" s="8">
        <v>74</v>
      </c>
      <c r="D81" s="8">
        <v>74.2</v>
      </c>
      <c r="E81" s="8" t="s">
        <v>25</v>
      </c>
      <c r="F81" s="8">
        <v>133</v>
      </c>
      <c r="G81" s="8">
        <v>182</v>
      </c>
      <c r="H81" s="8" t="s">
        <v>14</v>
      </c>
      <c r="I81" s="8"/>
      <c r="J81" s="6"/>
      <c r="K81" s="6"/>
    </row>
    <row r="82" spans="1:11" x14ac:dyDescent="0.2">
      <c r="A82" s="8">
        <v>81</v>
      </c>
      <c r="B82" s="8" t="s">
        <v>24</v>
      </c>
      <c r="C82" s="8">
        <v>74.599999999999994</v>
      </c>
      <c r="D82" s="8">
        <v>71.7</v>
      </c>
      <c r="E82" s="8" t="s">
        <v>25</v>
      </c>
      <c r="F82" s="8">
        <v>122</v>
      </c>
      <c r="G82" s="8">
        <v>183</v>
      </c>
      <c r="H82" s="8" t="s">
        <v>14</v>
      </c>
      <c r="I82" s="8"/>
      <c r="J82" s="6"/>
      <c r="K82" s="6"/>
    </row>
    <row r="83" spans="1:11" x14ac:dyDescent="0.2">
      <c r="A83" s="8">
        <v>82</v>
      </c>
      <c r="B83" s="8" t="s">
        <v>72</v>
      </c>
      <c r="C83" s="8">
        <v>79.3</v>
      </c>
      <c r="D83" s="8">
        <v>80.7</v>
      </c>
      <c r="E83" s="8" t="s">
        <v>25</v>
      </c>
      <c r="F83" s="8">
        <v>236</v>
      </c>
      <c r="G83" s="8">
        <v>309</v>
      </c>
      <c r="H83" s="8" t="s">
        <v>13</v>
      </c>
      <c r="I83" s="12">
        <v>114500</v>
      </c>
      <c r="J83" s="6"/>
      <c r="K83" s="6"/>
    </row>
    <row r="84" spans="1:11" x14ac:dyDescent="0.2">
      <c r="A84" s="8">
        <v>83</v>
      </c>
      <c r="B84" s="8" t="s">
        <v>72</v>
      </c>
      <c r="C84" s="8">
        <v>70.099999999999994</v>
      </c>
      <c r="D84" s="8">
        <v>84.1</v>
      </c>
      <c r="E84" s="8" t="s">
        <v>25</v>
      </c>
      <c r="F84" s="8">
        <v>143</v>
      </c>
      <c r="G84" s="8">
        <v>178</v>
      </c>
      <c r="H84" s="8" t="s">
        <v>14</v>
      </c>
      <c r="I84" s="8"/>
      <c r="J84" s="6"/>
      <c r="K84" s="6"/>
    </row>
    <row r="85" spans="1:11" x14ac:dyDescent="0.2">
      <c r="A85" s="8">
        <v>84</v>
      </c>
      <c r="B85" s="8" t="s">
        <v>24</v>
      </c>
      <c r="C85" s="8">
        <v>88.8</v>
      </c>
      <c r="D85" s="8">
        <v>87.4</v>
      </c>
      <c r="E85" s="8" t="s">
        <v>25</v>
      </c>
      <c r="F85" s="8">
        <v>354</v>
      </c>
      <c r="G85" s="8">
        <v>458</v>
      </c>
      <c r="H85" s="8" t="s">
        <v>13</v>
      </c>
      <c r="I85" s="12">
        <v>104500</v>
      </c>
      <c r="J85" s="6"/>
      <c r="K85" s="6"/>
    </row>
    <row r="86" spans="1:11" x14ac:dyDescent="0.2">
      <c r="A86" s="8">
        <v>85</v>
      </c>
      <c r="B86" s="8" t="s">
        <v>24</v>
      </c>
      <c r="C86" s="8">
        <v>66</v>
      </c>
      <c r="D86" s="8">
        <v>77.400000000000006</v>
      </c>
      <c r="E86" s="8" t="s">
        <v>27</v>
      </c>
      <c r="F86" s="8">
        <v>214</v>
      </c>
      <c r="G86" s="8">
        <v>234</v>
      </c>
      <c r="H86" s="8" t="s">
        <v>13</v>
      </c>
      <c r="I86" s="12">
        <v>124000</v>
      </c>
      <c r="J86" s="6"/>
      <c r="K86" s="6"/>
    </row>
    <row r="87" spans="1:11" x14ac:dyDescent="0.2">
      <c r="A87" s="8">
        <v>86</v>
      </c>
      <c r="B87" s="8" t="s">
        <v>75</v>
      </c>
      <c r="C87" s="8">
        <v>82.9</v>
      </c>
      <c r="D87" s="8">
        <v>84.7</v>
      </c>
      <c r="E87" s="8" t="s">
        <v>27</v>
      </c>
      <c r="F87" s="8">
        <v>225</v>
      </c>
      <c r="G87" s="8">
        <v>306</v>
      </c>
      <c r="H87" s="8" t="s">
        <v>13</v>
      </c>
      <c r="I87" s="12">
        <v>113000</v>
      </c>
      <c r="J87" s="6"/>
      <c r="K87" s="6"/>
    </row>
    <row r="88" spans="1:11" x14ac:dyDescent="0.2">
      <c r="A88" s="8">
        <v>87</v>
      </c>
      <c r="B88" s="8" t="s">
        <v>24</v>
      </c>
      <c r="C88" s="8">
        <v>100</v>
      </c>
      <c r="D88" s="8">
        <v>78.8</v>
      </c>
      <c r="E88" s="8" t="s">
        <v>25</v>
      </c>
      <c r="F88" s="8">
        <v>261</v>
      </c>
      <c r="G88" s="8">
        <v>400</v>
      </c>
      <c r="H88" s="8" t="s">
        <v>13</v>
      </c>
      <c r="I88" s="12">
        <v>78000</v>
      </c>
      <c r="J88" s="6"/>
      <c r="K88" s="6"/>
    </row>
    <row r="89" spans="1:11" x14ac:dyDescent="0.2">
      <c r="A89" s="8">
        <v>88</v>
      </c>
      <c r="B89" s="8" t="s">
        <v>24</v>
      </c>
      <c r="C89" s="8">
        <v>75.599999999999994</v>
      </c>
      <c r="D89" s="8">
        <v>92.7</v>
      </c>
      <c r="E89" s="8" t="s">
        <v>25</v>
      </c>
      <c r="F89" s="8">
        <v>277</v>
      </c>
      <c r="G89" s="8">
        <v>337</v>
      </c>
      <c r="H89" s="8" t="s">
        <v>14</v>
      </c>
      <c r="I89" s="8"/>
      <c r="J89" s="6"/>
      <c r="K89" s="6"/>
    </row>
    <row r="90" spans="1:11" x14ac:dyDescent="0.2">
      <c r="A90" s="8">
        <v>89</v>
      </c>
      <c r="B90" s="8" t="s">
        <v>74</v>
      </c>
      <c r="C90" s="8">
        <v>67.5</v>
      </c>
      <c r="D90" s="8">
        <v>88.8</v>
      </c>
      <c r="E90" s="8" t="s">
        <v>25</v>
      </c>
      <c r="F90" s="8">
        <v>282</v>
      </c>
      <c r="G90" s="8">
        <v>325</v>
      </c>
      <c r="H90" s="8" t="s">
        <v>13</v>
      </c>
      <c r="I90" s="12">
        <v>109000</v>
      </c>
      <c r="J90" s="6"/>
      <c r="K90" s="6"/>
    </row>
    <row r="91" spans="1:11" x14ac:dyDescent="0.2">
      <c r="A91" s="8">
        <v>90</v>
      </c>
      <c r="B91" s="8" t="s">
        <v>73</v>
      </c>
      <c r="C91" s="8">
        <v>68.7</v>
      </c>
      <c r="D91" s="8">
        <v>86.6</v>
      </c>
      <c r="E91" s="8" t="s">
        <v>25</v>
      </c>
      <c r="F91" s="8">
        <v>322</v>
      </c>
      <c r="G91" s="8">
        <v>329</v>
      </c>
      <c r="H91" s="8" t="s">
        <v>14</v>
      </c>
      <c r="I91" s="8"/>
      <c r="J91" s="6"/>
      <c r="K91" s="6"/>
    </row>
    <row r="92" spans="1:11" x14ac:dyDescent="0.2">
      <c r="A92" s="8">
        <v>91</v>
      </c>
      <c r="B92" s="8" t="s">
        <v>24</v>
      </c>
      <c r="C92" s="8">
        <v>76</v>
      </c>
      <c r="D92" s="8">
        <v>77.900000000000006</v>
      </c>
      <c r="E92" s="8" t="s">
        <v>25</v>
      </c>
      <c r="F92" s="8">
        <v>326</v>
      </c>
      <c r="G92" s="8">
        <v>369</v>
      </c>
      <c r="H92" s="8" t="s">
        <v>13</v>
      </c>
      <c r="I92" s="12">
        <v>99500</v>
      </c>
      <c r="J92" s="6"/>
      <c r="K92" s="6"/>
    </row>
    <row r="93" spans="1:11" x14ac:dyDescent="0.2">
      <c r="A93" s="8">
        <v>92</v>
      </c>
      <c r="B93" s="8" t="s">
        <v>73</v>
      </c>
      <c r="C93" s="8">
        <v>67.7</v>
      </c>
      <c r="D93" s="8">
        <v>86.1</v>
      </c>
      <c r="E93" s="8" t="s">
        <v>25</v>
      </c>
      <c r="F93" s="8">
        <v>421</v>
      </c>
      <c r="G93" s="8">
        <v>457</v>
      </c>
      <c r="H93" s="8" t="s">
        <v>13</v>
      </c>
      <c r="I93" s="12">
        <v>107000</v>
      </c>
      <c r="J93" s="6"/>
      <c r="K93" s="6"/>
    </row>
    <row r="94" spans="1:11" x14ac:dyDescent="0.2">
      <c r="A94" s="8">
        <v>93</v>
      </c>
      <c r="B94" s="8" t="s">
        <v>72</v>
      </c>
      <c r="C94" s="8">
        <v>75.3</v>
      </c>
      <c r="D94" s="8">
        <v>89.9</v>
      </c>
      <c r="E94" s="8" t="s">
        <v>25</v>
      </c>
      <c r="F94" s="8">
        <v>368</v>
      </c>
      <c r="G94" s="8">
        <v>421</v>
      </c>
      <c r="H94" s="8" t="s">
        <v>14</v>
      </c>
      <c r="I94" s="8"/>
      <c r="J94" s="6"/>
      <c r="K94" s="6"/>
    </row>
    <row r="95" spans="1:11" x14ac:dyDescent="0.2">
      <c r="A95" s="8">
        <v>94</v>
      </c>
      <c r="B95" s="8" t="s">
        <v>72</v>
      </c>
      <c r="C95" s="8">
        <v>68.099999999999994</v>
      </c>
      <c r="D95" s="8">
        <v>83.1</v>
      </c>
      <c r="E95" s="8" t="s">
        <v>25</v>
      </c>
      <c r="F95" s="8">
        <v>279</v>
      </c>
      <c r="G95" s="8">
        <v>282</v>
      </c>
      <c r="H95" s="8" t="s">
        <v>13</v>
      </c>
      <c r="I95" s="12">
        <v>84000</v>
      </c>
      <c r="J95" s="6"/>
      <c r="K95" s="6"/>
    </row>
    <row r="96" spans="1:11" x14ac:dyDescent="0.2">
      <c r="A96" s="8">
        <v>95</v>
      </c>
      <c r="B96" s="8" t="s">
        <v>74</v>
      </c>
      <c r="C96" s="8">
        <v>63.3</v>
      </c>
      <c r="D96" s="8">
        <v>82.6</v>
      </c>
      <c r="E96" s="8" t="s">
        <v>25</v>
      </c>
      <c r="F96" s="8">
        <v>268</v>
      </c>
      <c r="G96" s="8">
        <v>256</v>
      </c>
      <c r="H96" s="8" t="s">
        <v>14</v>
      </c>
      <c r="I96" s="8"/>
      <c r="J96" s="6"/>
      <c r="K9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EF65-B149-4CFB-B5D2-BB6B32A5CD91}">
  <sheetPr codeName="Sheet2">
    <tabColor theme="3"/>
  </sheetPr>
  <dimension ref="B1:O16"/>
  <sheetViews>
    <sheetView showGridLines="0" workbookViewId="0">
      <selection activeCell="I4" sqref="I4"/>
    </sheetView>
  </sheetViews>
  <sheetFormatPr baseColWidth="10" defaultColWidth="8.83203125" defaultRowHeight="15" x14ac:dyDescent="0.2"/>
  <cols>
    <col min="1" max="1" width="3" customWidth="1"/>
    <col min="2" max="2" width="38.5" customWidth="1"/>
    <col min="3" max="3" width="12.1640625" customWidth="1"/>
    <col min="4" max="4" width="3" customWidth="1"/>
    <col min="5" max="5" width="41.5" customWidth="1"/>
    <col min="6" max="6" width="12.1640625" customWidth="1"/>
    <col min="7" max="7" width="3" customWidth="1"/>
    <col min="8" max="8" width="55.83203125" bestFit="1" customWidth="1"/>
    <col min="9" max="9" width="12.1640625" customWidth="1"/>
    <col min="10" max="10" width="3" customWidth="1"/>
    <col min="11" max="11" width="52.33203125" bestFit="1" customWidth="1"/>
    <col min="12" max="12" width="12.1640625" customWidth="1"/>
    <col min="13" max="13" width="3" customWidth="1"/>
    <col min="14" max="14" width="44.33203125" customWidth="1"/>
    <col min="15" max="15" width="12.1640625" customWidth="1"/>
  </cols>
  <sheetData>
    <row r="1" spans="2:15" ht="16" thickBot="1" x14ac:dyDescent="0.25"/>
    <row r="2" spans="2:15" ht="30" customHeight="1" thickBot="1" x14ac:dyDescent="0.25">
      <c r="B2" s="111" t="s">
        <v>0</v>
      </c>
      <c r="C2" s="111"/>
      <c r="E2" s="112" t="s">
        <v>19</v>
      </c>
      <c r="F2" s="112"/>
      <c r="H2" s="113" t="s">
        <v>137</v>
      </c>
      <c r="I2" s="113"/>
      <c r="K2" s="114" t="s">
        <v>188</v>
      </c>
      <c r="L2" s="114"/>
      <c r="N2" s="115" t="s">
        <v>218</v>
      </c>
      <c r="O2" s="115"/>
    </row>
    <row r="3" spans="2:15" ht="16" thickBot="1" x14ac:dyDescent="0.25">
      <c r="B3" s="2" t="s">
        <v>1</v>
      </c>
      <c r="C3" s="2" t="s">
        <v>29</v>
      </c>
      <c r="E3" s="2" t="s">
        <v>1</v>
      </c>
      <c r="F3" s="2" t="s">
        <v>29</v>
      </c>
      <c r="H3" s="2" t="s">
        <v>1</v>
      </c>
      <c r="I3" s="2" t="s">
        <v>29</v>
      </c>
      <c r="K3" s="2" t="s">
        <v>1</v>
      </c>
      <c r="L3" s="2" t="s">
        <v>29</v>
      </c>
      <c r="N3" s="2" t="s">
        <v>1</v>
      </c>
      <c r="O3" s="2" t="s">
        <v>29</v>
      </c>
    </row>
    <row r="4" spans="2:15" ht="22.5" customHeight="1" thickBot="1" x14ac:dyDescent="0.25">
      <c r="B4" s="5" t="s">
        <v>2</v>
      </c>
      <c r="C4" s="4" t="s">
        <v>11</v>
      </c>
      <c r="E4" s="23" t="s">
        <v>84</v>
      </c>
      <c r="F4" s="24" t="s">
        <v>11</v>
      </c>
      <c r="H4" s="33" t="s">
        <v>152</v>
      </c>
      <c r="I4" s="34" t="s">
        <v>11</v>
      </c>
      <c r="K4" s="47" t="s">
        <v>190</v>
      </c>
      <c r="L4" s="48" t="s">
        <v>11</v>
      </c>
      <c r="N4" s="54" t="s">
        <v>225</v>
      </c>
      <c r="O4" s="55" t="s">
        <v>11</v>
      </c>
    </row>
    <row r="5" spans="2:15" ht="22.5" customHeight="1" thickBot="1" x14ac:dyDescent="0.25">
      <c r="B5" s="5" t="s">
        <v>3</v>
      </c>
      <c r="C5" s="4" t="s">
        <v>11</v>
      </c>
      <c r="E5" s="23" t="s">
        <v>82</v>
      </c>
      <c r="F5" s="24" t="s">
        <v>11</v>
      </c>
      <c r="H5" s="35" t="s">
        <v>223</v>
      </c>
      <c r="I5" s="32" t="s">
        <v>11</v>
      </c>
      <c r="K5" s="47" t="s">
        <v>191</v>
      </c>
      <c r="L5" s="48" t="s">
        <v>11</v>
      </c>
      <c r="N5" s="54" t="s">
        <v>226</v>
      </c>
      <c r="O5" s="55" t="s">
        <v>11</v>
      </c>
    </row>
    <row r="6" spans="2:15" ht="22.5" customHeight="1" thickBot="1" x14ac:dyDescent="0.25">
      <c r="B6" s="5" t="s">
        <v>4</v>
      </c>
      <c r="C6" s="4" t="s">
        <v>11</v>
      </c>
      <c r="E6" s="23" t="s">
        <v>83</v>
      </c>
      <c r="F6" s="24" t="s">
        <v>11</v>
      </c>
      <c r="H6" s="33" t="s">
        <v>154</v>
      </c>
      <c r="I6" s="34" t="s">
        <v>11</v>
      </c>
      <c r="K6" s="47" t="s">
        <v>192</v>
      </c>
      <c r="L6" s="48" t="s">
        <v>11</v>
      </c>
      <c r="N6" s="56" t="s">
        <v>227</v>
      </c>
      <c r="O6" s="57" t="s">
        <v>11</v>
      </c>
    </row>
    <row r="7" spans="2:15" ht="22.5" customHeight="1" thickBot="1" x14ac:dyDescent="0.25">
      <c r="B7" s="15" t="s">
        <v>28</v>
      </c>
      <c r="C7" s="16" t="s">
        <v>11</v>
      </c>
      <c r="E7" s="25" t="s">
        <v>97</v>
      </c>
      <c r="F7" s="26" t="s">
        <v>11</v>
      </c>
      <c r="H7" s="35" t="s">
        <v>153</v>
      </c>
      <c r="I7" s="32" t="s">
        <v>11</v>
      </c>
      <c r="K7" s="47" t="s">
        <v>193</v>
      </c>
      <c r="L7" s="48" t="s">
        <v>11</v>
      </c>
      <c r="N7" s="54" t="s">
        <v>236</v>
      </c>
      <c r="O7" s="55" t="s">
        <v>11</v>
      </c>
    </row>
    <row r="8" spans="2:15" ht="22.5" customHeight="1" thickBot="1" x14ac:dyDescent="0.25">
      <c r="B8" s="5" t="s">
        <v>5</v>
      </c>
      <c r="C8" s="4" t="s">
        <v>11</v>
      </c>
      <c r="E8" s="23" t="s">
        <v>102</v>
      </c>
      <c r="F8" s="24" t="s">
        <v>11</v>
      </c>
      <c r="H8" s="33" t="s">
        <v>156</v>
      </c>
      <c r="I8" s="34" t="s">
        <v>11</v>
      </c>
      <c r="K8" s="47" t="s">
        <v>308</v>
      </c>
      <c r="L8" s="48" t="s">
        <v>11</v>
      </c>
      <c r="N8" s="54" t="s">
        <v>237</v>
      </c>
      <c r="O8" s="55" t="s">
        <v>11</v>
      </c>
    </row>
    <row r="9" spans="2:15" ht="22.5" customHeight="1" thickBot="1" x14ac:dyDescent="0.25">
      <c r="B9" s="5" t="s">
        <v>6</v>
      </c>
      <c r="C9" s="4" t="s">
        <v>11</v>
      </c>
      <c r="E9" s="23" t="s">
        <v>106</v>
      </c>
      <c r="F9" s="24" t="s">
        <v>11</v>
      </c>
      <c r="H9" s="35" t="s">
        <v>189</v>
      </c>
      <c r="I9" s="32" t="s">
        <v>11</v>
      </c>
      <c r="K9" s="45" t="s">
        <v>222</v>
      </c>
      <c r="L9" s="46" t="s">
        <v>11</v>
      </c>
      <c r="N9" s="56" t="s">
        <v>255</v>
      </c>
      <c r="O9" s="57" t="s">
        <v>11</v>
      </c>
    </row>
    <row r="10" spans="2:15" ht="22.5" customHeight="1" thickBot="1" x14ac:dyDescent="0.25">
      <c r="B10" s="15" t="s">
        <v>30</v>
      </c>
      <c r="C10" s="16" t="s">
        <v>11</v>
      </c>
      <c r="E10" s="25" t="s">
        <v>101</v>
      </c>
      <c r="F10" s="26" t="s">
        <v>11</v>
      </c>
      <c r="H10" s="33" t="s">
        <v>165</v>
      </c>
      <c r="I10" s="34" t="s">
        <v>11</v>
      </c>
      <c r="K10" s="49" t="s">
        <v>207</v>
      </c>
      <c r="L10" s="48" t="s">
        <v>11</v>
      </c>
      <c r="N10" s="54" t="s">
        <v>256</v>
      </c>
      <c r="O10" s="55" t="s">
        <v>11</v>
      </c>
    </row>
    <row r="11" spans="2:15" ht="22.5" customHeight="1" thickBot="1" x14ac:dyDescent="0.25">
      <c r="B11" s="5" t="s">
        <v>7</v>
      </c>
      <c r="C11" s="4" t="s">
        <v>11</v>
      </c>
      <c r="E11" s="23" t="s">
        <v>98</v>
      </c>
      <c r="F11" s="24" t="s">
        <v>11</v>
      </c>
      <c r="H11" s="35" t="s">
        <v>166</v>
      </c>
      <c r="I11" s="32" t="s">
        <v>11</v>
      </c>
      <c r="K11" s="45" t="s">
        <v>221</v>
      </c>
      <c r="L11" s="46" t="s">
        <v>11</v>
      </c>
      <c r="N11" s="54" t="s">
        <v>257</v>
      </c>
      <c r="O11" s="55" t="s">
        <v>11</v>
      </c>
    </row>
    <row r="12" spans="2:15" ht="22.5" customHeight="1" thickBot="1" x14ac:dyDescent="0.25">
      <c r="B12" s="5" t="s">
        <v>8</v>
      </c>
      <c r="C12" s="4" t="s">
        <v>11</v>
      </c>
      <c r="E12" s="23" t="s">
        <v>109</v>
      </c>
      <c r="F12" s="24" t="s">
        <v>11</v>
      </c>
      <c r="H12" s="33" t="s">
        <v>167</v>
      </c>
      <c r="I12" s="34" t="s">
        <v>11</v>
      </c>
      <c r="K12" s="45" t="s">
        <v>219</v>
      </c>
      <c r="L12" s="46" t="s">
        <v>11</v>
      </c>
      <c r="N12" s="54" t="s">
        <v>258</v>
      </c>
      <c r="O12" s="55" t="s">
        <v>11</v>
      </c>
    </row>
    <row r="13" spans="2:15" ht="22.5" customHeight="1" thickBot="1" x14ac:dyDescent="0.25">
      <c r="B13" s="5" t="s">
        <v>9</v>
      </c>
      <c r="C13" s="4" t="s">
        <v>11</v>
      </c>
      <c r="E13" s="23" t="s">
        <v>110</v>
      </c>
      <c r="F13" s="24" t="s">
        <v>11</v>
      </c>
      <c r="H13" s="35" t="s">
        <v>168</v>
      </c>
      <c r="I13" s="32" t="s">
        <v>11</v>
      </c>
      <c r="K13" s="45" t="s">
        <v>220</v>
      </c>
      <c r="L13" s="46" t="s">
        <v>11</v>
      </c>
      <c r="N13" s="54" t="s">
        <v>259</v>
      </c>
      <c r="O13" s="55" t="s">
        <v>11</v>
      </c>
    </row>
    <row r="14" spans="2:15" ht="22.5" customHeight="1" thickBot="1" x14ac:dyDescent="0.25">
      <c r="B14" s="5" t="s">
        <v>10</v>
      </c>
      <c r="C14" s="4" t="s">
        <v>11</v>
      </c>
      <c r="E14" s="25" t="s">
        <v>117</v>
      </c>
      <c r="F14" s="26" t="s">
        <v>11</v>
      </c>
      <c r="H14" s="33" t="s">
        <v>184</v>
      </c>
      <c r="I14" s="34" t="s">
        <v>11</v>
      </c>
      <c r="N14" s="56" t="s">
        <v>260</v>
      </c>
      <c r="O14" s="57" t="s">
        <v>11</v>
      </c>
    </row>
    <row r="15" spans="2:15" ht="22.5" customHeight="1" thickBot="1" x14ac:dyDescent="0.25">
      <c r="B15" s="5" t="s">
        <v>81</v>
      </c>
      <c r="C15" s="4" t="s">
        <v>11</v>
      </c>
      <c r="N15" s="54" t="s">
        <v>261</v>
      </c>
      <c r="O15" s="55" t="s">
        <v>11</v>
      </c>
    </row>
    <row r="16" spans="2:15" ht="22.5" customHeight="1" thickBot="1" x14ac:dyDescent="0.25">
      <c r="B16" s="15" t="s">
        <v>31</v>
      </c>
      <c r="C16" s="16" t="s">
        <v>11</v>
      </c>
      <c r="N16" s="54" t="s">
        <v>266</v>
      </c>
      <c r="O16" s="55" t="s">
        <v>11</v>
      </c>
    </row>
  </sheetData>
  <mergeCells count="5">
    <mergeCell ref="B2:C2"/>
    <mergeCell ref="E2:F2"/>
    <mergeCell ref="H2:I2"/>
    <mergeCell ref="K2:L2"/>
    <mergeCell ref="N2:O2"/>
  </mergeCells>
  <hyperlinks>
    <hyperlink ref="C4" location="'Categorical Distributions'!A1" display="LINK" xr:uid="{641D325D-9720-4898-9F56-CA3146675E89}"/>
    <hyperlink ref="C5" location="'Numerical Distributions'!A1" display="LINK" xr:uid="{A9169A3C-3F02-4255-9C1D-D176BA62EED5}"/>
    <hyperlink ref="C6" location="Histograms!A1" display="LINK" xr:uid="{A5431B60-2965-4F5B-B9D6-530F36AE1F6B}"/>
    <hyperlink ref="C7" location="'Frequency Distributions'!A1" display="LINK" xr:uid="{A6D2C845-F4F6-42FC-839E-01AB9B87F7EA}"/>
    <hyperlink ref="C8" location="'Mean, Median, Mode'!A1" display="LINK" xr:uid="{ABA0C063-C141-41EC-B9E9-0993AF9F15B4}"/>
    <hyperlink ref="C9" location="Skew!A1" display="LINK" xr:uid="{2B109DA9-BC59-4DE7-BCD0-CEA6602E72BB}"/>
    <hyperlink ref="C10" location="'Central Tendency'!A1" display="LINK" xr:uid="{DA7158E8-01E2-4F6B-A49C-3A7C922B22D8}"/>
    <hyperlink ref="C11" location="'Min, Max, Range'!A1" display="LINK" xr:uid="{ED67B226-868D-4985-952E-4F7A7BE61DCB}"/>
    <hyperlink ref="C12" location="'Quartiles &amp; IQR'!A1" display="LINK" xr:uid="{B9B182A9-C652-40DF-931C-36F3F1ACE8F9}"/>
    <hyperlink ref="C13" location="'Box &amp; Whisker'!A1" display="LINK" xr:uid="{B439E3C7-2D18-4422-847A-09FDFEF6E8EF}"/>
    <hyperlink ref="C14" location="'Variance &amp; Std Dev'!A1" display="LINK" xr:uid="{6434B156-173F-487F-934D-F2732DA2593A}"/>
    <hyperlink ref="C16" location="Variability!A1" display="LINK" xr:uid="{DB0A220C-09DF-4173-873B-75A59A204290}"/>
    <hyperlink ref="C15" location="'Coefficient of Variation'!A1" display="LINK" xr:uid="{094D10CA-DB5F-4515-A510-AC1B7EA6956A}"/>
    <hyperlink ref="F4" location="'Normal Distribution'!A1" display="LINK" xr:uid="{F9881F64-C4DF-4932-A909-4334AE807CD2}"/>
    <hyperlink ref="F5" location="'Z-Scores'!A1" display="LINK" xr:uid="{9CB111AC-C8C1-4E49-A9BD-9DD9BD802751}"/>
    <hyperlink ref="F6" location="'Empirical Rule'!A1" display="LINK" xr:uid="{5D9C1156-0A78-4EC7-8D1C-BC70153E43C0}"/>
    <hyperlink ref="F7" location="'Normal Distributions'!A1" display="LINK" xr:uid="{97EB438B-3A69-4AFE-B52A-A9B78FA2DB7A}"/>
    <hyperlink ref="F8" location="NORM.DIST!A1" display="LINK" xr:uid="{22E6C81D-F95C-4472-A850-FB11733DA877}"/>
    <hyperlink ref="F10" location="'Calculating Probabilities'!A1" display="LINK" xr:uid="{EE5D61BA-8B11-4B76-8B71-2A1907B3D75F}"/>
    <hyperlink ref="F9" location="NORM.S.DIST!A1" display="LINK" xr:uid="{624C7234-9EA7-4283-BCB7-85411EF590F6}"/>
    <hyperlink ref="F11" location="'Normal Curve'!A1" display="LINK" xr:uid="{73EA59C9-60EC-4325-A818-386288E0989A}"/>
    <hyperlink ref="F12" location="NORM.INV!A1" display="LINK" xr:uid="{0BE5F9CE-F7BB-4775-858A-7D0758A523B4}"/>
    <hyperlink ref="F13" location="NORM.S.INV!A1" display="LINK" xr:uid="{A4588EAC-7648-44CF-B7A5-C7CE32A643AB}"/>
    <hyperlink ref="F14" location="'Estimating Values'!A1" display="LINK" xr:uid="{102DD4D1-6581-4FFA-9F0B-AEB94BBEFC7B}"/>
    <hyperlink ref="I4" location="'Margin of Error'!A1" display="LINK" xr:uid="{1421087F-59A8-4299-B3EB-98CE864B015D}"/>
    <hyperlink ref="I5" location="'Confidence Intervals (z)'!A1" display="LINK" xr:uid="{18513267-59E9-436E-B296-7EF3ECF8204D}"/>
    <hyperlink ref="I6" location="'T Distribution'!A1" display="LINK" xr:uid="{ACF6FF79-0468-46C4-9784-5EEEF1ADA5C4}"/>
    <hyperlink ref="I7" location="'Confidence Intervals (t)'!A1" display="LINK" xr:uid="{53CDD1B2-F9B9-48B4-B677-C29EC0C60C62}"/>
    <hyperlink ref="I8" location="Proportions!A1" display="LINK" xr:uid="{6507B6F6-C3E2-4704-8A76-66208FDBC843}"/>
    <hyperlink ref="I9" location="'Confidence Intervals (p)'!A1" display="LINK" xr:uid="{6D70E516-A0A3-493A-96AD-732F528F9EA4}"/>
    <hyperlink ref="I10" location="'Dependent Samples'!A1" display="LINK" xr:uid="{8E20F2FE-2C50-438E-9DF2-C520C458C013}"/>
    <hyperlink ref="I11" location="'Confidence Intervals (d)'!A1" display="LINK" xr:uid="{CFDE4DBA-9DD5-44BE-824B-04E1E02502C2}"/>
    <hyperlink ref="I12" location="'Independent Samples'!A1" display="LINK" xr:uid="{3F398CA1-ED24-4632-96BB-57E7D9027AF2}"/>
    <hyperlink ref="I13" location="'Confidence Intervals (x1-x2)'!A1" display="LINK" xr:uid="{117A8434-E5EF-43D8-8FE6-101CC1CD9A6E}"/>
    <hyperlink ref="I14" location="'Confidence Intervals (p1-p2)'!A1" display="LINK" xr:uid="{B7A2CE7D-CB2A-487F-B906-3180FF6699C8}"/>
    <hyperlink ref="L4" location="'Null &amp; Alternative Hypothesis'!A1" display="LINK" xr:uid="{593A1C35-FDBE-4C76-A462-047A29B0CEA7}"/>
    <hyperlink ref="L9" location="'Hypothesis Tests (Two Tail)'!A1" display="LINK" xr:uid="{B5CFD56B-D362-4BDA-A9C4-306FFCDD47B3}"/>
    <hyperlink ref="L5" location="'Significance Level'!A1" display="LINK" xr:uid="{5D7F304D-F98E-4020-99A2-67711B45ED96}"/>
    <hyperlink ref="L6" location="'Test Statistic'!A1" display="LINK" xr:uid="{F842D01C-685F-4D19-84C0-75E3639187D0}"/>
    <hyperlink ref="L7" location="'P-Value'!A1" display="LINK" xr:uid="{E46AA12A-EA75-468B-84DB-E674988C3C53}"/>
    <hyperlink ref="L10" location="'One Tail Hypothesis Test'!A1" display="LINK" xr:uid="{B2EC79D1-49CA-4DC6-82E5-80EDAD380411}"/>
    <hyperlink ref="L11" location="'Hypothesis Tests (p)'!A1" display="LINK" xr:uid="{53A5A0B0-56A5-4E1A-849D-8CB1BF46A562}"/>
    <hyperlink ref="L12" location="'Hypothesis Tests (d)'!A1" display="LINK" xr:uid="{90B54B45-1FCB-4096-B18D-2709AEB35F3E}"/>
    <hyperlink ref="L13" location="'Hypothesis Tests (x1-x2)'!A1" display="LINK" xr:uid="{36AD47B7-F7DB-4B77-8F58-7345935CBB9E}"/>
    <hyperlink ref="O4" location="Scatterplots!A1" display="LINK" xr:uid="{1C6A581A-65DF-4A80-A68C-3AB6ADDCB500}"/>
    <hyperlink ref="O5" location="Correlation!A1" display="LINK" xr:uid="{89647492-B35F-4492-A40A-1B242E0602C4}"/>
    <hyperlink ref="O6" location="'Linear Relationships'!A1" display="LINK" xr:uid="{4CF4109D-ECC3-44AA-AC58-2B6B804C79D3}"/>
    <hyperlink ref="O7" location="'Linear Regression'!A1" display="LINK" xr:uid="{0BF167A4-5E7C-4FFC-A362-E589C04DD85E}"/>
    <hyperlink ref="O8" location="Predictions!A1" display="LINK" xr:uid="{D880FF79-F814-4FF7-8BCB-BA0F6EA0A013}"/>
    <hyperlink ref="O9" location="'Linear Regression Model'!A1" display="LINK" xr:uid="{9E701891-E56C-4F35-AC87-4701DCBB6BC1}"/>
    <hyperlink ref="O14" location="'Model Evaluation'!A1" display="LINK" xr:uid="{1F52EDFD-F382-4880-9EDD-07824DB95EB4}"/>
    <hyperlink ref="O10:O13" location="'Confidence Intervals'!A1" display="LINK" xr:uid="{3DC76542-6EE8-4580-9DF2-93559BC179E0}"/>
    <hyperlink ref="O15" location="'Analysis ToolPak'!A1" display="LINK" xr:uid="{EDEE6AB9-2F8F-41C0-9F65-E8A5EFA911A9}"/>
    <hyperlink ref="O16" location="'Multiple Linear Regression'!A1" display="LINK" xr:uid="{E071E44F-D041-49BD-BEB5-4108D13CCDA8}"/>
    <hyperlink ref="O10" location="'R-Squared'!A1" display="LINK" xr:uid="{03A51012-B7E3-4E14-9D12-17E4E0132211}"/>
    <hyperlink ref="O11" location="'Standard Error'!A1" display="LINK" xr:uid="{B70293C4-C711-4838-B535-2FC470A31B6B}"/>
    <hyperlink ref="O12" location="Homoskedasticity!A1" display="LINK" xr:uid="{7B5F3B60-60B2-49ED-BAD9-845C08BE3974}"/>
    <hyperlink ref="O13" location="'Hypothesis Test'!A1" display="LINK" xr:uid="{4E1F38EB-5445-4B0C-A10C-7CCDA7F3B139}"/>
    <hyperlink ref="L8" location="Conclusion!A1" display="LINK" xr:uid="{96BDB7AB-D34E-4C8D-BBB2-1C425428A6BA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BCE1-9E8E-4060-984F-0E50E40E0369}">
  <sheetPr codeName="Sheet3">
    <tabColor theme="4" tint="0.79998168889431442"/>
  </sheetPr>
  <dimension ref="B1:N100"/>
  <sheetViews>
    <sheetView showGridLines="0" workbookViewId="0">
      <selection activeCell="M6" sqref="M6"/>
    </sheetView>
  </sheetViews>
  <sheetFormatPr baseColWidth="10" defaultColWidth="8.83203125" defaultRowHeight="15" x14ac:dyDescent="0.2"/>
  <cols>
    <col min="1" max="1" width="2.83203125" customWidth="1"/>
    <col min="2" max="2" width="11.6640625" customWidth="1"/>
    <col min="3" max="3" width="9.1640625" customWidth="1"/>
    <col min="4" max="4" width="10" bestFit="1" customWidth="1"/>
    <col min="5" max="5" width="9.33203125" bestFit="1" customWidth="1"/>
    <col min="6" max="6" width="16" bestFit="1" customWidth="1"/>
    <col min="8" max="8" width="11.33203125" bestFit="1" customWidth="1"/>
    <col min="9" max="9" width="10.33203125" bestFit="1" customWidth="1"/>
    <col min="10" max="10" width="18.33203125" bestFit="1" customWidth="1"/>
    <col min="12" max="12" width="11.33203125" bestFit="1" customWidth="1"/>
    <col min="13" max="13" width="10.33203125" bestFit="1" customWidth="1"/>
    <col min="14" max="14" width="18.33203125" bestFit="1" customWidth="1"/>
  </cols>
  <sheetData>
    <row r="1" spans="2:14" ht="25.5" customHeight="1" x14ac:dyDescent="0.25">
      <c r="B1" s="18" t="s">
        <v>267</v>
      </c>
    </row>
    <row r="2" spans="2:14" ht="16" x14ac:dyDescent="0.2">
      <c r="B2" s="30" t="s">
        <v>2</v>
      </c>
    </row>
    <row r="3" spans="2:14" ht="18" customHeight="1" x14ac:dyDescent="0.2"/>
    <row r="4" spans="2:14" x14ac:dyDescent="0.2">
      <c r="D4" s="3" t="s">
        <v>52</v>
      </c>
      <c r="H4" s="3" t="s">
        <v>54</v>
      </c>
      <c r="L4" s="3" t="s">
        <v>53</v>
      </c>
    </row>
    <row r="5" spans="2:14" x14ac:dyDescent="0.2">
      <c r="B5" s="7" t="s">
        <v>12</v>
      </c>
      <c r="D5" s="9" t="s">
        <v>12</v>
      </c>
      <c r="E5" t="s">
        <v>15</v>
      </c>
      <c r="F5" t="s">
        <v>16</v>
      </c>
      <c r="H5" s="60" t="s">
        <v>12</v>
      </c>
      <c r="I5" s="61" t="s">
        <v>15</v>
      </c>
      <c r="J5" s="62" t="s">
        <v>16</v>
      </c>
      <c r="L5" s="63" t="s">
        <v>12</v>
      </c>
      <c r="M5" s="64" t="s">
        <v>15</v>
      </c>
      <c r="N5" s="65" t="s">
        <v>16</v>
      </c>
    </row>
    <row r="6" spans="2:14" x14ac:dyDescent="0.2">
      <c r="B6" s="8" t="s">
        <v>13</v>
      </c>
      <c r="D6" s="100" t="s">
        <v>14</v>
      </c>
      <c r="E6">
        <v>42</v>
      </c>
      <c r="F6" s="101">
        <v>0.44210526315789472</v>
      </c>
      <c r="H6" s="8" t="s">
        <v>14</v>
      </c>
      <c r="I6" s="8"/>
      <c r="J6" s="59"/>
      <c r="L6" s="8" t="str" cm="1">
        <f t="array" ref="L6:L7">_xlfn._xlws.SORT(_xlfn.UNIQUE(B6:B100))</f>
        <v>Not Placed</v>
      </c>
      <c r="M6" s="8" cm="1">
        <f t="array" ref="M6:M7">COUNTIFS(B6:B100,_xlfn.ANCHORARRAY(L6))</f>
        <v>42</v>
      </c>
      <c r="N6" s="59" cm="1">
        <f t="array" ref="N6:N7">_xlfn.ANCHORARRAY(M6)/SUM(_xlfn.ANCHORARRAY(M6))</f>
        <v>0.44210526315789472</v>
      </c>
    </row>
    <row r="7" spans="2:14" x14ac:dyDescent="0.2">
      <c r="B7" s="8" t="s">
        <v>14</v>
      </c>
      <c r="D7" s="100" t="s">
        <v>13</v>
      </c>
      <c r="E7">
        <v>53</v>
      </c>
      <c r="F7" s="101">
        <v>0.55789473684210522</v>
      </c>
      <c r="H7" s="8" t="s">
        <v>13</v>
      </c>
      <c r="I7" s="8"/>
      <c r="J7" s="59"/>
      <c r="L7" s="8" t="str">
        <v>Placed</v>
      </c>
      <c r="M7" s="8">
        <v>53</v>
      </c>
      <c r="N7" s="59">
        <v>0.55789473684210522</v>
      </c>
    </row>
    <row r="8" spans="2:14" x14ac:dyDescent="0.2">
      <c r="B8" s="8" t="s">
        <v>13</v>
      </c>
      <c r="D8" s="100" t="s">
        <v>17</v>
      </c>
      <c r="E8">
        <v>95</v>
      </c>
      <c r="F8" s="101">
        <v>1</v>
      </c>
    </row>
    <row r="9" spans="2:14" x14ac:dyDescent="0.2">
      <c r="B9" s="8" t="s">
        <v>14</v>
      </c>
    </row>
    <row r="10" spans="2:14" x14ac:dyDescent="0.2">
      <c r="B10" s="8" t="s">
        <v>14</v>
      </c>
    </row>
    <row r="11" spans="2:14" x14ac:dyDescent="0.2">
      <c r="B11" s="8" t="s">
        <v>14</v>
      </c>
    </row>
    <row r="12" spans="2:14" x14ac:dyDescent="0.2">
      <c r="B12" s="8" t="s">
        <v>13</v>
      </c>
    </row>
    <row r="13" spans="2:14" x14ac:dyDescent="0.2">
      <c r="B13" s="8" t="s">
        <v>13</v>
      </c>
    </row>
    <row r="14" spans="2:14" x14ac:dyDescent="0.2">
      <c r="B14" s="8" t="s">
        <v>13</v>
      </c>
    </row>
    <row r="15" spans="2:14" x14ac:dyDescent="0.2">
      <c r="B15" s="8" t="s">
        <v>13</v>
      </c>
    </row>
    <row r="16" spans="2:14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4EBD-DB20-4EB3-A48B-2F2A56C5CABD}">
  <sheetPr codeName="Sheet4">
    <tabColor theme="4" tint="0.79998168889431442"/>
  </sheetPr>
  <dimension ref="B1:J58"/>
  <sheetViews>
    <sheetView showGridLines="0" workbookViewId="0">
      <selection activeCell="J6" sqref="J6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4" max="4" width="14" bestFit="1" customWidth="1"/>
    <col min="5" max="5" width="9.33203125" bestFit="1" customWidth="1"/>
    <col min="6" max="6" width="16.83203125" bestFit="1" customWidth="1"/>
    <col min="9" max="9" width="19" customWidth="1"/>
    <col min="10" max="10" width="12.1640625" customWidth="1"/>
  </cols>
  <sheetData>
    <row r="1" spans="2:10" ht="25.5" customHeight="1" x14ac:dyDescent="0.25">
      <c r="B1" s="18" t="s">
        <v>118</v>
      </c>
    </row>
    <row r="2" spans="2:10" ht="15" customHeight="1" x14ac:dyDescent="0.2">
      <c r="B2" s="30" t="s">
        <v>3</v>
      </c>
    </row>
    <row r="3" spans="2:10" ht="18" customHeight="1" x14ac:dyDescent="0.2"/>
    <row r="4" spans="2:10" ht="15" customHeight="1" x14ac:dyDescent="0.2">
      <c r="D4" s="3" t="s">
        <v>52</v>
      </c>
      <c r="H4" s="3" t="s">
        <v>53</v>
      </c>
    </row>
    <row r="5" spans="2:10" ht="32" x14ac:dyDescent="0.2">
      <c r="B5" s="14" t="s">
        <v>37</v>
      </c>
      <c r="D5" s="9" t="s">
        <v>35</v>
      </c>
      <c r="E5" t="s">
        <v>15</v>
      </c>
      <c r="F5" s="102" t="s">
        <v>327</v>
      </c>
      <c r="H5" s="66" t="s">
        <v>34</v>
      </c>
      <c r="I5" s="67" t="s">
        <v>37</v>
      </c>
      <c r="J5" s="65" t="s">
        <v>15</v>
      </c>
    </row>
    <row r="6" spans="2:10" x14ac:dyDescent="0.2">
      <c r="B6" s="8">
        <v>111</v>
      </c>
      <c r="C6" s="11"/>
      <c r="D6" s="100" t="s">
        <v>318</v>
      </c>
      <c r="E6">
        <v>22</v>
      </c>
      <c r="F6" s="101">
        <v>0.41509433962264153</v>
      </c>
      <c r="H6" s="68">
        <v>90</v>
      </c>
      <c r="I6" s="8" t="str">
        <f>H6-20&amp;"-"&amp;H6</f>
        <v>70-90</v>
      </c>
      <c r="J6" s="8" cm="1">
        <f t="array" ref="J6:J19">FREQUENCY(B6:B58,H6:H18)</f>
        <v>9</v>
      </c>
    </row>
    <row r="7" spans="2:10" x14ac:dyDescent="0.2">
      <c r="B7" s="8">
        <v>107</v>
      </c>
      <c r="C7" s="11"/>
      <c r="D7" s="100" t="s">
        <v>319</v>
      </c>
      <c r="E7">
        <v>11</v>
      </c>
      <c r="F7" s="101">
        <v>0.62264150943396224</v>
      </c>
      <c r="H7" s="68">
        <v>110</v>
      </c>
      <c r="I7" s="8" t="str">
        <f t="shared" ref="I7:I19" si="0">H7-20&amp;"-"&amp;H7</f>
        <v>90-110</v>
      </c>
      <c r="J7" s="8">
        <v>22</v>
      </c>
    </row>
    <row r="8" spans="2:10" x14ac:dyDescent="0.2">
      <c r="B8" s="8">
        <v>109</v>
      </c>
      <c r="C8" s="11"/>
      <c r="D8" s="100" t="s">
        <v>326</v>
      </c>
      <c r="E8">
        <v>9</v>
      </c>
      <c r="F8" s="101">
        <v>0.79245283018867929</v>
      </c>
      <c r="H8" s="68">
        <v>130</v>
      </c>
      <c r="I8" s="8" t="str">
        <f t="shared" si="0"/>
        <v>110-130</v>
      </c>
      <c r="J8" s="8">
        <v>11</v>
      </c>
    </row>
    <row r="9" spans="2:10" x14ac:dyDescent="0.2">
      <c r="B9" s="8">
        <v>148</v>
      </c>
      <c r="C9" s="11"/>
      <c r="D9" s="100" t="s">
        <v>320</v>
      </c>
      <c r="E9">
        <v>4</v>
      </c>
      <c r="F9" s="101">
        <v>0.86792452830188682</v>
      </c>
      <c r="H9" s="68">
        <v>150</v>
      </c>
      <c r="I9" s="8" t="str">
        <f t="shared" si="0"/>
        <v>130-150</v>
      </c>
      <c r="J9" s="8">
        <v>4</v>
      </c>
    </row>
    <row r="10" spans="2:10" x14ac:dyDescent="0.2">
      <c r="B10" s="8">
        <v>255.5</v>
      </c>
      <c r="C10" s="11"/>
      <c r="D10" s="100" t="s">
        <v>321</v>
      </c>
      <c r="E10">
        <v>3</v>
      </c>
      <c r="F10" s="101">
        <v>0.92452830188679247</v>
      </c>
      <c r="H10" s="68">
        <v>170</v>
      </c>
      <c r="I10" s="8" t="str">
        <f t="shared" si="0"/>
        <v>150-170</v>
      </c>
      <c r="J10" s="8">
        <v>3</v>
      </c>
    </row>
    <row r="11" spans="2:10" x14ac:dyDescent="0.2">
      <c r="B11" s="8">
        <v>103.5</v>
      </c>
      <c r="C11" s="11"/>
      <c r="D11" s="100" t="s">
        <v>322</v>
      </c>
      <c r="E11">
        <v>1</v>
      </c>
      <c r="F11" s="101">
        <v>0.94339622641509435</v>
      </c>
      <c r="H11" s="68">
        <v>190</v>
      </c>
      <c r="I11" s="8" t="str">
        <f t="shared" si="0"/>
        <v>170-190</v>
      </c>
      <c r="J11" s="8">
        <v>1</v>
      </c>
    </row>
    <row r="12" spans="2:10" x14ac:dyDescent="0.2">
      <c r="B12" s="8">
        <v>114.5</v>
      </c>
      <c r="C12" s="11"/>
      <c r="D12" s="100" t="s">
        <v>325</v>
      </c>
      <c r="E12">
        <v>1</v>
      </c>
      <c r="F12" s="101">
        <v>0.96226415094339623</v>
      </c>
      <c r="H12" s="68">
        <v>210</v>
      </c>
      <c r="I12" s="8" t="str">
        <f t="shared" si="0"/>
        <v>190-210</v>
      </c>
      <c r="J12" s="8">
        <v>1</v>
      </c>
    </row>
    <row r="13" spans="2:10" x14ac:dyDescent="0.2">
      <c r="B13" s="8">
        <v>124</v>
      </c>
      <c r="C13" s="11"/>
      <c r="D13" s="100" t="s">
        <v>324</v>
      </c>
      <c r="E13">
        <v>1</v>
      </c>
      <c r="F13" s="101">
        <v>0.98113207547169812</v>
      </c>
      <c r="H13" s="68">
        <v>230</v>
      </c>
      <c r="I13" s="8" t="str">
        <f t="shared" si="0"/>
        <v>210-230</v>
      </c>
      <c r="J13" s="8">
        <v>0</v>
      </c>
    </row>
    <row r="14" spans="2:10" x14ac:dyDescent="0.2">
      <c r="B14" s="8">
        <v>132.5</v>
      </c>
      <c r="C14" s="11"/>
      <c r="D14" s="100" t="s">
        <v>323</v>
      </c>
      <c r="E14">
        <v>1</v>
      </c>
      <c r="F14" s="101">
        <v>1</v>
      </c>
      <c r="H14" s="68">
        <v>250</v>
      </c>
      <c r="I14" s="8" t="str">
        <f t="shared" si="0"/>
        <v>230-250</v>
      </c>
      <c r="J14" s="8">
        <v>0</v>
      </c>
    </row>
    <row r="15" spans="2:10" x14ac:dyDescent="0.2">
      <c r="B15" s="8">
        <v>99</v>
      </c>
      <c r="C15" s="11"/>
      <c r="D15" s="100" t="s">
        <v>17</v>
      </c>
      <c r="E15">
        <v>53</v>
      </c>
      <c r="F15" s="101"/>
      <c r="H15" s="68">
        <v>270</v>
      </c>
      <c r="I15" s="8" t="str">
        <f t="shared" si="0"/>
        <v>250-270</v>
      </c>
      <c r="J15" s="8">
        <v>1</v>
      </c>
    </row>
    <row r="16" spans="2:10" x14ac:dyDescent="0.2">
      <c r="B16" s="8">
        <v>124</v>
      </c>
      <c r="C16" s="11"/>
      <c r="H16" s="68">
        <v>290</v>
      </c>
      <c r="I16" s="8" t="str">
        <f t="shared" si="0"/>
        <v>270-290</v>
      </c>
      <c r="J16" s="8">
        <v>0</v>
      </c>
    </row>
    <row r="17" spans="2:10" x14ac:dyDescent="0.2">
      <c r="B17" s="8">
        <v>82</v>
      </c>
      <c r="C17" s="11"/>
      <c r="H17" s="68">
        <v>310</v>
      </c>
      <c r="I17" s="8" t="str">
        <f t="shared" si="0"/>
        <v>290-310</v>
      </c>
      <c r="J17" s="8">
        <v>0</v>
      </c>
    </row>
    <row r="18" spans="2:10" x14ac:dyDescent="0.2">
      <c r="B18" s="8">
        <v>185</v>
      </c>
      <c r="C18" s="11"/>
      <c r="H18" s="68">
        <v>330</v>
      </c>
      <c r="I18" s="8" t="str">
        <f t="shared" si="0"/>
        <v>310-330</v>
      </c>
      <c r="J18" s="8">
        <v>0</v>
      </c>
    </row>
    <row r="19" spans="2:10" x14ac:dyDescent="0.2">
      <c r="B19" s="8">
        <v>89.5</v>
      </c>
      <c r="C19" s="11"/>
      <c r="H19" s="68">
        <v>350</v>
      </c>
      <c r="I19" s="8" t="str">
        <f t="shared" si="0"/>
        <v>330-350</v>
      </c>
      <c r="J19" s="8">
        <v>1</v>
      </c>
    </row>
    <row r="20" spans="2:10" x14ac:dyDescent="0.2">
      <c r="B20" s="8">
        <v>91.5</v>
      </c>
      <c r="C20" s="11"/>
    </row>
    <row r="21" spans="2:10" x14ac:dyDescent="0.2">
      <c r="B21" s="8">
        <v>113.5</v>
      </c>
      <c r="C21" s="11"/>
    </row>
    <row r="22" spans="2:10" x14ac:dyDescent="0.2">
      <c r="B22" s="8">
        <v>99</v>
      </c>
      <c r="C22" s="11"/>
    </row>
    <row r="23" spans="2:10" x14ac:dyDescent="0.2">
      <c r="B23" s="8">
        <v>75.5</v>
      </c>
      <c r="C23" s="11"/>
    </row>
    <row r="24" spans="2:10" x14ac:dyDescent="0.2">
      <c r="B24" s="8">
        <v>86</v>
      </c>
      <c r="C24" s="11"/>
    </row>
    <row r="25" spans="2:10" x14ac:dyDescent="0.2">
      <c r="B25" s="8">
        <v>156.5</v>
      </c>
      <c r="C25" s="11"/>
    </row>
    <row r="26" spans="2:10" x14ac:dyDescent="0.2">
      <c r="B26" s="8">
        <v>99.5</v>
      </c>
      <c r="C26" s="11"/>
    </row>
    <row r="27" spans="2:10" x14ac:dyDescent="0.2">
      <c r="B27" s="8">
        <v>148</v>
      </c>
      <c r="C27" s="11"/>
    </row>
    <row r="28" spans="2:10" x14ac:dyDescent="0.2">
      <c r="B28" s="8">
        <v>82</v>
      </c>
      <c r="C28" s="11"/>
    </row>
    <row r="29" spans="2:10" x14ac:dyDescent="0.2">
      <c r="B29" s="8">
        <v>103.5</v>
      </c>
      <c r="C29" s="11"/>
    </row>
    <row r="30" spans="2:10" x14ac:dyDescent="0.2">
      <c r="B30" s="8">
        <v>205.5</v>
      </c>
      <c r="C30" s="11"/>
    </row>
    <row r="31" spans="2:10" x14ac:dyDescent="0.2">
      <c r="B31" s="8">
        <v>103.5</v>
      </c>
      <c r="C31" s="11"/>
    </row>
    <row r="32" spans="2:10" x14ac:dyDescent="0.2">
      <c r="B32" s="8">
        <v>340</v>
      </c>
      <c r="C32" s="11"/>
    </row>
    <row r="33" spans="2:3" x14ac:dyDescent="0.2">
      <c r="B33" s="8">
        <v>103.5</v>
      </c>
      <c r="C33" s="11"/>
    </row>
    <row r="34" spans="2:3" x14ac:dyDescent="0.2">
      <c r="B34" s="8">
        <v>99.5</v>
      </c>
      <c r="C34" s="11"/>
    </row>
    <row r="35" spans="2:3" x14ac:dyDescent="0.2">
      <c r="B35" s="8">
        <v>103</v>
      </c>
      <c r="C35" s="11"/>
    </row>
    <row r="36" spans="2:3" x14ac:dyDescent="0.2">
      <c r="B36" s="8">
        <v>103.5</v>
      </c>
      <c r="C36" s="11"/>
    </row>
    <row r="37" spans="2:3" x14ac:dyDescent="0.2">
      <c r="B37" s="8">
        <v>165</v>
      </c>
      <c r="C37" s="11"/>
    </row>
    <row r="38" spans="2:3" x14ac:dyDescent="0.2">
      <c r="B38" s="8">
        <v>124.5</v>
      </c>
      <c r="C38" s="11"/>
    </row>
    <row r="39" spans="2:3" x14ac:dyDescent="0.2">
      <c r="B39" s="8">
        <v>103.5</v>
      </c>
      <c r="C39" s="11"/>
    </row>
    <row r="40" spans="2:3" x14ac:dyDescent="0.2">
      <c r="B40" s="8">
        <v>82.5</v>
      </c>
      <c r="C40" s="11"/>
    </row>
    <row r="41" spans="2:3" x14ac:dyDescent="0.2">
      <c r="B41" s="8">
        <v>93</v>
      </c>
      <c r="C41" s="11"/>
    </row>
    <row r="42" spans="2:3" x14ac:dyDescent="0.2">
      <c r="B42" s="8">
        <v>168</v>
      </c>
      <c r="C42" s="11"/>
    </row>
    <row r="43" spans="2:3" x14ac:dyDescent="0.2">
      <c r="B43" s="8">
        <v>96</v>
      </c>
      <c r="C43" s="11"/>
    </row>
    <row r="44" spans="2:3" x14ac:dyDescent="0.2">
      <c r="B44" s="8">
        <v>80</v>
      </c>
      <c r="C44" s="11"/>
    </row>
    <row r="45" spans="2:3" x14ac:dyDescent="0.2">
      <c r="B45" s="8">
        <v>124.5</v>
      </c>
      <c r="C45" s="11"/>
    </row>
    <row r="46" spans="2:3" x14ac:dyDescent="0.2">
      <c r="B46" s="8">
        <v>99</v>
      </c>
      <c r="C46" s="11"/>
    </row>
    <row r="47" spans="2:3" x14ac:dyDescent="0.2">
      <c r="B47" s="8">
        <v>124</v>
      </c>
      <c r="C47" s="11"/>
    </row>
    <row r="48" spans="2:3" x14ac:dyDescent="0.2">
      <c r="B48" s="8">
        <v>91.5</v>
      </c>
      <c r="C48" s="11"/>
    </row>
    <row r="49" spans="2:3" x14ac:dyDescent="0.2">
      <c r="B49" s="8">
        <v>144.5</v>
      </c>
      <c r="C49" s="11"/>
    </row>
    <row r="50" spans="2:3" x14ac:dyDescent="0.2">
      <c r="B50" s="8">
        <v>114.5</v>
      </c>
      <c r="C50" s="11"/>
    </row>
    <row r="51" spans="2:3" x14ac:dyDescent="0.2">
      <c r="B51" s="8">
        <v>104.5</v>
      </c>
      <c r="C51" s="11"/>
    </row>
    <row r="52" spans="2:3" x14ac:dyDescent="0.2">
      <c r="B52" s="8">
        <v>124</v>
      </c>
      <c r="C52" s="11"/>
    </row>
    <row r="53" spans="2:3" x14ac:dyDescent="0.2">
      <c r="B53" s="8">
        <v>113</v>
      </c>
      <c r="C53" s="11"/>
    </row>
    <row r="54" spans="2:3" x14ac:dyDescent="0.2">
      <c r="B54" s="8">
        <v>78</v>
      </c>
      <c r="C54" s="11"/>
    </row>
    <row r="55" spans="2:3" x14ac:dyDescent="0.2">
      <c r="B55" s="8">
        <v>109</v>
      </c>
      <c r="C55" s="11"/>
    </row>
    <row r="56" spans="2:3" x14ac:dyDescent="0.2">
      <c r="B56" s="8">
        <v>99.5</v>
      </c>
      <c r="C56" s="11"/>
    </row>
    <row r="57" spans="2:3" x14ac:dyDescent="0.2">
      <c r="B57" s="8">
        <v>107</v>
      </c>
      <c r="C57" s="11"/>
    </row>
    <row r="58" spans="2:3" x14ac:dyDescent="0.2">
      <c r="B58" s="8">
        <v>84</v>
      </c>
      <c r="C58" s="11"/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4540-9162-4B24-B477-8B574286D1EC}">
  <sheetPr codeName="Sheet5">
    <tabColor theme="4" tint="0.79998168889431442"/>
  </sheetPr>
  <dimension ref="B1:O58"/>
  <sheetViews>
    <sheetView showGridLines="0" workbookViewId="0">
      <selection activeCell="L32" sqref="L32"/>
    </sheetView>
  </sheetViews>
  <sheetFormatPr baseColWidth="10" defaultColWidth="8.83203125" defaultRowHeight="15" x14ac:dyDescent="0.2"/>
  <cols>
    <col min="1" max="1" width="2.83203125" customWidth="1"/>
    <col min="2" max="2" width="19.5" customWidth="1"/>
    <col min="12" max="12" width="19" customWidth="1"/>
    <col min="13" max="13" width="12.1640625" customWidth="1"/>
  </cols>
  <sheetData>
    <row r="1" spans="2:15" ht="25.5" customHeight="1" x14ac:dyDescent="0.25">
      <c r="B1" s="18" t="s">
        <v>118</v>
      </c>
    </row>
    <row r="2" spans="2:15" ht="15" customHeight="1" x14ac:dyDescent="0.2">
      <c r="B2" s="30" t="s">
        <v>4</v>
      </c>
    </row>
    <row r="3" spans="2:15" ht="18" customHeight="1" x14ac:dyDescent="0.2"/>
    <row r="4" spans="2:15" x14ac:dyDescent="0.2">
      <c r="D4" s="3" t="s">
        <v>56</v>
      </c>
      <c r="O4" s="3" t="s">
        <v>55</v>
      </c>
    </row>
    <row r="5" spans="2:15" ht="32" x14ac:dyDescent="0.2">
      <c r="B5" s="14" t="s">
        <v>37</v>
      </c>
      <c r="L5" s="13" t="s">
        <v>37</v>
      </c>
      <c r="M5" s="7" t="s">
        <v>15</v>
      </c>
    </row>
    <row r="6" spans="2:15" x14ac:dyDescent="0.2">
      <c r="B6" s="8">
        <v>111</v>
      </c>
      <c r="L6" s="8" t="s">
        <v>268</v>
      </c>
      <c r="M6" s="8">
        <v>9</v>
      </c>
    </row>
    <row r="7" spans="2:15" x14ac:dyDescent="0.2">
      <c r="B7" s="8">
        <v>107</v>
      </c>
      <c r="L7" s="8" t="s">
        <v>269</v>
      </c>
      <c r="M7" s="8">
        <v>18</v>
      </c>
    </row>
    <row r="8" spans="2:15" x14ac:dyDescent="0.2">
      <c r="B8" s="8">
        <v>109</v>
      </c>
      <c r="L8" s="8" t="s">
        <v>270</v>
      </c>
      <c r="M8" s="8">
        <v>9</v>
      </c>
    </row>
    <row r="9" spans="2:15" x14ac:dyDescent="0.2">
      <c r="B9" s="8">
        <v>148</v>
      </c>
      <c r="L9" s="8" t="s">
        <v>271</v>
      </c>
      <c r="M9" s="8">
        <v>7</v>
      </c>
    </row>
    <row r="10" spans="2:15" x14ac:dyDescent="0.2">
      <c r="B10" s="8">
        <v>255.5</v>
      </c>
      <c r="L10" s="8" t="s">
        <v>272</v>
      </c>
      <c r="M10" s="8">
        <v>3</v>
      </c>
    </row>
    <row r="11" spans="2:15" x14ac:dyDescent="0.2">
      <c r="B11" s="8">
        <v>103.5</v>
      </c>
      <c r="L11" s="8" t="s">
        <v>273</v>
      </c>
      <c r="M11" s="8">
        <v>2</v>
      </c>
    </row>
    <row r="12" spans="2:15" x14ac:dyDescent="0.2">
      <c r="B12" s="8">
        <v>114.5</v>
      </c>
      <c r="L12" s="8" t="s">
        <v>274</v>
      </c>
      <c r="M12" s="8">
        <v>1</v>
      </c>
    </row>
    <row r="13" spans="2:15" x14ac:dyDescent="0.2">
      <c r="B13" s="8">
        <v>124</v>
      </c>
      <c r="L13" s="8" t="s">
        <v>275</v>
      </c>
      <c r="M13" s="8">
        <v>1</v>
      </c>
    </row>
    <row r="14" spans="2:15" x14ac:dyDescent="0.2">
      <c r="B14" s="8">
        <v>132.5</v>
      </c>
      <c r="L14" s="8" t="s">
        <v>276</v>
      </c>
      <c r="M14" s="8">
        <v>1</v>
      </c>
    </row>
    <row r="15" spans="2:15" x14ac:dyDescent="0.2">
      <c r="B15" s="8">
        <v>99</v>
      </c>
      <c r="L15" s="8" t="s">
        <v>277</v>
      </c>
      <c r="M15" s="8">
        <v>0</v>
      </c>
    </row>
    <row r="16" spans="2:15" x14ac:dyDescent="0.2">
      <c r="B16" s="8">
        <v>124</v>
      </c>
      <c r="L16" s="8" t="s">
        <v>278</v>
      </c>
      <c r="M16" s="8">
        <v>0</v>
      </c>
    </row>
    <row r="17" spans="2:13" x14ac:dyDescent="0.2">
      <c r="B17" s="8">
        <v>82</v>
      </c>
      <c r="L17" s="8" t="s">
        <v>279</v>
      </c>
      <c r="M17" s="8">
        <v>0</v>
      </c>
    </row>
    <row r="18" spans="2:13" x14ac:dyDescent="0.2">
      <c r="B18" s="8">
        <v>185</v>
      </c>
      <c r="L18" s="8" t="s">
        <v>280</v>
      </c>
      <c r="M18" s="8">
        <v>1</v>
      </c>
    </row>
    <row r="19" spans="2:13" x14ac:dyDescent="0.2">
      <c r="B19" s="8">
        <v>89.5</v>
      </c>
      <c r="L19" s="8" t="s">
        <v>281</v>
      </c>
      <c r="M19" s="8">
        <v>0</v>
      </c>
    </row>
    <row r="20" spans="2:13" x14ac:dyDescent="0.2">
      <c r="B20" s="8">
        <v>91.5</v>
      </c>
      <c r="L20" s="8" t="s">
        <v>282</v>
      </c>
      <c r="M20" s="8">
        <v>0</v>
      </c>
    </row>
    <row r="21" spans="2:13" x14ac:dyDescent="0.2">
      <c r="B21" s="8">
        <v>113.5</v>
      </c>
      <c r="L21" s="8" t="s">
        <v>283</v>
      </c>
      <c r="M21" s="8">
        <v>0</v>
      </c>
    </row>
    <row r="22" spans="2:13" x14ac:dyDescent="0.2">
      <c r="B22" s="8">
        <v>99</v>
      </c>
      <c r="L22" s="8" t="s">
        <v>284</v>
      </c>
      <c r="M22" s="8">
        <v>0</v>
      </c>
    </row>
    <row r="23" spans="2:13" x14ac:dyDescent="0.2">
      <c r="B23" s="8">
        <v>75.5</v>
      </c>
      <c r="L23" s="8" t="s">
        <v>285</v>
      </c>
      <c r="M23" s="8">
        <v>1</v>
      </c>
    </row>
    <row r="24" spans="2:13" x14ac:dyDescent="0.2">
      <c r="B24" s="8">
        <v>86</v>
      </c>
    </row>
    <row r="25" spans="2:13" x14ac:dyDescent="0.2">
      <c r="B25" s="8">
        <v>156.5</v>
      </c>
    </row>
    <row r="26" spans="2:13" x14ac:dyDescent="0.2">
      <c r="B26" s="8">
        <v>99.5</v>
      </c>
    </row>
    <row r="27" spans="2:13" x14ac:dyDescent="0.2">
      <c r="B27" s="8">
        <v>148</v>
      </c>
    </row>
    <row r="28" spans="2:13" x14ac:dyDescent="0.2">
      <c r="B28" s="8">
        <v>82</v>
      </c>
    </row>
    <row r="29" spans="2:13" x14ac:dyDescent="0.2">
      <c r="B29" s="8">
        <v>103.5</v>
      </c>
    </row>
    <row r="30" spans="2:13" x14ac:dyDescent="0.2">
      <c r="B30" s="8">
        <v>205.5</v>
      </c>
    </row>
    <row r="31" spans="2:13" x14ac:dyDescent="0.2">
      <c r="B31" s="8">
        <v>103.5</v>
      </c>
    </row>
    <row r="32" spans="2:13" x14ac:dyDescent="0.2">
      <c r="B32" s="8">
        <v>340</v>
      </c>
    </row>
    <row r="33" spans="2:2" x14ac:dyDescent="0.2">
      <c r="B33" s="8">
        <v>103.5</v>
      </c>
    </row>
    <row r="34" spans="2:2" x14ac:dyDescent="0.2">
      <c r="B34" s="8">
        <v>99.5</v>
      </c>
    </row>
    <row r="35" spans="2:2" x14ac:dyDescent="0.2">
      <c r="B35" s="8">
        <v>103</v>
      </c>
    </row>
    <row r="36" spans="2:2" x14ac:dyDescent="0.2">
      <c r="B36" s="8">
        <v>103.5</v>
      </c>
    </row>
    <row r="37" spans="2:2" x14ac:dyDescent="0.2">
      <c r="B37" s="8">
        <v>165</v>
      </c>
    </row>
    <row r="38" spans="2:2" x14ac:dyDescent="0.2">
      <c r="B38" s="8">
        <v>124.5</v>
      </c>
    </row>
    <row r="39" spans="2:2" x14ac:dyDescent="0.2">
      <c r="B39" s="8">
        <v>103.5</v>
      </c>
    </row>
    <row r="40" spans="2:2" x14ac:dyDescent="0.2">
      <c r="B40" s="8">
        <v>82.5</v>
      </c>
    </row>
    <row r="41" spans="2:2" x14ac:dyDescent="0.2">
      <c r="B41" s="8">
        <v>93</v>
      </c>
    </row>
    <row r="42" spans="2:2" x14ac:dyDescent="0.2">
      <c r="B42" s="8">
        <v>168</v>
      </c>
    </row>
    <row r="43" spans="2:2" x14ac:dyDescent="0.2">
      <c r="B43" s="8">
        <v>96</v>
      </c>
    </row>
    <row r="44" spans="2:2" x14ac:dyDescent="0.2">
      <c r="B44" s="8">
        <v>80</v>
      </c>
    </row>
    <row r="45" spans="2:2" x14ac:dyDescent="0.2">
      <c r="B45" s="8">
        <v>124.5</v>
      </c>
    </row>
    <row r="46" spans="2:2" x14ac:dyDescent="0.2">
      <c r="B46" s="8">
        <v>99</v>
      </c>
    </row>
    <row r="47" spans="2:2" x14ac:dyDescent="0.2">
      <c r="B47" s="8">
        <v>124</v>
      </c>
    </row>
    <row r="48" spans="2:2" x14ac:dyDescent="0.2">
      <c r="B48" s="8">
        <v>91.5</v>
      </c>
    </row>
    <row r="49" spans="2:2" x14ac:dyDescent="0.2">
      <c r="B49" s="8">
        <v>144.5</v>
      </c>
    </row>
    <row r="50" spans="2:2" x14ac:dyDescent="0.2">
      <c r="B50" s="8">
        <v>114.5</v>
      </c>
    </row>
    <row r="51" spans="2:2" x14ac:dyDescent="0.2">
      <c r="B51" s="8">
        <v>104.5</v>
      </c>
    </row>
    <row r="52" spans="2:2" x14ac:dyDescent="0.2">
      <c r="B52" s="8">
        <v>124</v>
      </c>
    </row>
    <row r="53" spans="2:2" x14ac:dyDescent="0.2">
      <c r="B53" s="8">
        <v>113</v>
      </c>
    </row>
    <row r="54" spans="2:2" x14ac:dyDescent="0.2">
      <c r="B54" s="8">
        <v>78</v>
      </c>
    </row>
    <row r="55" spans="2:2" x14ac:dyDescent="0.2">
      <c r="B55" s="8">
        <v>109</v>
      </c>
    </row>
    <row r="56" spans="2:2" x14ac:dyDescent="0.2">
      <c r="B56" s="8">
        <v>99.5</v>
      </c>
    </row>
    <row r="57" spans="2:2" x14ac:dyDescent="0.2">
      <c r="B57" s="8">
        <v>107</v>
      </c>
    </row>
    <row r="58" spans="2:2" x14ac:dyDescent="0.2">
      <c r="B58" s="8">
        <v>84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057C-0333-45A4-B65F-319CF118218B}">
  <sheetPr codeName="Sheet6">
    <tabColor theme="4" tint="0.59999389629810485"/>
  </sheetPr>
  <dimension ref="B1:F100"/>
  <sheetViews>
    <sheetView showGridLines="0" workbookViewId="0">
      <selection activeCell="L9" sqref="L9"/>
    </sheetView>
  </sheetViews>
  <sheetFormatPr baseColWidth="10" defaultColWidth="8.83203125" defaultRowHeight="15" x14ac:dyDescent="0.2"/>
  <cols>
    <col min="1" max="1" width="2.83203125" customWidth="1"/>
    <col min="2" max="2" width="11.33203125" customWidth="1"/>
    <col min="4" max="4" width="11.5" bestFit="1" customWidth="1"/>
    <col min="5" max="5" width="11" bestFit="1" customWidth="1"/>
    <col min="6" max="6" width="16.83203125" bestFit="1" customWidth="1"/>
  </cols>
  <sheetData>
    <row r="1" spans="2:6" ht="25.5" customHeight="1" x14ac:dyDescent="0.25">
      <c r="B1" s="18" t="s">
        <v>119</v>
      </c>
    </row>
    <row r="2" spans="2:6" ht="15" customHeight="1" x14ac:dyDescent="0.2">
      <c r="B2" s="30" t="s">
        <v>286</v>
      </c>
    </row>
    <row r="3" spans="2:6" ht="18" customHeight="1" x14ac:dyDescent="0.2"/>
    <row r="5" spans="2:6" ht="32" x14ac:dyDescent="0.2">
      <c r="B5" s="7" t="s">
        <v>77</v>
      </c>
      <c r="D5" s="103" t="s">
        <v>328</v>
      </c>
      <c r="E5" s="104" t="s">
        <v>15</v>
      </c>
      <c r="F5" s="105" t="s">
        <v>327</v>
      </c>
    </row>
    <row r="6" spans="2:6" x14ac:dyDescent="0.2">
      <c r="B6" s="8">
        <v>90.2</v>
      </c>
      <c r="D6" s="100" t="s">
        <v>38</v>
      </c>
      <c r="E6">
        <v>1</v>
      </c>
      <c r="F6" s="101">
        <v>1.0526315789473684E-2</v>
      </c>
    </row>
    <row r="7" spans="2:6" x14ac:dyDescent="0.2">
      <c r="B7" s="8">
        <v>92.8</v>
      </c>
      <c r="D7" s="100" t="s">
        <v>39</v>
      </c>
      <c r="E7">
        <v>3</v>
      </c>
      <c r="F7" s="101">
        <v>4.2105263157894736E-2</v>
      </c>
    </row>
    <row r="8" spans="2:6" x14ac:dyDescent="0.2">
      <c r="B8" s="8">
        <v>68.7</v>
      </c>
      <c r="D8" s="100" t="s">
        <v>40</v>
      </c>
      <c r="E8">
        <v>17</v>
      </c>
      <c r="F8" s="101">
        <v>0.22105263157894736</v>
      </c>
    </row>
    <row r="9" spans="2:6" x14ac:dyDescent="0.2">
      <c r="B9" s="8">
        <v>80.7</v>
      </c>
      <c r="D9" s="100" t="s">
        <v>41</v>
      </c>
      <c r="E9">
        <v>24</v>
      </c>
      <c r="F9" s="101">
        <v>0.47368421052631576</v>
      </c>
    </row>
    <row r="10" spans="2:6" x14ac:dyDescent="0.2">
      <c r="B10" s="8">
        <v>74.900000000000006</v>
      </c>
      <c r="D10" s="100" t="s">
        <v>42</v>
      </c>
      <c r="E10">
        <v>29</v>
      </c>
      <c r="F10" s="101">
        <v>0.77894736842105261</v>
      </c>
    </row>
    <row r="11" spans="2:6" x14ac:dyDescent="0.2">
      <c r="B11" s="8">
        <v>80.7</v>
      </c>
      <c r="D11" s="100" t="s">
        <v>43</v>
      </c>
      <c r="E11">
        <v>17</v>
      </c>
      <c r="F11" s="101">
        <v>0.95789473684210524</v>
      </c>
    </row>
    <row r="12" spans="2:6" x14ac:dyDescent="0.2">
      <c r="B12" s="8">
        <v>83.3</v>
      </c>
      <c r="D12" s="100" t="s">
        <v>44</v>
      </c>
      <c r="E12">
        <v>3</v>
      </c>
      <c r="F12" s="101">
        <v>0.98947368421052628</v>
      </c>
    </row>
    <row r="13" spans="2:6" x14ac:dyDescent="0.2">
      <c r="B13" s="8">
        <v>88.7</v>
      </c>
      <c r="D13" s="100" t="s">
        <v>45</v>
      </c>
      <c r="E13">
        <v>1</v>
      </c>
      <c r="F13" s="101">
        <v>1</v>
      </c>
    </row>
    <row r="14" spans="2:6" x14ac:dyDescent="0.2">
      <c r="B14" s="8">
        <v>75.400000000000006</v>
      </c>
      <c r="D14" s="100" t="s">
        <v>17</v>
      </c>
      <c r="E14">
        <v>95</v>
      </c>
      <c r="F14" s="101"/>
    </row>
    <row r="15" spans="2:6" x14ac:dyDescent="0.2">
      <c r="B15" s="8">
        <v>82.1</v>
      </c>
    </row>
    <row r="16" spans="2:6" x14ac:dyDescent="0.2">
      <c r="B16" s="8">
        <v>87.5</v>
      </c>
    </row>
    <row r="17" spans="2:5" x14ac:dyDescent="0.2">
      <c r="B17" s="8">
        <v>66.900000000000006</v>
      </c>
      <c r="D17" s="106" t="s">
        <v>328</v>
      </c>
      <c r="E17" s="106" t="s">
        <v>329</v>
      </c>
    </row>
    <row r="18" spans="2:5" x14ac:dyDescent="0.2">
      <c r="B18" s="8">
        <v>71.3</v>
      </c>
      <c r="D18" s="100" t="s">
        <v>38</v>
      </c>
      <c r="E18">
        <v>1</v>
      </c>
    </row>
    <row r="19" spans="2:5" x14ac:dyDescent="0.2">
      <c r="B19" s="8">
        <v>76.8</v>
      </c>
      <c r="D19" s="100" t="s">
        <v>39</v>
      </c>
      <c r="E19">
        <v>3</v>
      </c>
    </row>
    <row r="20" spans="2:5" x14ac:dyDescent="0.2">
      <c r="B20" s="8">
        <v>72.3</v>
      </c>
      <c r="D20" s="100" t="s">
        <v>40</v>
      </c>
      <c r="E20">
        <v>17</v>
      </c>
    </row>
    <row r="21" spans="2:5" x14ac:dyDescent="0.2">
      <c r="B21" s="8">
        <v>72.400000000000006</v>
      </c>
      <c r="D21" s="100" t="s">
        <v>41</v>
      </c>
      <c r="E21">
        <v>24</v>
      </c>
    </row>
    <row r="22" spans="2:5" x14ac:dyDescent="0.2">
      <c r="B22" s="8">
        <v>72</v>
      </c>
      <c r="D22" s="100" t="s">
        <v>42</v>
      </c>
      <c r="E22">
        <v>29</v>
      </c>
    </row>
    <row r="23" spans="2:5" x14ac:dyDescent="0.2">
      <c r="B23" s="8">
        <v>81</v>
      </c>
      <c r="D23" s="100" t="s">
        <v>43</v>
      </c>
      <c r="E23">
        <v>17</v>
      </c>
    </row>
    <row r="24" spans="2:5" x14ac:dyDescent="0.2">
      <c r="B24" s="8">
        <v>96.1</v>
      </c>
      <c r="D24" s="100" t="s">
        <v>44</v>
      </c>
      <c r="E24">
        <v>3</v>
      </c>
    </row>
    <row r="25" spans="2:5" x14ac:dyDescent="0.2">
      <c r="B25" s="8">
        <v>76.7</v>
      </c>
      <c r="D25" s="100" t="s">
        <v>45</v>
      </c>
      <c r="E25">
        <v>1</v>
      </c>
    </row>
    <row r="26" spans="2:5" x14ac:dyDescent="0.2">
      <c r="B26" s="8">
        <v>80.3</v>
      </c>
    </row>
    <row r="27" spans="2:5" x14ac:dyDescent="0.2">
      <c r="B27" s="8">
        <v>77.8</v>
      </c>
    </row>
    <row r="28" spans="2:5" x14ac:dyDescent="0.2">
      <c r="B28" s="8">
        <v>62.6</v>
      </c>
    </row>
    <row r="29" spans="2:5" x14ac:dyDescent="0.2">
      <c r="B29" s="8">
        <v>80.2</v>
      </c>
    </row>
    <row r="30" spans="2:5" x14ac:dyDescent="0.2">
      <c r="B30" s="8">
        <v>79.099999999999994</v>
      </c>
    </row>
    <row r="31" spans="2:5" x14ac:dyDescent="0.2">
      <c r="B31" s="8">
        <v>77.8</v>
      </c>
    </row>
    <row r="32" spans="2:5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FD47F-01CD-4B91-8FD9-7D3A4D2A2CC2}">
  <sheetPr codeName="Sheet7">
    <tabColor theme="4" tint="0.79998168889431442"/>
  </sheetPr>
  <dimension ref="B1:N58"/>
  <sheetViews>
    <sheetView showGridLines="0" workbookViewId="0">
      <selection activeCell="M9" sqref="M9"/>
    </sheetView>
  </sheetViews>
  <sheetFormatPr baseColWidth="10" defaultColWidth="8.83203125" defaultRowHeight="15" x14ac:dyDescent="0.2"/>
  <cols>
    <col min="1" max="1" width="2.83203125" customWidth="1"/>
    <col min="2" max="2" width="16.33203125" bestFit="1" customWidth="1"/>
    <col min="3" max="3" width="13.1640625" bestFit="1" customWidth="1"/>
    <col min="6" max="6" width="14.33203125" customWidth="1"/>
    <col min="8" max="10" width="14.33203125" customWidth="1"/>
    <col min="12" max="14" width="14.33203125" customWidth="1"/>
  </cols>
  <sheetData>
    <row r="1" spans="2:14" ht="25.5" customHeight="1" x14ac:dyDescent="0.25">
      <c r="B1" s="18" t="s">
        <v>120</v>
      </c>
    </row>
    <row r="2" spans="2:14" ht="15" customHeight="1" x14ac:dyDescent="0.2">
      <c r="B2" s="30" t="s">
        <v>287</v>
      </c>
    </row>
    <row r="3" spans="2:14" ht="18" customHeight="1" x14ac:dyDescent="0.2"/>
    <row r="4" spans="2:14" x14ac:dyDescent="0.2">
      <c r="E4" s="3" t="s">
        <v>54</v>
      </c>
      <c r="H4" s="3" t="s">
        <v>54</v>
      </c>
      <c r="L4" s="3" t="s">
        <v>53</v>
      </c>
    </row>
    <row r="5" spans="2:14" x14ac:dyDescent="0.2">
      <c r="B5" s="7" t="s">
        <v>21</v>
      </c>
      <c r="C5" s="7" t="s">
        <v>35</v>
      </c>
      <c r="E5" s="116" t="s">
        <v>51</v>
      </c>
      <c r="F5" s="116"/>
      <c r="H5" s="116" t="s">
        <v>57</v>
      </c>
      <c r="I5" s="116"/>
      <c r="J5" s="116"/>
      <c r="L5" s="117" t="s">
        <v>57</v>
      </c>
      <c r="M5" s="117"/>
      <c r="N5" s="117"/>
    </row>
    <row r="6" spans="2:14" x14ac:dyDescent="0.2">
      <c r="B6" s="8" t="s">
        <v>25</v>
      </c>
      <c r="C6" s="12">
        <v>111000</v>
      </c>
      <c r="E6" s="20" t="s">
        <v>46</v>
      </c>
      <c r="F6" s="69">
        <f>AVERAGE(C6:C58)</f>
        <v>119386.7924528302</v>
      </c>
      <c r="I6" s="17" t="s">
        <v>27</v>
      </c>
      <c r="J6" s="17" t="s">
        <v>25</v>
      </c>
      <c r="M6" s="17" t="s">
        <v>27</v>
      </c>
      <c r="N6" s="17" t="s">
        <v>25</v>
      </c>
    </row>
    <row r="7" spans="2:14" x14ac:dyDescent="0.2">
      <c r="B7" s="8" t="s">
        <v>27</v>
      </c>
      <c r="C7" s="12">
        <v>107000</v>
      </c>
      <c r="E7" s="20" t="s">
        <v>47</v>
      </c>
      <c r="F7" s="69">
        <f>MEDIAN(C6:C58)</f>
        <v>104500</v>
      </c>
      <c r="H7" s="20" t="s">
        <v>46</v>
      </c>
      <c r="I7" s="69">
        <f>AVERAGEIFS($C$6:$C$58,$B$6:$B$58,I6)</f>
        <v>124647.05882352941</v>
      </c>
      <c r="J7" s="69">
        <f>AVERAGEIFS($C$6:$C$58,$B$6:$B$58,J6)</f>
        <v>116902.77777777778</v>
      </c>
      <c r="L7" s="20" t="s">
        <v>46</v>
      </c>
      <c r="M7" s="69" cm="1">
        <f t="array" ref="M7:N7">AVERAGEIFS($C$6:$C$58,$B$6:$B$58,M6:N6)</f>
        <v>124647.05882352941</v>
      </c>
      <c r="N7" s="69">
        <v>116902.77777777778</v>
      </c>
    </row>
    <row r="8" spans="2:14" x14ac:dyDescent="0.2">
      <c r="B8" s="8" t="s">
        <v>25</v>
      </c>
      <c r="C8" s="12">
        <v>109000</v>
      </c>
      <c r="E8" s="20" t="s">
        <v>48</v>
      </c>
      <c r="F8" s="69">
        <f>MODE(C6:C58)</f>
        <v>103500</v>
      </c>
      <c r="H8" s="20" t="s">
        <v>47</v>
      </c>
      <c r="I8" s="69" cm="1">
        <f t="array" ref="I8">MEDIAN(IF($B$6:$B$58=I6,$C$6:$C$58))</f>
        <v>103500</v>
      </c>
      <c r="J8" s="69" cm="1">
        <f t="array" ref="J8">MEDIAN(IF($B$6:$B$58=J6,$C$6:$C$58))</f>
        <v>105750</v>
      </c>
      <c r="L8" s="20" t="s">
        <v>47</v>
      </c>
      <c r="M8" s="69" cm="1">
        <f t="array" ref="M8">MEDIAN(_xlfn._xlws.FILTER($C$6:$C$58,$B$6:$B$58=M6))</f>
        <v>103500</v>
      </c>
      <c r="N8" s="69" cm="1">
        <f t="array" ref="N8">MEDIAN(_xlfn._xlws.FILTER($C$6:$C$58,$B$6:$B$58=N6))</f>
        <v>105750</v>
      </c>
    </row>
    <row r="9" spans="2:14" x14ac:dyDescent="0.2">
      <c r="B9" s="8" t="s">
        <v>25</v>
      </c>
      <c r="C9" s="12">
        <v>148000</v>
      </c>
      <c r="H9" s="20" t="s">
        <v>48</v>
      </c>
      <c r="I9" s="69" cm="1">
        <f t="array" ref="I9">_xlfn.MODE.SNGL(IF($B$6:$B$58=I6,$C$6:$C$58))</f>
        <v>99000</v>
      </c>
      <c r="J9" s="69" cm="1">
        <f t="array" ref="J9">_xlfn.MODE.SNGL(IF($B$6:$B$58=J6,$C$6:$C$58))</f>
        <v>103500</v>
      </c>
      <c r="L9" s="20" t="s">
        <v>50</v>
      </c>
      <c r="M9" s="69" cm="1">
        <f t="array" ref="M9:M12">_xlfn.MODE.MULT(_xlfn._xlws.FILTER($C$6:$C$58,$B$6:$B$58=M6))</f>
        <v>99000</v>
      </c>
      <c r="N9" s="69" cm="1">
        <f t="array" ref="N9">_xlfn.MODE.MULT(_xlfn._xlws.FILTER($C$6:$C$58,$B$6:$B$58=N6))</f>
        <v>103500</v>
      </c>
    </row>
    <row r="10" spans="2:14" x14ac:dyDescent="0.2">
      <c r="B10" s="8" t="s">
        <v>25</v>
      </c>
      <c r="C10" s="12">
        <v>255500</v>
      </c>
      <c r="M10" s="19">
        <v>99500</v>
      </c>
    </row>
    <row r="11" spans="2:14" x14ac:dyDescent="0.2">
      <c r="B11" s="8" t="s">
        <v>25</v>
      </c>
      <c r="C11" s="12">
        <v>103500</v>
      </c>
      <c r="M11" s="19">
        <v>103500</v>
      </c>
    </row>
    <row r="12" spans="2:14" x14ac:dyDescent="0.2">
      <c r="B12" s="8" t="s">
        <v>25</v>
      </c>
      <c r="C12" s="12">
        <v>114500</v>
      </c>
      <c r="M12" s="19">
        <v>124500</v>
      </c>
    </row>
    <row r="13" spans="2:14" x14ac:dyDescent="0.2">
      <c r="B13" s="8" t="s">
        <v>25</v>
      </c>
      <c r="C13" s="12">
        <v>124000</v>
      </c>
    </row>
    <row r="14" spans="2:14" x14ac:dyDescent="0.2">
      <c r="B14" s="8" t="s">
        <v>25</v>
      </c>
      <c r="C14" s="12">
        <v>132500</v>
      </c>
    </row>
    <row r="15" spans="2:14" x14ac:dyDescent="0.2">
      <c r="B15" s="8" t="s">
        <v>25</v>
      </c>
      <c r="C15" s="12">
        <v>99000</v>
      </c>
    </row>
    <row r="16" spans="2:14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3">
    <mergeCell ref="E5:F5"/>
    <mergeCell ref="H5:J5"/>
    <mergeCell ref="L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A6FE-89EE-48B0-BC7E-BC9038A93211}">
  <sheetPr codeName="Sheet8">
    <tabColor theme="4" tint="0.79998168889431442"/>
  </sheetPr>
  <dimension ref="B1:E58"/>
  <sheetViews>
    <sheetView showGridLines="0" workbookViewId="0">
      <selection activeCell="E8" sqref="E8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5" max="5" width="14.33203125" customWidth="1"/>
  </cols>
  <sheetData>
    <row r="1" spans="2:5" ht="25.5" customHeight="1" x14ac:dyDescent="0.25">
      <c r="B1" s="18" t="s">
        <v>121</v>
      </c>
    </row>
    <row r="2" spans="2:5" ht="15" customHeight="1" x14ac:dyDescent="0.2">
      <c r="B2" s="30" t="s">
        <v>6</v>
      </c>
    </row>
    <row r="3" spans="2:5" ht="18" customHeight="1" x14ac:dyDescent="0.2"/>
    <row r="4" spans="2:5" x14ac:dyDescent="0.2">
      <c r="D4" s="3" t="s">
        <v>54</v>
      </c>
    </row>
    <row r="5" spans="2:5" x14ac:dyDescent="0.2">
      <c r="B5" s="7" t="s">
        <v>35</v>
      </c>
      <c r="D5" s="116" t="s">
        <v>51</v>
      </c>
      <c r="E5" s="116"/>
    </row>
    <row r="6" spans="2:5" x14ac:dyDescent="0.2">
      <c r="B6" s="12">
        <v>111000</v>
      </c>
      <c r="D6" s="20" t="s">
        <v>46</v>
      </c>
      <c r="E6" s="69">
        <f>AVERAGE(B6:B58)</f>
        <v>119386.7924528302</v>
      </c>
    </row>
    <row r="7" spans="2:5" x14ac:dyDescent="0.2">
      <c r="B7" s="12">
        <v>107000</v>
      </c>
      <c r="D7" s="20" t="s">
        <v>47</v>
      </c>
      <c r="E7" s="69">
        <f>MEDIAN(B6:B58)</f>
        <v>104500</v>
      </c>
    </row>
    <row r="8" spans="2:5" x14ac:dyDescent="0.2">
      <c r="B8" s="12">
        <v>109000</v>
      </c>
      <c r="D8" s="20" t="s">
        <v>49</v>
      </c>
      <c r="E8" s="70">
        <f>SKEW(B6:B58)</f>
        <v>2.9324340018176889</v>
      </c>
    </row>
    <row r="9" spans="2:5" x14ac:dyDescent="0.2">
      <c r="B9" s="12">
        <v>148000</v>
      </c>
    </row>
    <row r="10" spans="2:5" x14ac:dyDescent="0.2">
      <c r="B10" s="12">
        <v>255500</v>
      </c>
    </row>
    <row r="11" spans="2:5" x14ac:dyDescent="0.2">
      <c r="B11" s="12">
        <v>103500</v>
      </c>
    </row>
    <row r="12" spans="2:5" x14ac:dyDescent="0.2">
      <c r="B12" s="12">
        <v>114500</v>
      </c>
    </row>
    <row r="13" spans="2:5" x14ac:dyDescent="0.2">
      <c r="B13" s="12">
        <v>124000</v>
      </c>
    </row>
    <row r="14" spans="2:5" x14ac:dyDescent="0.2">
      <c r="B14" s="12">
        <v>132500</v>
      </c>
    </row>
    <row r="15" spans="2:5" x14ac:dyDescent="0.2">
      <c r="B15" s="12">
        <v>99000</v>
      </c>
    </row>
    <row r="16" spans="2:5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1"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17D6-8455-4676-965E-6611AD4A5D26}">
  <sheetPr codeName="Sheet9">
    <tabColor theme="4" tint="0.59999389629810485"/>
  </sheetPr>
  <dimension ref="B1:H64"/>
  <sheetViews>
    <sheetView showGridLines="0" workbookViewId="0">
      <selection activeCell="H12" sqref="H12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1.5" customWidth="1"/>
    <col min="7" max="8" width="14.33203125" customWidth="1"/>
  </cols>
  <sheetData>
    <row r="1" spans="2:8" ht="25.5" customHeight="1" x14ac:dyDescent="0.25">
      <c r="B1" s="18" t="s">
        <v>122</v>
      </c>
    </row>
    <row r="2" spans="2:8" ht="15" customHeight="1" x14ac:dyDescent="0.2">
      <c r="B2" s="30" t="s">
        <v>287</v>
      </c>
    </row>
    <row r="3" spans="2:8" ht="18" customHeight="1" x14ac:dyDescent="0.2"/>
    <row r="5" spans="2:8" x14ac:dyDescent="0.2">
      <c r="B5" s="7" t="s">
        <v>58</v>
      </c>
      <c r="D5" s="7" t="s">
        <v>59</v>
      </c>
      <c r="F5" s="116" t="s">
        <v>60</v>
      </c>
      <c r="G5" s="116"/>
      <c r="H5" s="116"/>
    </row>
    <row r="6" spans="2:8" x14ac:dyDescent="0.2">
      <c r="B6" s="8">
        <v>90.2</v>
      </c>
      <c r="D6" s="8">
        <v>68.7</v>
      </c>
      <c r="G6" s="17" t="s">
        <v>24</v>
      </c>
      <c r="H6" s="17" t="s">
        <v>26</v>
      </c>
    </row>
    <row r="7" spans="2:8" x14ac:dyDescent="0.2">
      <c r="B7" s="8">
        <v>92.8</v>
      </c>
      <c r="D7" s="8">
        <v>80.7</v>
      </c>
      <c r="F7" s="20" t="s">
        <v>18</v>
      </c>
      <c r="G7" s="71">
        <f>COUNT(B6:B41)</f>
        <v>36</v>
      </c>
      <c r="H7" s="71">
        <f>COUNT(D6:D64)</f>
        <v>59</v>
      </c>
    </row>
    <row r="8" spans="2:8" x14ac:dyDescent="0.2">
      <c r="B8" s="8">
        <v>88.7</v>
      </c>
      <c r="D8" s="8">
        <v>74.900000000000006</v>
      </c>
      <c r="F8" s="20" t="s">
        <v>46</v>
      </c>
      <c r="G8" s="72">
        <f>AVERAGE(B6:B41)</f>
        <v>81.327777777777783</v>
      </c>
      <c r="H8" s="72">
        <f>AVERAGE(D6:D64)</f>
        <v>79.462711864406785</v>
      </c>
    </row>
    <row r="9" spans="2:8" x14ac:dyDescent="0.2">
      <c r="B9" s="8">
        <v>87.5</v>
      </c>
      <c r="D9" s="8">
        <v>80.7</v>
      </c>
      <c r="F9" s="20" t="s">
        <v>47</v>
      </c>
      <c r="G9" s="72">
        <f>MEDIAN(B6:B41)</f>
        <v>80.55</v>
      </c>
      <c r="H9" s="72">
        <f>MEDIAN(D6:D64)</f>
        <v>80</v>
      </c>
    </row>
    <row r="10" spans="2:8" x14ac:dyDescent="0.2">
      <c r="B10" s="8">
        <v>71.3</v>
      </c>
      <c r="D10" s="8">
        <v>83.3</v>
      </c>
      <c r="F10" s="20" t="s">
        <v>48</v>
      </c>
      <c r="G10" s="72">
        <f>_xlfn.MODE.SNGL(B6:B41)</f>
        <v>87.5</v>
      </c>
      <c r="H10" s="72">
        <f>_xlfn.MODE.SNGL(D6:D64)</f>
        <v>80.7</v>
      </c>
    </row>
    <row r="11" spans="2:8" x14ac:dyDescent="0.2">
      <c r="B11" s="8">
        <v>72.3</v>
      </c>
      <c r="D11" s="8">
        <v>75.400000000000006</v>
      </c>
      <c r="F11" s="20" t="s">
        <v>49</v>
      </c>
      <c r="G11" s="70">
        <f>SKEW(B6:B41)</f>
        <v>0.28816497815781422</v>
      </c>
      <c r="H11" s="70">
        <f>SKEW(D6:D64)</f>
        <v>-0.60601796987265744</v>
      </c>
    </row>
    <row r="12" spans="2:8" x14ac:dyDescent="0.2">
      <c r="B12" s="8">
        <v>96.1</v>
      </c>
      <c r="D12" s="8">
        <v>82.1</v>
      </c>
    </row>
    <row r="13" spans="2:8" x14ac:dyDescent="0.2">
      <c r="B13" s="8">
        <v>80.3</v>
      </c>
      <c r="D13" s="8">
        <v>66.900000000000006</v>
      </c>
    </row>
    <row r="14" spans="2:8" x14ac:dyDescent="0.2">
      <c r="B14" s="8">
        <v>79.099999999999994</v>
      </c>
      <c r="D14" s="8">
        <v>76.8</v>
      </c>
    </row>
    <row r="15" spans="2:8" x14ac:dyDescent="0.2">
      <c r="B15" s="8">
        <v>87.5</v>
      </c>
      <c r="D15" s="8">
        <v>72.400000000000006</v>
      </c>
    </row>
    <row r="16" spans="2:8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1">
    <mergeCell ref="F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DBF6-A26D-42E2-A54F-6D85C0DB9A49}">
  <sheetPr codeName="Sheet10">
    <tabColor theme="4" tint="0.79998168889431442"/>
  </sheetPr>
  <dimension ref="B1:G100"/>
  <sheetViews>
    <sheetView showGridLines="0" workbookViewId="0">
      <selection activeCell="F7" sqref="F7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7" ht="25.5" customHeight="1" x14ac:dyDescent="0.25">
      <c r="B1" s="18" t="s">
        <v>123</v>
      </c>
    </row>
    <row r="2" spans="2:7" ht="15" customHeight="1" x14ac:dyDescent="0.2">
      <c r="B2" s="30" t="s">
        <v>7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22</v>
      </c>
      <c r="C5" s="7" t="s">
        <v>23</v>
      </c>
      <c r="E5" s="116" t="s">
        <v>64</v>
      </c>
      <c r="F5" s="116"/>
      <c r="G5" s="116"/>
    </row>
    <row r="6" spans="2:7" x14ac:dyDescent="0.2">
      <c r="B6" s="8">
        <v>252</v>
      </c>
      <c r="C6" s="8">
        <v>276</v>
      </c>
      <c r="F6" s="17" t="s">
        <v>61</v>
      </c>
      <c r="G6" s="17" t="s">
        <v>62</v>
      </c>
    </row>
    <row r="7" spans="2:7" x14ac:dyDescent="0.2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</row>
    <row r="8" spans="2:7" x14ac:dyDescent="0.2">
      <c r="B8" s="8">
        <v>101</v>
      </c>
      <c r="C8" s="8">
        <v>119</v>
      </c>
      <c r="E8" s="20" t="s">
        <v>32</v>
      </c>
      <c r="F8" s="71">
        <f>MAX(B6:B100)</f>
        <v>423</v>
      </c>
      <c r="G8" s="71">
        <f>MAX(C6:C100)</f>
        <v>481</v>
      </c>
    </row>
    <row r="9" spans="2:7" x14ac:dyDescent="0.2">
      <c r="B9" s="8">
        <v>288</v>
      </c>
      <c r="C9" s="8">
        <v>334</v>
      </c>
      <c r="E9" s="20" t="s">
        <v>63</v>
      </c>
      <c r="F9" s="71">
        <f>F8-F7</f>
        <v>361</v>
      </c>
      <c r="G9" s="71">
        <f>G8-G7</f>
        <v>379</v>
      </c>
    </row>
    <row r="10" spans="2:7" x14ac:dyDescent="0.2">
      <c r="B10" s="8">
        <v>248</v>
      </c>
      <c r="C10" s="8">
        <v>252</v>
      </c>
    </row>
    <row r="11" spans="2:7" x14ac:dyDescent="0.2">
      <c r="B11" s="8">
        <v>145</v>
      </c>
      <c r="C11" s="8">
        <v>209</v>
      </c>
    </row>
    <row r="12" spans="2:7" x14ac:dyDescent="0.2">
      <c r="B12" s="8">
        <v>401</v>
      </c>
      <c r="C12" s="8">
        <v>462</v>
      </c>
    </row>
    <row r="13" spans="2:7" x14ac:dyDescent="0.2">
      <c r="B13" s="8">
        <v>287</v>
      </c>
      <c r="C13" s="8">
        <v>342</v>
      </c>
    </row>
    <row r="14" spans="2:7" x14ac:dyDescent="0.2">
      <c r="B14" s="8">
        <v>275</v>
      </c>
      <c r="C14" s="8">
        <v>347</v>
      </c>
    </row>
    <row r="15" spans="2:7" x14ac:dyDescent="0.2">
      <c r="B15" s="8">
        <v>254</v>
      </c>
      <c r="C15" s="8">
        <v>313</v>
      </c>
    </row>
    <row r="16" spans="2:7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AEAF-3DF5-44BA-A716-C330C5ECF812}">
  <sheetPr codeName="Sheet11">
    <tabColor theme="4" tint="0.79998168889431442"/>
  </sheetPr>
  <dimension ref="B1:K100"/>
  <sheetViews>
    <sheetView showGridLines="0" workbookViewId="0">
      <selection activeCell="F12" sqref="F12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  <col min="6" max="6" width="9.6640625" bestFit="1" customWidth="1"/>
  </cols>
  <sheetData>
    <row r="1" spans="2:11" ht="25.5" customHeight="1" x14ac:dyDescent="0.25">
      <c r="B1" s="18" t="s">
        <v>124</v>
      </c>
    </row>
    <row r="2" spans="2:11" ht="15" customHeight="1" x14ac:dyDescent="0.2">
      <c r="B2" s="30" t="s">
        <v>288</v>
      </c>
    </row>
    <row r="3" spans="2:11" ht="18" customHeight="1" x14ac:dyDescent="0.2"/>
    <row r="4" spans="2:11" x14ac:dyDescent="0.2">
      <c r="E4" s="3" t="s">
        <v>54</v>
      </c>
      <c r="I4" s="3" t="s">
        <v>53</v>
      </c>
    </row>
    <row r="5" spans="2:11" x14ac:dyDescent="0.2">
      <c r="B5" s="7" t="s">
        <v>22</v>
      </c>
      <c r="C5" s="7" t="s">
        <v>23</v>
      </c>
      <c r="E5" s="116" t="s">
        <v>64</v>
      </c>
      <c r="F5" s="116"/>
      <c r="G5" s="116"/>
      <c r="I5" s="117" t="s">
        <v>64</v>
      </c>
      <c r="J5" s="117"/>
      <c r="K5" s="117"/>
    </row>
    <row r="6" spans="2:11" x14ac:dyDescent="0.2">
      <c r="B6" s="8">
        <v>252</v>
      </c>
      <c r="C6" s="8">
        <v>276</v>
      </c>
      <c r="F6" s="17" t="s">
        <v>61</v>
      </c>
      <c r="G6" s="17" t="s">
        <v>62</v>
      </c>
      <c r="J6" s="17" t="s">
        <v>61</v>
      </c>
      <c r="K6" s="17" t="s">
        <v>62</v>
      </c>
    </row>
    <row r="7" spans="2:11" x14ac:dyDescent="0.2">
      <c r="B7" s="8">
        <v>423</v>
      </c>
      <c r="C7" s="8">
        <v>410</v>
      </c>
      <c r="E7" s="20" t="s">
        <v>33</v>
      </c>
      <c r="F7" s="71">
        <f>MIN(B6:B100)</f>
        <v>62</v>
      </c>
      <c r="G7" s="71">
        <f>MIN(C6:C100)</f>
        <v>102</v>
      </c>
      <c r="I7" s="20" t="s">
        <v>33</v>
      </c>
      <c r="J7" s="71" cm="1">
        <f t="array" ref="J7:J11">_xlfn.QUARTILE.INC(B6:B100,_xlfn.SEQUENCE(5,,0,1))</f>
        <v>62</v>
      </c>
      <c r="K7" s="71" cm="1">
        <f t="array" ref="K7:K11">_xlfn.QUARTILE.INC(C6:C100,_xlfn.SEQUENCE(5,,0,1))</f>
        <v>102</v>
      </c>
    </row>
    <row r="8" spans="2:11" x14ac:dyDescent="0.2">
      <c r="B8" s="8">
        <v>101</v>
      </c>
      <c r="C8" s="8">
        <v>119</v>
      </c>
      <c r="E8" s="20" t="s">
        <v>65</v>
      </c>
      <c r="F8" s="71">
        <f>_xlfn.QUARTILE.INC(B6:B100,1)</f>
        <v>181.5</v>
      </c>
      <c r="G8" s="71">
        <f>_xlfn.QUARTILE.INC(C6:C100,1)</f>
        <v>228</v>
      </c>
      <c r="I8" s="20" t="s">
        <v>65</v>
      </c>
      <c r="J8" s="71">
        <v>181.5</v>
      </c>
      <c r="K8" s="71">
        <v>228</v>
      </c>
    </row>
    <row r="9" spans="2:11" x14ac:dyDescent="0.2">
      <c r="B9" s="8">
        <v>288</v>
      </c>
      <c r="C9" s="8">
        <v>334</v>
      </c>
      <c r="E9" s="20" t="s">
        <v>47</v>
      </c>
      <c r="F9" s="75">
        <f>AVERAGE(B6:B100)</f>
        <v>239.90526315789472</v>
      </c>
      <c r="G9" s="75">
        <f>AVERAGE(C6:C100)</f>
        <v>289.34736842105264</v>
      </c>
      <c r="I9" s="20" t="s">
        <v>47</v>
      </c>
      <c r="J9" s="71">
        <v>236</v>
      </c>
      <c r="K9" s="71">
        <v>286</v>
      </c>
    </row>
    <row r="10" spans="2:11" x14ac:dyDescent="0.2">
      <c r="B10" s="8">
        <v>248</v>
      </c>
      <c r="C10" s="8">
        <v>252</v>
      </c>
      <c r="E10" s="20" t="s">
        <v>66</v>
      </c>
      <c r="F10" s="71">
        <f>_xlfn.QUARTILE.INC(B6:B100,3)</f>
        <v>287</v>
      </c>
      <c r="G10" s="71">
        <f>_xlfn.QUARTILE.INC(C6:C100,3)</f>
        <v>348</v>
      </c>
      <c r="I10" s="20" t="s">
        <v>66</v>
      </c>
      <c r="J10" s="71">
        <v>287</v>
      </c>
      <c r="K10" s="71">
        <v>348</v>
      </c>
    </row>
    <row r="11" spans="2:11" x14ac:dyDescent="0.2">
      <c r="B11" s="8">
        <v>145</v>
      </c>
      <c r="C11" s="8">
        <v>209</v>
      </c>
      <c r="E11" s="20" t="s">
        <v>32</v>
      </c>
      <c r="F11" s="71">
        <f>MAX(B6:B100)</f>
        <v>423</v>
      </c>
      <c r="G11" s="71">
        <f>MAX(C6:C100)</f>
        <v>481</v>
      </c>
      <c r="I11" s="20" t="s">
        <v>32</v>
      </c>
      <c r="J11" s="71">
        <v>423</v>
      </c>
      <c r="K11" s="71">
        <v>481</v>
      </c>
    </row>
    <row r="12" spans="2:11" x14ac:dyDescent="0.2">
      <c r="B12" s="8">
        <v>401</v>
      </c>
      <c r="C12" s="8">
        <v>462</v>
      </c>
      <c r="E12" s="20" t="s">
        <v>67</v>
      </c>
      <c r="F12" s="72">
        <f>F10-F8</f>
        <v>105.5</v>
      </c>
      <c r="G12" s="73">
        <f>G10-G8</f>
        <v>120</v>
      </c>
      <c r="I12" s="20" t="s">
        <v>67</v>
      </c>
      <c r="J12" s="71">
        <f>J10-J8</f>
        <v>105.5</v>
      </c>
      <c r="K12" s="71">
        <f>K10-K8</f>
        <v>120</v>
      </c>
    </row>
    <row r="13" spans="2:11" x14ac:dyDescent="0.2">
      <c r="B13" s="8">
        <v>287</v>
      </c>
      <c r="C13" s="8">
        <v>342</v>
      </c>
      <c r="E13" s="20"/>
    </row>
    <row r="14" spans="2:11" x14ac:dyDescent="0.2">
      <c r="B14" s="8">
        <v>275</v>
      </c>
      <c r="C14" s="8">
        <v>347</v>
      </c>
    </row>
    <row r="15" spans="2:11" x14ac:dyDescent="0.2">
      <c r="B15" s="8">
        <v>254</v>
      </c>
      <c r="C15" s="8">
        <v>313</v>
      </c>
    </row>
    <row r="16" spans="2:11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2">
    <mergeCell ref="E5:G5"/>
    <mergeCell ref="I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32F70-2147-4FCC-BD59-7EAE2C0B7E3E}">
  <sheetPr codeName="Sheet12">
    <tabColor theme="4" tint="0.79998168889431442"/>
  </sheetPr>
  <dimension ref="B1:C100"/>
  <sheetViews>
    <sheetView showGridLines="0" workbookViewId="0">
      <selection activeCell="L24" sqref="L24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</cols>
  <sheetData>
    <row r="1" spans="2:3" ht="25.5" customHeight="1" x14ac:dyDescent="0.25">
      <c r="B1" s="18" t="s">
        <v>124</v>
      </c>
    </row>
    <row r="2" spans="2:3" ht="15" customHeight="1" x14ac:dyDescent="0.2">
      <c r="B2" s="30" t="s">
        <v>9</v>
      </c>
    </row>
    <row r="3" spans="2:3" ht="18" customHeight="1" x14ac:dyDescent="0.2"/>
    <row r="5" spans="2:3" x14ac:dyDescent="0.2">
      <c r="B5" s="7" t="s">
        <v>22</v>
      </c>
      <c r="C5" s="7" t="s">
        <v>23</v>
      </c>
    </row>
    <row r="6" spans="2:3" x14ac:dyDescent="0.2">
      <c r="B6" s="8">
        <v>252</v>
      </c>
      <c r="C6" s="8">
        <v>276</v>
      </c>
    </row>
    <row r="7" spans="2:3" x14ac:dyDescent="0.2">
      <c r="B7" s="8">
        <v>423</v>
      </c>
      <c r="C7" s="8">
        <v>410</v>
      </c>
    </row>
    <row r="8" spans="2:3" x14ac:dyDescent="0.2">
      <c r="B8" s="8">
        <v>101</v>
      </c>
      <c r="C8" s="8">
        <v>119</v>
      </c>
    </row>
    <row r="9" spans="2:3" x14ac:dyDescent="0.2">
      <c r="B9" s="8">
        <v>288</v>
      </c>
      <c r="C9" s="8">
        <v>334</v>
      </c>
    </row>
    <row r="10" spans="2:3" x14ac:dyDescent="0.2">
      <c r="B10" s="8">
        <v>248</v>
      </c>
      <c r="C10" s="8">
        <v>252</v>
      </c>
    </row>
    <row r="11" spans="2:3" x14ac:dyDescent="0.2">
      <c r="B11" s="8">
        <v>145</v>
      </c>
      <c r="C11" s="8">
        <v>209</v>
      </c>
    </row>
    <row r="12" spans="2:3" x14ac:dyDescent="0.2">
      <c r="B12" s="8">
        <v>401</v>
      </c>
      <c r="C12" s="8">
        <v>462</v>
      </c>
    </row>
    <row r="13" spans="2:3" x14ac:dyDescent="0.2">
      <c r="B13" s="8">
        <v>287</v>
      </c>
      <c r="C13" s="8">
        <v>342</v>
      </c>
    </row>
    <row r="14" spans="2:3" x14ac:dyDescent="0.2">
      <c r="B14" s="8">
        <v>275</v>
      </c>
      <c r="C14" s="8">
        <v>347</v>
      </c>
    </row>
    <row r="15" spans="2:3" x14ac:dyDescent="0.2">
      <c r="B15" s="8">
        <v>254</v>
      </c>
      <c r="C15" s="8">
        <v>313</v>
      </c>
    </row>
    <row r="16" spans="2:3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012A-2340-4D8A-8182-E6E8F631D369}">
  <sheetPr codeName="Sheet13">
    <tabColor theme="4" tint="0.79998168889431442"/>
  </sheetPr>
  <dimension ref="B1:G100"/>
  <sheetViews>
    <sheetView showGridLines="0" workbookViewId="0">
      <selection activeCell="G8" sqref="G8"/>
    </sheetView>
  </sheetViews>
  <sheetFormatPr baseColWidth="10" defaultColWidth="8.83203125" defaultRowHeight="15" x14ac:dyDescent="0.2"/>
  <cols>
    <col min="1" max="1" width="2.83203125" customWidth="1"/>
    <col min="2" max="2" width="21.5" bestFit="1" customWidth="1"/>
    <col min="3" max="3" width="19.83203125" bestFit="1" customWidth="1"/>
    <col min="4" max="4" width="26.33203125" bestFit="1" customWidth="1"/>
    <col min="6" max="6" width="20" customWidth="1"/>
    <col min="7" max="7" width="11.5" customWidth="1"/>
  </cols>
  <sheetData>
    <row r="1" spans="2:7" ht="25.5" customHeight="1" x14ac:dyDescent="0.25">
      <c r="B1" s="18" t="s">
        <v>316</v>
      </c>
    </row>
    <row r="2" spans="2:7" ht="15" customHeight="1" x14ac:dyDescent="0.2">
      <c r="B2" s="30" t="s">
        <v>10</v>
      </c>
    </row>
    <row r="3" spans="2:7" ht="18" customHeight="1" x14ac:dyDescent="0.2"/>
    <row r="4" spans="2:7" x14ac:dyDescent="0.2">
      <c r="F4" s="3" t="s">
        <v>54</v>
      </c>
    </row>
    <row r="5" spans="2:7" x14ac:dyDescent="0.2">
      <c r="B5" s="40" t="s">
        <v>22</v>
      </c>
      <c r="C5" s="43" t="s">
        <v>23</v>
      </c>
      <c r="D5" s="99" t="s">
        <v>242</v>
      </c>
      <c r="F5" s="116" t="s">
        <v>317</v>
      </c>
      <c r="G5" s="116"/>
    </row>
    <row r="6" spans="2:7" x14ac:dyDescent="0.2">
      <c r="B6" s="8">
        <v>252</v>
      </c>
      <c r="C6" s="8">
        <v>276</v>
      </c>
      <c r="D6" s="8">
        <f>C6-B6</f>
        <v>24</v>
      </c>
      <c r="F6" s="20" t="s">
        <v>46</v>
      </c>
      <c r="G6" s="73">
        <f>AVERAGE(D6:D100)</f>
        <v>49.442105263157892</v>
      </c>
    </row>
    <row r="7" spans="2:7" x14ac:dyDescent="0.2">
      <c r="B7" s="8">
        <v>423</v>
      </c>
      <c r="C7" s="8">
        <v>410</v>
      </c>
      <c r="D7" s="8">
        <f t="shared" ref="D7:D70" si="0">C7-B7</f>
        <v>-13</v>
      </c>
      <c r="F7" s="20" t="s">
        <v>68</v>
      </c>
      <c r="G7" s="74">
        <f>_xlfn.VAR.S(D6:D100)</f>
        <v>879.41948488241894</v>
      </c>
    </row>
    <row r="8" spans="2:7" x14ac:dyDescent="0.2">
      <c r="B8" s="8">
        <v>101</v>
      </c>
      <c r="C8" s="8">
        <v>119</v>
      </c>
      <c r="D8" s="8">
        <f t="shared" si="0"/>
        <v>18</v>
      </c>
      <c r="F8" s="20" t="s">
        <v>69</v>
      </c>
      <c r="G8" s="72">
        <f>_xlfn.STDEV.S(D6:D100)</f>
        <v>29.655007753875548</v>
      </c>
    </row>
    <row r="9" spans="2:7" x14ac:dyDescent="0.2">
      <c r="B9" s="8">
        <v>288</v>
      </c>
      <c r="C9" s="8">
        <v>334</v>
      </c>
      <c r="D9" s="8">
        <f t="shared" si="0"/>
        <v>46</v>
      </c>
    </row>
    <row r="10" spans="2:7" x14ac:dyDescent="0.2">
      <c r="B10" s="8">
        <v>248</v>
      </c>
      <c r="C10" s="8">
        <v>252</v>
      </c>
      <c r="D10" s="8">
        <f t="shared" si="0"/>
        <v>4</v>
      </c>
    </row>
    <row r="11" spans="2:7" x14ac:dyDescent="0.2">
      <c r="B11" s="8">
        <v>145</v>
      </c>
      <c r="C11" s="8">
        <v>209</v>
      </c>
      <c r="D11" s="8">
        <f t="shared" si="0"/>
        <v>64</v>
      </c>
    </row>
    <row r="12" spans="2:7" x14ac:dyDescent="0.2">
      <c r="B12" s="8">
        <v>401</v>
      </c>
      <c r="C12" s="8">
        <v>462</v>
      </c>
      <c r="D12" s="8">
        <f t="shared" si="0"/>
        <v>61</v>
      </c>
    </row>
    <row r="13" spans="2:7" x14ac:dyDescent="0.2">
      <c r="B13" s="8">
        <v>287</v>
      </c>
      <c r="C13" s="8">
        <v>342</v>
      </c>
      <c r="D13" s="8">
        <f t="shared" si="0"/>
        <v>55</v>
      </c>
    </row>
    <row r="14" spans="2:7" x14ac:dyDescent="0.2">
      <c r="B14" s="8">
        <v>275</v>
      </c>
      <c r="C14" s="8">
        <v>347</v>
      </c>
      <c r="D14" s="8">
        <f t="shared" si="0"/>
        <v>72</v>
      </c>
    </row>
    <row r="15" spans="2:7" x14ac:dyDescent="0.2">
      <c r="B15" s="8">
        <v>254</v>
      </c>
      <c r="C15" s="8">
        <v>313</v>
      </c>
      <c r="D15" s="8">
        <f t="shared" si="0"/>
        <v>59</v>
      </c>
    </row>
    <row r="16" spans="2:7" x14ac:dyDescent="0.2">
      <c r="B16" s="8">
        <v>182</v>
      </c>
      <c r="C16" s="8">
        <v>232</v>
      </c>
      <c r="D16" s="8">
        <f t="shared" si="0"/>
        <v>50</v>
      </c>
    </row>
    <row r="17" spans="2:4" x14ac:dyDescent="0.2">
      <c r="B17" s="8">
        <v>117</v>
      </c>
      <c r="C17" s="8">
        <v>163</v>
      </c>
      <c r="D17" s="8">
        <f t="shared" si="0"/>
        <v>46</v>
      </c>
    </row>
    <row r="18" spans="2:4" x14ac:dyDescent="0.2">
      <c r="B18" s="8">
        <v>130</v>
      </c>
      <c r="C18" s="8">
        <v>119</v>
      </c>
      <c r="D18" s="8">
        <f t="shared" si="0"/>
        <v>-11</v>
      </c>
    </row>
    <row r="19" spans="2:4" x14ac:dyDescent="0.2">
      <c r="B19" s="8">
        <v>219</v>
      </c>
      <c r="C19" s="8">
        <v>304</v>
      </c>
      <c r="D19" s="8">
        <f t="shared" si="0"/>
        <v>85</v>
      </c>
    </row>
    <row r="20" spans="2:4" x14ac:dyDescent="0.2">
      <c r="B20" s="8">
        <v>152</v>
      </c>
      <c r="C20" s="8">
        <v>211</v>
      </c>
      <c r="D20" s="8">
        <f t="shared" si="0"/>
        <v>59</v>
      </c>
    </row>
    <row r="21" spans="2:4" x14ac:dyDescent="0.2">
      <c r="B21" s="8">
        <v>228</v>
      </c>
      <c r="C21" s="8">
        <v>286</v>
      </c>
      <c r="D21" s="8">
        <f t="shared" si="0"/>
        <v>58</v>
      </c>
    </row>
    <row r="22" spans="2:4" x14ac:dyDescent="0.2">
      <c r="B22" s="8">
        <v>62</v>
      </c>
      <c r="C22" s="8">
        <v>122</v>
      </c>
      <c r="D22" s="8">
        <f t="shared" si="0"/>
        <v>60</v>
      </c>
    </row>
    <row r="23" spans="2:4" x14ac:dyDescent="0.2">
      <c r="B23" s="8">
        <v>393</v>
      </c>
      <c r="C23" s="8">
        <v>443</v>
      </c>
      <c r="D23" s="8">
        <f t="shared" si="0"/>
        <v>50</v>
      </c>
    </row>
    <row r="24" spans="2:4" x14ac:dyDescent="0.2">
      <c r="B24" s="8">
        <v>277</v>
      </c>
      <c r="C24" s="8">
        <v>366</v>
      </c>
      <c r="D24" s="8">
        <f t="shared" si="0"/>
        <v>89</v>
      </c>
    </row>
    <row r="25" spans="2:4" x14ac:dyDescent="0.2">
      <c r="B25" s="8">
        <v>206</v>
      </c>
      <c r="C25" s="8">
        <v>244</v>
      </c>
      <c r="D25" s="8">
        <f t="shared" si="0"/>
        <v>38</v>
      </c>
    </row>
    <row r="26" spans="2:4" x14ac:dyDescent="0.2">
      <c r="B26" s="8">
        <v>229</v>
      </c>
      <c r="C26" s="8">
        <v>241</v>
      </c>
      <c r="D26" s="8">
        <f t="shared" si="0"/>
        <v>12</v>
      </c>
    </row>
    <row r="27" spans="2:4" x14ac:dyDescent="0.2">
      <c r="B27" s="8">
        <v>182</v>
      </c>
      <c r="C27" s="8">
        <v>237</v>
      </c>
      <c r="D27" s="8">
        <f t="shared" si="0"/>
        <v>55</v>
      </c>
    </row>
    <row r="28" spans="2:4" x14ac:dyDescent="0.2">
      <c r="B28" s="8">
        <v>98</v>
      </c>
      <c r="C28" s="8">
        <v>122</v>
      </c>
      <c r="D28" s="8">
        <f t="shared" si="0"/>
        <v>24</v>
      </c>
    </row>
    <row r="29" spans="2:4" x14ac:dyDescent="0.2">
      <c r="B29" s="8">
        <v>125</v>
      </c>
      <c r="C29" s="8">
        <v>129</v>
      </c>
      <c r="D29" s="8">
        <f t="shared" si="0"/>
        <v>4</v>
      </c>
    </row>
    <row r="30" spans="2:4" x14ac:dyDescent="0.2">
      <c r="B30" s="8">
        <v>164</v>
      </c>
      <c r="C30" s="8">
        <v>236</v>
      </c>
      <c r="D30" s="8">
        <f t="shared" si="0"/>
        <v>72</v>
      </c>
    </row>
    <row r="31" spans="2:4" x14ac:dyDescent="0.2">
      <c r="B31" s="8">
        <v>186</v>
      </c>
      <c r="C31" s="8">
        <v>251</v>
      </c>
      <c r="D31" s="8">
        <f t="shared" si="0"/>
        <v>65</v>
      </c>
    </row>
    <row r="32" spans="2:4" x14ac:dyDescent="0.2">
      <c r="B32" s="8">
        <v>235</v>
      </c>
      <c r="C32" s="8">
        <v>283</v>
      </c>
      <c r="D32" s="8">
        <f t="shared" si="0"/>
        <v>48</v>
      </c>
    </row>
    <row r="33" spans="2:4" x14ac:dyDescent="0.2">
      <c r="B33" s="8">
        <v>184</v>
      </c>
      <c r="C33" s="8">
        <v>225</v>
      </c>
      <c r="D33" s="8">
        <f t="shared" si="0"/>
        <v>41</v>
      </c>
    </row>
    <row r="34" spans="2:4" x14ac:dyDescent="0.2">
      <c r="B34" s="8">
        <v>76</v>
      </c>
      <c r="C34" s="8">
        <v>102</v>
      </c>
      <c r="D34" s="8">
        <f t="shared" si="0"/>
        <v>26</v>
      </c>
    </row>
    <row r="35" spans="2:4" x14ac:dyDescent="0.2">
      <c r="B35" s="8">
        <v>126</v>
      </c>
      <c r="C35" s="8">
        <v>180</v>
      </c>
      <c r="D35" s="8">
        <f t="shared" si="0"/>
        <v>54</v>
      </c>
    </row>
    <row r="36" spans="2:4" x14ac:dyDescent="0.2">
      <c r="B36" s="8">
        <v>183</v>
      </c>
      <c r="C36" s="8">
        <v>247</v>
      </c>
      <c r="D36" s="8">
        <f t="shared" si="0"/>
        <v>64</v>
      </c>
    </row>
    <row r="37" spans="2:4" x14ac:dyDescent="0.2">
      <c r="B37" s="8">
        <v>242</v>
      </c>
      <c r="C37" s="8">
        <v>343</v>
      </c>
      <c r="D37" s="8">
        <f t="shared" si="0"/>
        <v>101</v>
      </c>
    </row>
    <row r="38" spans="2:4" x14ac:dyDescent="0.2">
      <c r="B38" s="8">
        <v>207</v>
      </c>
      <c r="C38" s="8">
        <v>283</v>
      </c>
      <c r="D38" s="8">
        <f t="shared" si="0"/>
        <v>76</v>
      </c>
    </row>
    <row r="39" spans="2:4" x14ac:dyDescent="0.2">
      <c r="B39" s="8">
        <v>181</v>
      </c>
      <c r="C39" s="8">
        <v>253</v>
      </c>
      <c r="D39" s="8">
        <f t="shared" si="0"/>
        <v>72</v>
      </c>
    </row>
    <row r="40" spans="2:4" x14ac:dyDescent="0.2">
      <c r="B40" s="8">
        <v>239</v>
      </c>
      <c r="C40" s="8">
        <v>263</v>
      </c>
      <c r="D40" s="8">
        <f t="shared" si="0"/>
        <v>24</v>
      </c>
    </row>
    <row r="41" spans="2:4" x14ac:dyDescent="0.2">
      <c r="B41" s="8">
        <v>216</v>
      </c>
      <c r="C41" s="8">
        <v>291</v>
      </c>
      <c r="D41" s="8">
        <f t="shared" si="0"/>
        <v>75</v>
      </c>
    </row>
    <row r="42" spans="2:4" x14ac:dyDescent="0.2">
      <c r="B42" s="8">
        <v>289</v>
      </c>
      <c r="C42" s="8">
        <v>368</v>
      </c>
      <c r="D42" s="8">
        <f t="shared" si="0"/>
        <v>79</v>
      </c>
    </row>
    <row r="43" spans="2:4" x14ac:dyDescent="0.2">
      <c r="B43" s="8">
        <v>213</v>
      </c>
      <c r="C43" s="8">
        <v>206</v>
      </c>
      <c r="D43" s="8">
        <f t="shared" si="0"/>
        <v>-7</v>
      </c>
    </row>
    <row r="44" spans="2:4" x14ac:dyDescent="0.2">
      <c r="B44" s="8">
        <v>209</v>
      </c>
      <c r="C44" s="8">
        <v>231</v>
      </c>
      <c r="D44" s="8">
        <f t="shared" si="0"/>
        <v>22</v>
      </c>
    </row>
    <row r="45" spans="2:4" x14ac:dyDescent="0.2">
      <c r="B45" s="8">
        <v>376</v>
      </c>
      <c r="C45" s="8">
        <v>389</v>
      </c>
      <c r="D45" s="8">
        <f t="shared" si="0"/>
        <v>13</v>
      </c>
    </row>
    <row r="46" spans="2:4" x14ac:dyDescent="0.2">
      <c r="B46" s="8">
        <v>332</v>
      </c>
      <c r="C46" s="8">
        <v>396</v>
      </c>
      <c r="D46" s="8">
        <f t="shared" si="0"/>
        <v>64</v>
      </c>
    </row>
    <row r="47" spans="2:4" x14ac:dyDescent="0.2">
      <c r="B47" s="8">
        <v>249</v>
      </c>
      <c r="C47" s="8">
        <v>339</v>
      </c>
      <c r="D47" s="8">
        <f t="shared" si="0"/>
        <v>90</v>
      </c>
    </row>
    <row r="48" spans="2:4" x14ac:dyDescent="0.2">
      <c r="B48" s="8">
        <v>228</v>
      </c>
      <c r="C48" s="8">
        <v>286</v>
      </c>
      <c r="D48" s="8">
        <f t="shared" si="0"/>
        <v>58</v>
      </c>
    </row>
    <row r="49" spans="2:4" x14ac:dyDescent="0.2">
      <c r="B49" s="8">
        <v>124</v>
      </c>
      <c r="C49" s="8">
        <v>146</v>
      </c>
      <c r="D49" s="8">
        <f t="shared" si="0"/>
        <v>22</v>
      </c>
    </row>
    <row r="50" spans="2:4" x14ac:dyDescent="0.2">
      <c r="B50" s="8">
        <v>194</v>
      </c>
      <c r="C50" s="8">
        <v>315</v>
      </c>
      <c r="D50" s="8">
        <f t="shared" si="0"/>
        <v>121</v>
      </c>
    </row>
    <row r="51" spans="2:4" x14ac:dyDescent="0.2">
      <c r="B51" s="8">
        <v>157</v>
      </c>
      <c r="C51" s="8">
        <v>183</v>
      </c>
      <c r="D51" s="8">
        <f t="shared" si="0"/>
        <v>26</v>
      </c>
    </row>
    <row r="52" spans="2:4" x14ac:dyDescent="0.2">
      <c r="B52" s="8">
        <v>402</v>
      </c>
      <c r="C52" s="8">
        <v>481</v>
      </c>
      <c r="D52" s="8">
        <f t="shared" si="0"/>
        <v>79</v>
      </c>
    </row>
    <row r="53" spans="2:4" x14ac:dyDescent="0.2">
      <c r="B53" s="8">
        <v>323</v>
      </c>
      <c r="C53" s="8">
        <v>349</v>
      </c>
      <c r="D53" s="8">
        <f t="shared" si="0"/>
        <v>26</v>
      </c>
    </row>
    <row r="54" spans="2:4" x14ac:dyDescent="0.2">
      <c r="B54" s="8">
        <v>181</v>
      </c>
      <c r="C54" s="8">
        <v>225</v>
      </c>
      <c r="D54" s="8">
        <f t="shared" si="0"/>
        <v>44</v>
      </c>
    </row>
    <row r="55" spans="2:4" x14ac:dyDescent="0.2">
      <c r="B55" s="8">
        <v>157</v>
      </c>
      <c r="C55" s="8">
        <v>217</v>
      </c>
      <c r="D55" s="8">
        <f t="shared" si="0"/>
        <v>60</v>
      </c>
    </row>
    <row r="56" spans="2:4" x14ac:dyDescent="0.2">
      <c r="B56" s="8">
        <v>266</v>
      </c>
      <c r="C56" s="8">
        <v>353</v>
      </c>
      <c r="D56" s="8">
        <f t="shared" si="0"/>
        <v>87</v>
      </c>
    </row>
    <row r="57" spans="2:4" x14ac:dyDescent="0.2">
      <c r="B57" s="8">
        <v>268</v>
      </c>
      <c r="C57" s="8">
        <v>314</v>
      </c>
      <c r="D57" s="8">
        <f t="shared" si="0"/>
        <v>46</v>
      </c>
    </row>
    <row r="58" spans="2:4" x14ac:dyDescent="0.2">
      <c r="B58" s="8">
        <v>167</v>
      </c>
      <c r="C58" s="8">
        <v>247</v>
      </c>
      <c r="D58" s="8">
        <f t="shared" si="0"/>
        <v>80</v>
      </c>
    </row>
    <row r="59" spans="2:4" x14ac:dyDescent="0.2">
      <c r="B59" s="8">
        <v>342</v>
      </c>
      <c r="C59" s="8">
        <v>410</v>
      </c>
      <c r="D59" s="8">
        <f t="shared" si="0"/>
        <v>68</v>
      </c>
    </row>
    <row r="60" spans="2:4" x14ac:dyDescent="0.2">
      <c r="B60" s="8">
        <v>349</v>
      </c>
      <c r="C60" s="8">
        <v>395</v>
      </c>
      <c r="D60" s="8">
        <f t="shared" si="0"/>
        <v>46</v>
      </c>
    </row>
    <row r="61" spans="2:4" x14ac:dyDescent="0.2">
      <c r="B61" s="8">
        <v>340</v>
      </c>
      <c r="C61" s="8">
        <v>416</v>
      </c>
      <c r="D61" s="8">
        <f t="shared" si="0"/>
        <v>76</v>
      </c>
    </row>
    <row r="62" spans="2:4" x14ac:dyDescent="0.2">
      <c r="B62" s="8">
        <v>227</v>
      </c>
      <c r="C62" s="8">
        <v>342</v>
      </c>
      <c r="D62" s="8">
        <f t="shared" si="0"/>
        <v>115</v>
      </c>
    </row>
    <row r="63" spans="2:4" x14ac:dyDescent="0.2">
      <c r="B63" s="8">
        <v>409</v>
      </c>
      <c r="C63" s="8">
        <v>446</v>
      </c>
      <c r="D63" s="8">
        <f t="shared" si="0"/>
        <v>37</v>
      </c>
    </row>
    <row r="64" spans="2:4" x14ac:dyDescent="0.2">
      <c r="B64" s="8">
        <v>400</v>
      </c>
      <c r="C64" s="8">
        <v>477</v>
      </c>
      <c r="D64" s="8">
        <f t="shared" si="0"/>
        <v>77</v>
      </c>
    </row>
    <row r="65" spans="2:4" x14ac:dyDescent="0.2">
      <c r="B65" s="8">
        <v>374</v>
      </c>
      <c r="C65" s="8">
        <v>444</v>
      </c>
      <c r="D65" s="8">
        <f t="shared" si="0"/>
        <v>70</v>
      </c>
    </row>
    <row r="66" spans="2:4" x14ac:dyDescent="0.2">
      <c r="B66" s="8">
        <v>255</v>
      </c>
      <c r="C66" s="8">
        <v>351</v>
      </c>
      <c r="D66" s="8">
        <f t="shared" si="0"/>
        <v>96</v>
      </c>
    </row>
    <row r="67" spans="2:4" x14ac:dyDescent="0.2">
      <c r="B67" s="8">
        <v>146</v>
      </c>
      <c r="C67" s="8">
        <v>165</v>
      </c>
      <c r="D67" s="8">
        <f t="shared" si="0"/>
        <v>19</v>
      </c>
    </row>
    <row r="68" spans="2:4" x14ac:dyDescent="0.2">
      <c r="B68" s="8">
        <v>248</v>
      </c>
      <c r="C68" s="8">
        <v>317</v>
      </c>
      <c r="D68" s="8">
        <f t="shared" si="0"/>
        <v>69</v>
      </c>
    </row>
    <row r="69" spans="2:4" x14ac:dyDescent="0.2">
      <c r="B69" s="8">
        <v>198</v>
      </c>
      <c r="C69" s="8">
        <v>250</v>
      </c>
      <c r="D69" s="8">
        <f t="shared" si="0"/>
        <v>52</v>
      </c>
    </row>
    <row r="70" spans="2:4" x14ac:dyDescent="0.2">
      <c r="B70" s="8">
        <v>210</v>
      </c>
      <c r="C70" s="8">
        <v>217</v>
      </c>
      <c r="D70" s="8">
        <f t="shared" si="0"/>
        <v>7</v>
      </c>
    </row>
    <row r="71" spans="2:4" x14ac:dyDescent="0.2">
      <c r="B71" s="8">
        <v>107</v>
      </c>
      <c r="C71" s="8">
        <v>138</v>
      </c>
      <c r="D71" s="8">
        <f t="shared" ref="D71:D100" si="1">C71-B71</f>
        <v>31</v>
      </c>
    </row>
    <row r="72" spans="2:4" x14ac:dyDescent="0.2">
      <c r="B72" s="8">
        <v>239</v>
      </c>
      <c r="C72" s="8">
        <v>302</v>
      </c>
      <c r="D72" s="8">
        <f t="shared" si="1"/>
        <v>63</v>
      </c>
    </row>
    <row r="73" spans="2:4" x14ac:dyDescent="0.2">
      <c r="B73" s="8">
        <v>287</v>
      </c>
      <c r="C73" s="8">
        <v>311</v>
      </c>
      <c r="D73" s="8">
        <f t="shared" si="1"/>
        <v>24</v>
      </c>
    </row>
    <row r="74" spans="2:4" x14ac:dyDescent="0.2">
      <c r="B74" s="8">
        <v>340</v>
      </c>
      <c r="C74" s="8">
        <v>373</v>
      </c>
      <c r="D74" s="8">
        <f t="shared" si="1"/>
        <v>33</v>
      </c>
    </row>
    <row r="75" spans="2:4" x14ac:dyDescent="0.2">
      <c r="B75" s="8">
        <v>155</v>
      </c>
      <c r="C75" s="8">
        <v>196</v>
      </c>
      <c r="D75" s="8">
        <f t="shared" si="1"/>
        <v>41</v>
      </c>
    </row>
    <row r="76" spans="2:4" x14ac:dyDescent="0.2">
      <c r="B76" s="8">
        <v>263</v>
      </c>
      <c r="C76" s="8">
        <v>306</v>
      </c>
      <c r="D76" s="8">
        <f t="shared" si="1"/>
        <v>43</v>
      </c>
    </row>
    <row r="77" spans="2:4" x14ac:dyDescent="0.2">
      <c r="B77" s="8">
        <v>265</v>
      </c>
      <c r="C77" s="8">
        <v>302</v>
      </c>
      <c r="D77" s="8">
        <f t="shared" si="1"/>
        <v>37</v>
      </c>
    </row>
    <row r="78" spans="2:4" x14ac:dyDescent="0.2">
      <c r="B78" s="8">
        <v>249</v>
      </c>
      <c r="C78" s="8">
        <v>278</v>
      </c>
      <c r="D78" s="8">
        <f t="shared" si="1"/>
        <v>29</v>
      </c>
    </row>
    <row r="79" spans="2:4" x14ac:dyDescent="0.2">
      <c r="B79" s="8">
        <v>377</v>
      </c>
      <c r="C79" s="8">
        <v>429</v>
      </c>
      <c r="D79" s="8">
        <f t="shared" si="1"/>
        <v>52</v>
      </c>
    </row>
    <row r="80" spans="2:4" x14ac:dyDescent="0.2">
      <c r="B80" s="8">
        <v>301</v>
      </c>
      <c r="C80" s="8">
        <v>338</v>
      </c>
      <c r="D80" s="8">
        <f t="shared" si="1"/>
        <v>37</v>
      </c>
    </row>
    <row r="81" spans="2:4" x14ac:dyDescent="0.2">
      <c r="B81" s="8">
        <v>242</v>
      </c>
      <c r="C81" s="8">
        <v>261</v>
      </c>
      <c r="D81" s="8">
        <f t="shared" si="1"/>
        <v>19</v>
      </c>
    </row>
    <row r="82" spans="2:4" x14ac:dyDescent="0.2">
      <c r="B82" s="8">
        <v>211</v>
      </c>
      <c r="C82" s="8">
        <v>256</v>
      </c>
      <c r="D82" s="8">
        <f t="shared" si="1"/>
        <v>45</v>
      </c>
    </row>
    <row r="83" spans="2:4" x14ac:dyDescent="0.2">
      <c r="B83" s="8">
        <v>160</v>
      </c>
      <c r="C83" s="8">
        <v>183</v>
      </c>
      <c r="D83" s="8">
        <f t="shared" si="1"/>
        <v>23</v>
      </c>
    </row>
    <row r="84" spans="2:4" x14ac:dyDescent="0.2">
      <c r="B84" s="8">
        <v>218</v>
      </c>
      <c r="C84" s="8">
        <v>274</v>
      </c>
      <c r="D84" s="8">
        <f t="shared" si="1"/>
        <v>56</v>
      </c>
    </row>
    <row r="85" spans="2:4" x14ac:dyDescent="0.2">
      <c r="B85" s="8">
        <v>133</v>
      </c>
      <c r="C85" s="8">
        <v>182</v>
      </c>
      <c r="D85" s="8">
        <f t="shared" si="1"/>
        <v>49</v>
      </c>
    </row>
    <row r="86" spans="2:4" x14ac:dyDescent="0.2">
      <c r="B86" s="8">
        <v>122</v>
      </c>
      <c r="C86" s="8">
        <v>183</v>
      </c>
      <c r="D86" s="8">
        <f t="shared" si="1"/>
        <v>61</v>
      </c>
    </row>
    <row r="87" spans="2:4" x14ac:dyDescent="0.2">
      <c r="B87" s="8">
        <v>236</v>
      </c>
      <c r="C87" s="8">
        <v>309</v>
      </c>
      <c r="D87" s="8">
        <f t="shared" si="1"/>
        <v>73</v>
      </c>
    </row>
    <row r="88" spans="2:4" x14ac:dyDescent="0.2">
      <c r="B88" s="8">
        <v>143</v>
      </c>
      <c r="C88" s="8">
        <v>178</v>
      </c>
      <c r="D88" s="8">
        <f t="shared" si="1"/>
        <v>35</v>
      </c>
    </row>
    <row r="89" spans="2:4" x14ac:dyDescent="0.2">
      <c r="B89" s="8">
        <v>354</v>
      </c>
      <c r="C89" s="8">
        <v>458</v>
      </c>
      <c r="D89" s="8">
        <f t="shared" si="1"/>
        <v>104</v>
      </c>
    </row>
    <row r="90" spans="2:4" x14ac:dyDescent="0.2">
      <c r="B90" s="8">
        <v>214</v>
      </c>
      <c r="C90" s="8">
        <v>234</v>
      </c>
      <c r="D90" s="8">
        <f t="shared" si="1"/>
        <v>20</v>
      </c>
    </row>
    <row r="91" spans="2:4" x14ac:dyDescent="0.2">
      <c r="B91" s="8">
        <v>225</v>
      </c>
      <c r="C91" s="8">
        <v>306</v>
      </c>
      <c r="D91" s="8">
        <f t="shared" si="1"/>
        <v>81</v>
      </c>
    </row>
    <row r="92" spans="2:4" x14ac:dyDescent="0.2">
      <c r="B92" s="8">
        <v>261</v>
      </c>
      <c r="C92" s="8">
        <v>400</v>
      </c>
      <c r="D92" s="8">
        <f t="shared" si="1"/>
        <v>139</v>
      </c>
    </row>
    <row r="93" spans="2:4" x14ac:dyDescent="0.2">
      <c r="B93" s="8">
        <v>277</v>
      </c>
      <c r="C93" s="8">
        <v>337</v>
      </c>
      <c r="D93" s="8">
        <f t="shared" si="1"/>
        <v>60</v>
      </c>
    </row>
    <row r="94" spans="2:4" x14ac:dyDescent="0.2">
      <c r="B94" s="8">
        <v>282</v>
      </c>
      <c r="C94" s="8">
        <v>325</v>
      </c>
      <c r="D94" s="8">
        <f t="shared" si="1"/>
        <v>43</v>
      </c>
    </row>
    <row r="95" spans="2:4" x14ac:dyDescent="0.2">
      <c r="B95" s="8">
        <v>322</v>
      </c>
      <c r="C95" s="8">
        <v>329</v>
      </c>
      <c r="D95" s="8">
        <f t="shared" si="1"/>
        <v>7</v>
      </c>
    </row>
    <row r="96" spans="2:4" x14ac:dyDescent="0.2">
      <c r="B96" s="8">
        <v>326</v>
      </c>
      <c r="C96" s="8">
        <v>369</v>
      </c>
      <c r="D96" s="8">
        <f t="shared" si="1"/>
        <v>43</v>
      </c>
    </row>
    <row r="97" spans="2:4" x14ac:dyDescent="0.2">
      <c r="B97" s="8">
        <v>421</v>
      </c>
      <c r="C97" s="8">
        <v>457</v>
      </c>
      <c r="D97" s="8">
        <f t="shared" si="1"/>
        <v>36</v>
      </c>
    </row>
    <row r="98" spans="2:4" x14ac:dyDescent="0.2">
      <c r="B98" s="8">
        <v>368</v>
      </c>
      <c r="C98" s="8">
        <v>421</v>
      </c>
      <c r="D98" s="8">
        <f t="shared" si="1"/>
        <v>53</v>
      </c>
    </row>
    <row r="99" spans="2:4" x14ac:dyDescent="0.2">
      <c r="B99" s="8">
        <v>279</v>
      </c>
      <c r="C99" s="8">
        <v>282</v>
      </c>
      <c r="D99" s="8">
        <f t="shared" si="1"/>
        <v>3</v>
      </c>
    </row>
    <row r="100" spans="2:4" x14ac:dyDescent="0.2">
      <c r="B100" s="8">
        <v>268</v>
      </c>
      <c r="C100" s="8">
        <v>256</v>
      </c>
      <c r="D100" s="8">
        <f t="shared" si="1"/>
        <v>-12</v>
      </c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2946-8151-47CF-AE1C-A50A92F6E483}">
  <sheetPr codeName="Sheet14">
    <tabColor theme="4" tint="0.79998168889431442"/>
  </sheetPr>
  <dimension ref="B1:G100"/>
  <sheetViews>
    <sheetView showGridLines="0" workbookViewId="0">
      <selection activeCell="G9" sqref="G9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3" max="3" width="19.83203125" bestFit="1" customWidth="1"/>
    <col min="5" max="5" width="22.6640625" bestFit="1" customWidth="1"/>
    <col min="6" max="6" width="12" bestFit="1" customWidth="1"/>
    <col min="7" max="7" width="13.5" bestFit="1" customWidth="1"/>
  </cols>
  <sheetData>
    <row r="1" spans="2:7" ht="25.5" customHeight="1" x14ac:dyDescent="0.25">
      <c r="B1" s="18" t="s">
        <v>125</v>
      </c>
    </row>
    <row r="2" spans="2:7" ht="15" customHeight="1" x14ac:dyDescent="0.2">
      <c r="B2" s="30" t="s">
        <v>81</v>
      </c>
    </row>
    <row r="3" spans="2:7" ht="18" customHeight="1" x14ac:dyDescent="0.2"/>
    <row r="4" spans="2:7" x14ac:dyDescent="0.2">
      <c r="E4" s="3" t="s">
        <v>54</v>
      </c>
    </row>
    <row r="5" spans="2:7" x14ac:dyDescent="0.2">
      <c r="B5" s="7" t="s">
        <v>77</v>
      </c>
      <c r="C5" s="7" t="s">
        <v>23</v>
      </c>
      <c r="E5" s="116" t="s">
        <v>80</v>
      </c>
      <c r="F5" s="116"/>
      <c r="G5" s="116"/>
    </row>
    <row r="6" spans="2:7" x14ac:dyDescent="0.2">
      <c r="B6" s="8">
        <v>90.2</v>
      </c>
      <c r="C6" s="8">
        <v>276</v>
      </c>
      <c r="F6" s="17" t="s">
        <v>77</v>
      </c>
      <c r="G6" s="17" t="s">
        <v>79</v>
      </c>
    </row>
    <row r="7" spans="2:7" x14ac:dyDescent="0.2">
      <c r="B7" s="8">
        <v>92.8</v>
      </c>
      <c r="C7" s="8">
        <v>410</v>
      </c>
      <c r="E7" s="20" t="s">
        <v>69</v>
      </c>
      <c r="F7" s="75">
        <f>_xlfn.STDEV.S(B6:B100)</f>
        <v>6.1707800411122609</v>
      </c>
      <c r="G7" s="75">
        <f>_xlfn.STDEV.S(C6:C100)</f>
        <v>93.521048765238149</v>
      </c>
    </row>
    <row r="8" spans="2:7" x14ac:dyDescent="0.2">
      <c r="B8" s="8">
        <v>68.7</v>
      </c>
      <c r="C8" s="8">
        <v>119</v>
      </c>
      <c r="E8" s="20" t="s">
        <v>46</v>
      </c>
      <c r="F8" s="76">
        <f>AVERAGE(B6:B100)</f>
        <v>80.169473684210516</v>
      </c>
      <c r="G8" s="76">
        <f>AVERAGE(C6:C100)</f>
        <v>289.34736842105264</v>
      </c>
    </row>
    <row r="9" spans="2:7" x14ac:dyDescent="0.2">
      <c r="B9" s="8">
        <v>80.7</v>
      </c>
      <c r="C9" s="8">
        <v>334</v>
      </c>
      <c r="E9" s="20" t="s">
        <v>78</v>
      </c>
      <c r="F9" s="70">
        <f>F7/F8</f>
        <v>7.6971692060984601E-2</v>
      </c>
      <c r="G9" s="70">
        <f>G7/G8</f>
        <v>0.32321375264470403</v>
      </c>
    </row>
    <row r="10" spans="2:7" x14ac:dyDescent="0.2">
      <c r="B10" s="8">
        <v>74.900000000000006</v>
      </c>
      <c r="C10" s="8">
        <v>252</v>
      </c>
      <c r="E10" s="20"/>
      <c r="F10" s="1"/>
      <c r="G10" s="1"/>
    </row>
    <row r="11" spans="2:7" x14ac:dyDescent="0.2">
      <c r="B11" s="8">
        <v>80.7</v>
      </c>
      <c r="C11" s="8">
        <v>209</v>
      </c>
      <c r="E11" s="20"/>
      <c r="F11" s="1"/>
      <c r="G11" s="1"/>
    </row>
    <row r="12" spans="2:7" x14ac:dyDescent="0.2">
      <c r="B12" s="8">
        <v>83.3</v>
      </c>
      <c r="C12" s="8">
        <v>462</v>
      </c>
      <c r="E12" s="20"/>
      <c r="F12" s="1"/>
      <c r="G12" s="1"/>
    </row>
    <row r="13" spans="2:7" x14ac:dyDescent="0.2">
      <c r="B13" s="8">
        <v>88.7</v>
      </c>
      <c r="C13" s="8">
        <v>342</v>
      </c>
      <c r="E13" s="20"/>
    </row>
    <row r="14" spans="2:7" x14ac:dyDescent="0.2">
      <c r="B14" s="8">
        <v>75.400000000000006</v>
      </c>
      <c r="C14" s="8">
        <v>347</v>
      </c>
    </row>
    <row r="15" spans="2:7" x14ac:dyDescent="0.2">
      <c r="B15" s="8">
        <v>82.1</v>
      </c>
      <c r="C15" s="8">
        <v>313</v>
      </c>
    </row>
    <row r="16" spans="2:7" x14ac:dyDescent="0.2">
      <c r="B16" s="8">
        <v>87.5</v>
      </c>
      <c r="C16" s="8">
        <v>232</v>
      </c>
    </row>
    <row r="17" spans="2:3" x14ac:dyDescent="0.2">
      <c r="B17" s="8">
        <v>66.900000000000006</v>
      </c>
      <c r="C17" s="8">
        <v>163</v>
      </c>
    </row>
    <row r="18" spans="2:3" x14ac:dyDescent="0.2">
      <c r="B18" s="8">
        <v>71.3</v>
      </c>
      <c r="C18" s="8">
        <v>119</v>
      </c>
    </row>
    <row r="19" spans="2:3" x14ac:dyDescent="0.2">
      <c r="B19" s="8">
        <v>76.8</v>
      </c>
      <c r="C19" s="8">
        <v>304</v>
      </c>
    </row>
    <row r="20" spans="2:3" x14ac:dyDescent="0.2">
      <c r="B20" s="8">
        <v>72.3</v>
      </c>
      <c r="C20" s="8">
        <v>211</v>
      </c>
    </row>
    <row r="21" spans="2:3" x14ac:dyDescent="0.2">
      <c r="B21" s="8">
        <v>72.400000000000006</v>
      </c>
      <c r="C21" s="8">
        <v>286</v>
      </c>
    </row>
    <row r="22" spans="2:3" x14ac:dyDescent="0.2">
      <c r="B22" s="8">
        <v>72</v>
      </c>
      <c r="C22" s="8">
        <v>122</v>
      </c>
    </row>
    <row r="23" spans="2:3" x14ac:dyDescent="0.2">
      <c r="B23" s="8">
        <v>81</v>
      </c>
      <c r="C23" s="8">
        <v>443</v>
      </c>
    </row>
    <row r="24" spans="2:3" x14ac:dyDescent="0.2">
      <c r="B24" s="8">
        <v>96.1</v>
      </c>
      <c r="C24" s="8">
        <v>366</v>
      </c>
    </row>
    <row r="25" spans="2:3" x14ac:dyDescent="0.2">
      <c r="B25" s="8">
        <v>76.7</v>
      </c>
      <c r="C25" s="8">
        <v>244</v>
      </c>
    </row>
    <row r="26" spans="2:3" x14ac:dyDescent="0.2">
      <c r="B26" s="8">
        <v>80.3</v>
      </c>
      <c r="C26" s="8">
        <v>241</v>
      </c>
    </row>
    <row r="27" spans="2:3" x14ac:dyDescent="0.2">
      <c r="B27" s="8">
        <v>77.8</v>
      </c>
      <c r="C27" s="8">
        <v>237</v>
      </c>
    </row>
    <row r="28" spans="2:3" x14ac:dyDescent="0.2">
      <c r="B28" s="8">
        <v>62.6</v>
      </c>
      <c r="C28" s="8">
        <v>122</v>
      </c>
    </row>
    <row r="29" spans="2:3" x14ac:dyDescent="0.2">
      <c r="B29" s="8">
        <v>80.2</v>
      </c>
      <c r="C29" s="8">
        <v>129</v>
      </c>
    </row>
    <row r="30" spans="2:3" x14ac:dyDescent="0.2">
      <c r="B30" s="8">
        <v>79.099999999999994</v>
      </c>
      <c r="C30" s="8">
        <v>236</v>
      </c>
    </row>
    <row r="31" spans="2:3" x14ac:dyDescent="0.2">
      <c r="B31" s="8">
        <v>77.8</v>
      </c>
      <c r="C31" s="8">
        <v>251</v>
      </c>
    </row>
    <row r="32" spans="2:3" x14ac:dyDescent="0.2">
      <c r="B32" s="8">
        <v>75.099999999999994</v>
      </c>
      <c r="C32" s="8">
        <v>283</v>
      </c>
    </row>
    <row r="33" spans="2:3" x14ac:dyDescent="0.2">
      <c r="B33" s="8">
        <v>82.2</v>
      </c>
      <c r="C33" s="8">
        <v>225</v>
      </c>
    </row>
    <row r="34" spans="2:3" x14ac:dyDescent="0.2">
      <c r="B34" s="8">
        <v>70.5</v>
      </c>
      <c r="C34" s="8">
        <v>102</v>
      </c>
    </row>
    <row r="35" spans="2:3" x14ac:dyDescent="0.2">
      <c r="B35" s="8">
        <v>70.8</v>
      </c>
      <c r="C35" s="8">
        <v>180</v>
      </c>
    </row>
    <row r="36" spans="2:3" x14ac:dyDescent="0.2">
      <c r="B36" s="8">
        <v>87.5</v>
      </c>
      <c r="C36" s="8">
        <v>247</v>
      </c>
    </row>
    <row r="37" spans="2:3" x14ac:dyDescent="0.2">
      <c r="B37" s="8">
        <v>79.5</v>
      </c>
      <c r="C37" s="8">
        <v>343</v>
      </c>
    </row>
    <row r="38" spans="2:3" x14ac:dyDescent="0.2">
      <c r="B38" s="8">
        <v>80.8</v>
      </c>
      <c r="C38" s="8">
        <v>283</v>
      </c>
    </row>
    <row r="39" spans="2:3" x14ac:dyDescent="0.2">
      <c r="B39" s="8">
        <v>79.599999999999994</v>
      </c>
      <c r="C39" s="8">
        <v>253</v>
      </c>
    </row>
    <row r="40" spans="2:3" x14ac:dyDescent="0.2">
      <c r="B40" s="8">
        <v>88.9</v>
      </c>
      <c r="C40" s="8">
        <v>263</v>
      </c>
    </row>
    <row r="41" spans="2:3" x14ac:dyDescent="0.2">
      <c r="B41" s="8">
        <v>85.9</v>
      </c>
      <c r="C41" s="8">
        <v>291</v>
      </c>
    </row>
    <row r="42" spans="2:3" x14ac:dyDescent="0.2">
      <c r="B42" s="8">
        <v>82.3</v>
      </c>
      <c r="C42" s="8">
        <v>368</v>
      </c>
    </row>
    <row r="43" spans="2:3" x14ac:dyDescent="0.2">
      <c r="B43" s="8">
        <v>76.7</v>
      </c>
      <c r="C43" s="8">
        <v>206</v>
      </c>
    </row>
    <row r="44" spans="2:3" x14ac:dyDescent="0.2">
      <c r="B44" s="8">
        <v>79.900000000000006</v>
      </c>
      <c r="C44" s="8">
        <v>231</v>
      </c>
    </row>
    <row r="45" spans="2:3" x14ac:dyDescent="0.2">
      <c r="B45" s="8">
        <v>86.2</v>
      </c>
      <c r="C45" s="8">
        <v>389</v>
      </c>
    </row>
    <row r="46" spans="2:3" x14ac:dyDescent="0.2">
      <c r="B46" s="8">
        <v>79.2</v>
      </c>
      <c r="C46" s="8">
        <v>396</v>
      </c>
    </row>
    <row r="47" spans="2:3" x14ac:dyDescent="0.2">
      <c r="B47" s="8">
        <v>83.4</v>
      </c>
      <c r="C47" s="8">
        <v>339</v>
      </c>
    </row>
    <row r="48" spans="2:3" x14ac:dyDescent="0.2">
      <c r="B48" s="8">
        <v>85.2</v>
      </c>
      <c r="C48" s="8">
        <v>286</v>
      </c>
    </row>
    <row r="49" spans="2:3" x14ac:dyDescent="0.2">
      <c r="B49" s="8">
        <v>77.8</v>
      </c>
      <c r="C49" s="8">
        <v>146</v>
      </c>
    </row>
    <row r="50" spans="2:3" x14ac:dyDescent="0.2">
      <c r="B50" s="8">
        <v>80.2</v>
      </c>
      <c r="C50" s="8">
        <v>315</v>
      </c>
    </row>
    <row r="51" spans="2:3" x14ac:dyDescent="0.2">
      <c r="B51" s="8">
        <v>71</v>
      </c>
      <c r="C51" s="8">
        <v>183</v>
      </c>
    </row>
    <row r="52" spans="2:3" x14ac:dyDescent="0.2">
      <c r="B52" s="8">
        <v>87.2</v>
      </c>
      <c r="C52" s="8">
        <v>481</v>
      </c>
    </row>
    <row r="53" spans="2:3" x14ac:dyDescent="0.2">
      <c r="B53" s="8">
        <v>82.9</v>
      </c>
      <c r="C53" s="8">
        <v>349</v>
      </c>
    </row>
    <row r="54" spans="2:3" x14ac:dyDescent="0.2">
      <c r="B54" s="8">
        <v>73.5</v>
      </c>
      <c r="C54" s="8">
        <v>225</v>
      </c>
    </row>
    <row r="55" spans="2:3" x14ac:dyDescent="0.2">
      <c r="B55" s="8">
        <v>74.599999999999994</v>
      </c>
      <c r="C55" s="8">
        <v>217</v>
      </c>
    </row>
    <row r="56" spans="2:3" x14ac:dyDescent="0.2">
      <c r="B56" s="8">
        <v>75.099999999999994</v>
      </c>
      <c r="C56" s="8">
        <v>353</v>
      </c>
    </row>
    <row r="57" spans="2:3" x14ac:dyDescent="0.2">
      <c r="B57" s="8">
        <v>85.1</v>
      </c>
      <c r="C57" s="8">
        <v>314</v>
      </c>
    </row>
    <row r="58" spans="2:3" x14ac:dyDescent="0.2">
      <c r="B58" s="8">
        <v>74.900000000000006</v>
      </c>
      <c r="C58" s="8">
        <v>247</v>
      </c>
    </row>
    <row r="59" spans="2:3" x14ac:dyDescent="0.2">
      <c r="B59" s="8">
        <v>84.6</v>
      </c>
      <c r="C59" s="8">
        <v>410</v>
      </c>
    </row>
    <row r="60" spans="2:3" x14ac:dyDescent="0.2">
      <c r="B60" s="8">
        <v>81.7</v>
      </c>
      <c r="C60" s="8">
        <v>395</v>
      </c>
    </row>
    <row r="61" spans="2:3" x14ac:dyDescent="0.2">
      <c r="B61" s="8">
        <v>81.400000000000006</v>
      </c>
      <c r="C61" s="8">
        <v>416</v>
      </c>
    </row>
    <row r="62" spans="2:3" x14ac:dyDescent="0.2">
      <c r="B62" s="8">
        <v>83.8</v>
      </c>
      <c r="C62" s="8">
        <v>342</v>
      </c>
    </row>
    <row r="63" spans="2:3" x14ac:dyDescent="0.2">
      <c r="B63" s="8">
        <v>88.5</v>
      </c>
      <c r="C63" s="8">
        <v>446</v>
      </c>
    </row>
    <row r="64" spans="2:3" x14ac:dyDescent="0.2">
      <c r="B64" s="8">
        <v>84.9</v>
      </c>
      <c r="C64" s="8">
        <v>477</v>
      </c>
    </row>
    <row r="65" spans="2:3" x14ac:dyDescent="0.2">
      <c r="B65" s="8">
        <v>84.3</v>
      </c>
      <c r="C65" s="8">
        <v>444</v>
      </c>
    </row>
    <row r="66" spans="2:3" x14ac:dyDescent="0.2">
      <c r="B66" s="8">
        <v>78.2</v>
      </c>
      <c r="C66" s="8">
        <v>351</v>
      </c>
    </row>
    <row r="67" spans="2:3" x14ac:dyDescent="0.2">
      <c r="B67" s="8">
        <v>80</v>
      </c>
      <c r="C67" s="8">
        <v>165</v>
      </c>
    </row>
    <row r="68" spans="2:3" x14ac:dyDescent="0.2">
      <c r="B68" s="8">
        <v>74.8</v>
      </c>
      <c r="C68" s="8">
        <v>317</v>
      </c>
    </row>
    <row r="69" spans="2:3" x14ac:dyDescent="0.2">
      <c r="B69" s="8">
        <v>78.5</v>
      </c>
      <c r="C69" s="8">
        <v>250</v>
      </c>
    </row>
    <row r="70" spans="2:3" x14ac:dyDescent="0.2">
      <c r="B70" s="8">
        <v>71.8</v>
      </c>
      <c r="C70" s="8">
        <v>217</v>
      </c>
    </row>
    <row r="71" spans="2:3" x14ac:dyDescent="0.2">
      <c r="B71" s="8">
        <v>69.900000000000006</v>
      </c>
      <c r="C71" s="8">
        <v>138</v>
      </c>
    </row>
    <row r="72" spans="2:3" x14ac:dyDescent="0.2">
      <c r="B72" s="8">
        <v>82.7</v>
      </c>
      <c r="C72" s="8">
        <v>302</v>
      </c>
    </row>
    <row r="73" spans="2:3" x14ac:dyDescent="0.2">
      <c r="B73" s="8">
        <v>74</v>
      </c>
      <c r="C73" s="8">
        <v>311</v>
      </c>
    </row>
    <row r="74" spans="2:3" x14ac:dyDescent="0.2">
      <c r="B74" s="8">
        <v>84</v>
      </c>
      <c r="C74" s="8">
        <v>373</v>
      </c>
    </row>
    <row r="75" spans="2:3" x14ac:dyDescent="0.2">
      <c r="B75" s="8">
        <v>84.7</v>
      </c>
      <c r="C75" s="8">
        <v>196</v>
      </c>
    </row>
    <row r="76" spans="2:3" x14ac:dyDescent="0.2">
      <c r="B76" s="8">
        <v>78.2</v>
      </c>
      <c r="C76" s="8">
        <v>306</v>
      </c>
    </row>
    <row r="77" spans="2:3" x14ac:dyDescent="0.2">
      <c r="B77" s="8">
        <v>85</v>
      </c>
      <c r="C77" s="8">
        <v>302</v>
      </c>
    </row>
    <row r="78" spans="2:3" x14ac:dyDescent="0.2">
      <c r="B78" s="8">
        <v>80.099999999999994</v>
      </c>
      <c r="C78" s="8">
        <v>278</v>
      </c>
    </row>
    <row r="79" spans="2:3" x14ac:dyDescent="0.2">
      <c r="B79" s="8">
        <v>85.3</v>
      </c>
      <c r="C79" s="8">
        <v>429</v>
      </c>
    </row>
    <row r="80" spans="2:3" x14ac:dyDescent="0.2">
      <c r="B80" s="8">
        <v>79.7</v>
      </c>
      <c r="C80" s="8">
        <v>338</v>
      </c>
    </row>
    <row r="81" spans="2:3" x14ac:dyDescent="0.2">
      <c r="B81" s="8">
        <v>79.599999999999994</v>
      </c>
      <c r="C81" s="8">
        <v>261</v>
      </c>
    </row>
    <row r="82" spans="2:3" x14ac:dyDescent="0.2">
      <c r="B82" s="8">
        <v>78.900000000000006</v>
      </c>
      <c r="C82" s="8">
        <v>256</v>
      </c>
    </row>
    <row r="83" spans="2:3" x14ac:dyDescent="0.2">
      <c r="B83" s="8">
        <v>78.5</v>
      </c>
      <c r="C83" s="8">
        <v>183</v>
      </c>
    </row>
    <row r="84" spans="2:3" x14ac:dyDescent="0.2">
      <c r="B84" s="8">
        <v>72</v>
      </c>
      <c r="C84" s="8">
        <v>274</v>
      </c>
    </row>
    <row r="85" spans="2:3" x14ac:dyDescent="0.2">
      <c r="B85" s="8">
        <v>74.2</v>
      </c>
      <c r="C85" s="8">
        <v>182</v>
      </c>
    </row>
    <row r="86" spans="2:3" x14ac:dyDescent="0.2">
      <c r="B86" s="8">
        <v>71.7</v>
      </c>
      <c r="C86" s="8">
        <v>183</v>
      </c>
    </row>
    <row r="87" spans="2:3" x14ac:dyDescent="0.2">
      <c r="B87" s="8">
        <v>80.7</v>
      </c>
      <c r="C87" s="8">
        <v>309</v>
      </c>
    </row>
    <row r="88" spans="2:3" x14ac:dyDescent="0.2">
      <c r="B88" s="8">
        <v>84.1</v>
      </c>
      <c r="C88" s="8">
        <v>178</v>
      </c>
    </row>
    <row r="89" spans="2:3" x14ac:dyDescent="0.2">
      <c r="B89" s="8">
        <v>87.4</v>
      </c>
      <c r="C89" s="8">
        <v>458</v>
      </c>
    </row>
    <row r="90" spans="2:3" x14ac:dyDescent="0.2">
      <c r="B90" s="8">
        <v>77.400000000000006</v>
      </c>
      <c r="C90" s="8">
        <v>234</v>
      </c>
    </row>
    <row r="91" spans="2:3" x14ac:dyDescent="0.2">
      <c r="B91" s="8">
        <v>84.7</v>
      </c>
      <c r="C91" s="8">
        <v>306</v>
      </c>
    </row>
    <row r="92" spans="2:3" x14ac:dyDescent="0.2">
      <c r="B92" s="8">
        <v>78.8</v>
      </c>
      <c r="C92" s="8">
        <v>400</v>
      </c>
    </row>
    <row r="93" spans="2:3" x14ac:dyDescent="0.2">
      <c r="B93" s="8">
        <v>92.7</v>
      </c>
      <c r="C93" s="8">
        <v>337</v>
      </c>
    </row>
    <row r="94" spans="2:3" x14ac:dyDescent="0.2">
      <c r="B94" s="8">
        <v>88.8</v>
      </c>
      <c r="C94" s="8">
        <v>325</v>
      </c>
    </row>
    <row r="95" spans="2:3" x14ac:dyDescent="0.2">
      <c r="B95" s="8">
        <v>86.6</v>
      </c>
      <c r="C95" s="8">
        <v>329</v>
      </c>
    </row>
    <row r="96" spans="2:3" x14ac:dyDescent="0.2">
      <c r="B96" s="8">
        <v>77.900000000000006</v>
      </c>
      <c r="C96" s="8">
        <v>369</v>
      </c>
    </row>
    <row r="97" spans="2:3" x14ac:dyDescent="0.2">
      <c r="B97" s="8">
        <v>86.1</v>
      </c>
      <c r="C97" s="8">
        <v>457</v>
      </c>
    </row>
    <row r="98" spans="2:3" x14ac:dyDescent="0.2">
      <c r="B98" s="8">
        <v>89.9</v>
      </c>
      <c r="C98" s="8">
        <v>421</v>
      </c>
    </row>
    <row r="99" spans="2:3" x14ac:dyDescent="0.2">
      <c r="B99" s="8">
        <v>83.1</v>
      </c>
      <c r="C99" s="8">
        <v>282</v>
      </c>
    </row>
    <row r="100" spans="2:3" x14ac:dyDescent="0.2">
      <c r="B100" s="8">
        <v>82.6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B637-5548-4EAF-A75A-31CBB469A7F0}">
  <sheetPr codeName="Sheet15">
    <tabColor theme="4" tint="0.59999389629810485"/>
  </sheetPr>
  <dimension ref="B1:J100"/>
  <sheetViews>
    <sheetView showGridLines="0" workbookViewId="0">
      <selection activeCell="G42" sqref="G42"/>
    </sheetView>
  </sheetViews>
  <sheetFormatPr baseColWidth="10" defaultColWidth="8.83203125" defaultRowHeight="15" x14ac:dyDescent="0.2"/>
  <cols>
    <col min="1" max="1" width="2.83203125" customWidth="1"/>
    <col min="2" max="2" width="17.5" bestFit="1" customWidth="1"/>
    <col min="3" max="3" width="10.6640625" bestFit="1" customWidth="1"/>
    <col min="5" max="5" width="14.33203125" customWidth="1"/>
    <col min="6" max="7" width="12.83203125" customWidth="1"/>
  </cols>
  <sheetData>
    <row r="1" spans="2:10" ht="25.5" customHeight="1" x14ac:dyDescent="0.25">
      <c r="B1" s="18" t="s">
        <v>126</v>
      </c>
    </row>
    <row r="2" spans="2:10" ht="15" customHeight="1" x14ac:dyDescent="0.2">
      <c r="B2" s="30" t="s">
        <v>289</v>
      </c>
    </row>
    <row r="3" spans="2:10" ht="18" customHeight="1" x14ac:dyDescent="0.2"/>
    <row r="4" spans="2:10" x14ac:dyDescent="0.2">
      <c r="E4" s="3" t="s">
        <v>53</v>
      </c>
    </row>
    <row r="5" spans="2:10" x14ac:dyDescent="0.2">
      <c r="B5" s="7" t="s">
        <v>36</v>
      </c>
      <c r="C5" s="7" t="s">
        <v>77</v>
      </c>
      <c r="E5" s="117" t="s">
        <v>60</v>
      </c>
      <c r="F5" s="117"/>
      <c r="G5" s="117"/>
    </row>
    <row r="6" spans="2:10" x14ac:dyDescent="0.2">
      <c r="B6" s="8" t="s">
        <v>24</v>
      </c>
      <c r="C6" s="8">
        <v>90.2</v>
      </c>
      <c r="F6" s="17" t="s">
        <v>24</v>
      </c>
      <c r="G6" s="17" t="s">
        <v>26</v>
      </c>
    </row>
    <row r="7" spans="2:10" x14ac:dyDescent="0.2">
      <c r="B7" s="8" t="s">
        <v>24</v>
      </c>
      <c r="C7" s="8">
        <v>92.8</v>
      </c>
      <c r="E7" s="20" t="s">
        <v>18</v>
      </c>
      <c r="F7" s="71">
        <f>COUNTIF(B6:B100,F6)</f>
        <v>36</v>
      </c>
      <c r="G7" s="71">
        <f>COUNTIF(B6:B100,G6)</f>
        <v>59</v>
      </c>
    </row>
    <row r="8" spans="2:10" x14ac:dyDescent="0.2">
      <c r="B8" s="8" t="s">
        <v>26</v>
      </c>
      <c r="C8" s="8">
        <v>68.7</v>
      </c>
      <c r="E8" s="20" t="s">
        <v>63</v>
      </c>
      <c r="F8" s="72">
        <f>_xlfn.MAXIFS($C$6:$C$100,$B$6:$B$100,F6)-_xlfn.MINIFS($C$6:$C$100,$B$6:$B$100,F6)</f>
        <v>25.099999999999994</v>
      </c>
      <c r="G8" s="72">
        <f>_xlfn.MAXIFS($C$6:$C$100,$B$6:$B$100,G6)-_xlfn.MINIFS($C$6:$C$100,$B$6:$B$100,G6)</f>
        <v>27.300000000000004</v>
      </c>
    </row>
    <row r="9" spans="2:10" x14ac:dyDescent="0.2">
      <c r="B9" s="8" t="s">
        <v>26</v>
      </c>
      <c r="C9" s="8">
        <v>80.7</v>
      </c>
      <c r="E9" s="20" t="s">
        <v>67</v>
      </c>
      <c r="F9" s="72" cm="1">
        <f t="array" ref="F9">_xlfn.QUARTILE.INC(IF($B$6:$B$100=F6,$C$6:$C$100),3)-_xlfn.QUARTILE.INC(IF($B$6:$B$100=F6,$C$6:$C$100),1)</f>
        <v>10.424999999999997</v>
      </c>
      <c r="G9" s="72" cm="1">
        <f t="array" ref="G9">_xlfn.QUARTILE.INC(IF($B$6:$B$100=G6,$C$6:$C$100),3)-_xlfn.QUARTILE.INC(IF($B$6:$B$100=G6,$C$6:$C$100),1)</f>
        <v>8.3999999999999773</v>
      </c>
      <c r="J9" s="107"/>
    </row>
    <row r="10" spans="2:10" x14ac:dyDescent="0.2">
      <c r="B10" s="8" t="s">
        <v>26</v>
      </c>
      <c r="C10" s="8">
        <v>74.900000000000006</v>
      </c>
      <c r="E10" s="20" t="s">
        <v>70</v>
      </c>
      <c r="F10" s="72" cm="1">
        <f t="array" ref="F10">_xlfn.STDEV.S(IF($B$6:$B$100=F6,$C$6:$C$100))</f>
        <v>6.6434333254128743</v>
      </c>
      <c r="G10" s="72" cm="1">
        <f t="array" ref="G10">_xlfn.STDEV.S(IF($B$6:$B$100=G6,$C$6:$C$100))</f>
        <v>5.8085519088336834</v>
      </c>
    </row>
    <row r="11" spans="2:10" x14ac:dyDescent="0.2">
      <c r="B11" s="8" t="s">
        <v>26</v>
      </c>
      <c r="C11" s="8">
        <v>80.7</v>
      </c>
    </row>
    <row r="12" spans="2:10" x14ac:dyDescent="0.2">
      <c r="B12" s="8" t="s">
        <v>26</v>
      </c>
      <c r="C12" s="8">
        <v>83.3</v>
      </c>
    </row>
    <row r="13" spans="2:10" x14ac:dyDescent="0.2">
      <c r="B13" s="8" t="s">
        <v>24</v>
      </c>
      <c r="C13" s="8">
        <v>88.7</v>
      </c>
    </row>
    <row r="14" spans="2:10" x14ac:dyDescent="0.2">
      <c r="B14" s="8" t="s">
        <v>26</v>
      </c>
      <c r="C14" s="8">
        <v>75.400000000000006</v>
      </c>
    </row>
    <row r="15" spans="2:10" x14ac:dyDescent="0.2">
      <c r="B15" s="8" t="s">
        <v>26</v>
      </c>
      <c r="C15" s="8">
        <v>82.1</v>
      </c>
    </row>
    <row r="16" spans="2:10" x14ac:dyDescent="0.2">
      <c r="B16" s="8" t="s">
        <v>24</v>
      </c>
      <c r="C16" s="8">
        <v>87.5</v>
      </c>
    </row>
    <row r="17" spans="2:3" x14ac:dyDescent="0.2">
      <c r="B17" s="8" t="s">
        <v>26</v>
      </c>
      <c r="C17" s="8">
        <v>66.900000000000006</v>
      </c>
    </row>
    <row r="18" spans="2:3" x14ac:dyDescent="0.2">
      <c r="B18" s="8" t="s">
        <v>24</v>
      </c>
      <c r="C18" s="8">
        <v>71.3</v>
      </c>
    </row>
    <row r="19" spans="2:3" x14ac:dyDescent="0.2">
      <c r="B19" s="8" t="s">
        <v>26</v>
      </c>
      <c r="C19" s="8">
        <v>76.8</v>
      </c>
    </row>
    <row r="20" spans="2:3" x14ac:dyDescent="0.2">
      <c r="B20" s="8" t="s">
        <v>24</v>
      </c>
      <c r="C20" s="8">
        <v>72.3</v>
      </c>
    </row>
    <row r="21" spans="2:3" x14ac:dyDescent="0.2">
      <c r="B21" s="8" t="s">
        <v>26</v>
      </c>
      <c r="C21" s="8">
        <v>72.400000000000006</v>
      </c>
    </row>
    <row r="22" spans="2:3" x14ac:dyDescent="0.2">
      <c r="B22" s="8" t="s">
        <v>26</v>
      </c>
      <c r="C22" s="8">
        <v>72</v>
      </c>
    </row>
    <row r="23" spans="2:3" x14ac:dyDescent="0.2">
      <c r="B23" s="8" t="s">
        <v>26</v>
      </c>
      <c r="C23" s="8">
        <v>81</v>
      </c>
    </row>
    <row r="24" spans="2:3" x14ac:dyDescent="0.2">
      <c r="B24" s="8" t="s">
        <v>24</v>
      </c>
      <c r="C24" s="8">
        <v>96.1</v>
      </c>
    </row>
    <row r="25" spans="2:3" x14ac:dyDescent="0.2">
      <c r="B25" s="8" t="s">
        <v>26</v>
      </c>
      <c r="C25" s="8">
        <v>76.7</v>
      </c>
    </row>
    <row r="26" spans="2:3" x14ac:dyDescent="0.2">
      <c r="B26" s="8" t="s">
        <v>24</v>
      </c>
      <c r="C26" s="8">
        <v>80.3</v>
      </c>
    </row>
    <row r="27" spans="2:3" x14ac:dyDescent="0.2">
      <c r="B27" s="8" t="s">
        <v>26</v>
      </c>
      <c r="C27" s="8">
        <v>77.8</v>
      </c>
    </row>
    <row r="28" spans="2:3" x14ac:dyDescent="0.2">
      <c r="B28" s="8" t="s">
        <v>26</v>
      </c>
      <c r="C28" s="8">
        <v>62.6</v>
      </c>
    </row>
    <row r="29" spans="2:3" x14ac:dyDescent="0.2">
      <c r="B29" s="8" t="s">
        <v>26</v>
      </c>
      <c r="C29" s="8">
        <v>80.2</v>
      </c>
    </row>
    <row r="30" spans="2:3" x14ac:dyDescent="0.2">
      <c r="B30" s="8" t="s">
        <v>24</v>
      </c>
      <c r="C30" s="8">
        <v>79.099999999999994</v>
      </c>
    </row>
    <row r="31" spans="2:3" x14ac:dyDescent="0.2">
      <c r="B31" s="8" t="s">
        <v>26</v>
      </c>
      <c r="C31" s="8">
        <v>77.8</v>
      </c>
    </row>
    <row r="32" spans="2:3" x14ac:dyDescent="0.2">
      <c r="B32" s="8" t="s">
        <v>26</v>
      </c>
      <c r="C32" s="8">
        <v>75.099999999999994</v>
      </c>
    </row>
    <row r="33" spans="2:3" x14ac:dyDescent="0.2">
      <c r="B33" s="8" t="s">
        <v>26</v>
      </c>
      <c r="C33" s="8">
        <v>82.2</v>
      </c>
    </row>
    <row r="34" spans="2:3" x14ac:dyDescent="0.2">
      <c r="B34" s="8" t="s">
        <v>26</v>
      </c>
      <c r="C34" s="8">
        <v>70.5</v>
      </c>
    </row>
    <row r="35" spans="2:3" x14ac:dyDescent="0.2">
      <c r="B35" s="8" t="s">
        <v>26</v>
      </c>
      <c r="C35" s="8">
        <v>70.8</v>
      </c>
    </row>
    <row r="36" spans="2:3" x14ac:dyDescent="0.2">
      <c r="B36" s="8" t="s">
        <v>24</v>
      </c>
      <c r="C36" s="8">
        <v>87.5</v>
      </c>
    </row>
    <row r="37" spans="2:3" x14ac:dyDescent="0.2">
      <c r="B37" s="8" t="s">
        <v>26</v>
      </c>
      <c r="C37" s="8">
        <v>79.5</v>
      </c>
    </row>
    <row r="38" spans="2:3" x14ac:dyDescent="0.2">
      <c r="B38" s="8" t="s">
        <v>24</v>
      </c>
      <c r="C38" s="8">
        <v>80.8</v>
      </c>
    </row>
    <row r="39" spans="2:3" x14ac:dyDescent="0.2">
      <c r="B39" s="8" t="s">
        <v>26</v>
      </c>
      <c r="C39" s="8">
        <v>79.599999999999994</v>
      </c>
    </row>
    <row r="40" spans="2:3" x14ac:dyDescent="0.2">
      <c r="B40" s="8" t="s">
        <v>24</v>
      </c>
      <c r="C40" s="8">
        <v>88.9</v>
      </c>
    </row>
    <row r="41" spans="2:3" x14ac:dyDescent="0.2">
      <c r="B41" s="8" t="s">
        <v>26</v>
      </c>
      <c r="C41" s="8">
        <v>85.9</v>
      </c>
    </row>
    <row r="42" spans="2:3" x14ac:dyDescent="0.2">
      <c r="B42" s="8" t="s">
        <v>24</v>
      </c>
      <c r="C42" s="8">
        <v>82.3</v>
      </c>
    </row>
    <row r="43" spans="2:3" x14ac:dyDescent="0.2">
      <c r="B43" s="8" t="s">
        <v>26</v>
      </c>
      <c r="C43" s="8">
        <v>76.7</v>
      </c>
    </row>
    <row r="44" spans="2:3" x14ac:dyDescent="0.2">
      <c r="B44" s="8" t="s">
        <v>26</v>
      </c>
      <c r="C44" s="8">
        <v>79.900000000000006</v>
      </c>
    </row>
    <row r="45" spans="2:3" x14ac:dyDescent="0.2">
      <c r="B45" s="8" t="s">
        <v>26</v>
      </c>
      <c r="C45" s="8">
        <v>86.2</v>
      </c>
    </row>
    <row r="46" spans="2:3" x14ac:dyDescent="0.2">
      <c r="B46" s="8" t="s">
        <v>26</v>
      </c>
      <c r="C46" s="8">
        <v>79.2</v>
      </c>
    </row>
    <row r="47" spans="2:3" x14ac:dyDescent="0.2">
      <c r="B47" s="8" t="s">
        <v>24</v>
      </c>
      <c r="C47" s="8">
        <v>83.4</v>
      </c>
    </row>
    <row r="48" spans="2:3" x14ac:dyDescent="0.2">
      <c r="B48" s="8" t="s">
        <v>26</v>
      </c>
      <c r="C48" s="8">
        <v>85.2</v>
      </c>
    </row>
    <row r="49" spans="2:3" x14ac:dyDescent="0.2">
      <c r="B49" s="8" t="s">
        <v>24</v>
      </c>
      <c r="C49" s="8">
        <v>77.8</v>
      </c>
    </row>
    <row r="50" spans="2:3" x14ac:dyDescent="0.2">
      <c r="B50" s="8" t="s">
        <v>26</v>
      </c>
      <c r="C50" s="8">
        <v>80.2</v>
      </c>
    </row>
    <row r="51" spans="2:3" x14ac:dyDescent="0.2">
      <c r="B51" s="8" t="s">
        <v>24</v>
      </c>
      <c r="C51" s="8">
        <v>71</v>
      </c>
    </row>
    <row r="52" spans="2:3" x14ac:dyDescent="0.2">
      <c r="B52" s="8" t="s">
        <v>24</v>
      </c>
      <c r="C52" s="8">
        <v>87.2</v>
      </c>
    </row>
    <row r="53" spans="2:3" x14ac:dyDescent="0.2">
      <c r="B53" s="8" t="s">
        <v>24</v>
      </c>
      <c r="C53" s="8">
        <v>82.9</v>
      </c>
    </row>
    <row r="54" spans="2:3" x14ac:dyDescent="0.2">
      <c r="B54" s="8" t="s">
        <v>26</v>
      </c>
      <c r="C54" s="8">
        <v>73.5</v>
      </c>
    </row>
    <row r="55" spans="2:3" x14ac:dyDescent="0.2">
      <c r="B55" s="8" t="s">
        <v>26</v>
      </c>
      <c r="C55" s="8">
        <v>74.599999999999994</v>
      </c>
    </row>
    <row r="56" spans="2:3" x14ac:dyDescent="0.2">
      <c r="B56" s="8" t="s">
        <v>24</v>
      </c>
      <c r="C56" s="8">
        <v>75.099999999999994</v>
      </c>
    </row>
    <row r="57" spans="2:3" x14ac:dyDescent="0.2">
      <c r="B57" s="8" t="s">
        <v>26</v>
      </c>
      <c r="C57" s="8">
        <v>85.1</v>
      </c>
    </row>
    <row r="58" spans="2:3" x14ac:dyDescent="0.2">
      <c r="B58" s="8" t="s">
        <v>24</v>
      </c>
      <c r="C58" s="8">
        <v>74.900000000000006</v>
      </c>
    </row>
    <row r="59" spans="2:3" x14ac:dyDescent="0.2">
      <c r="B59" s="8" t="s">
        <v>26</v>
      </c>
      <c r="C59" s="8">
        <v>84.6</v>
      </c>
    </row>
    <row r="60" spans="2:3" x14ac:dyDescent="0.2">
      <c r="B60" s="8" t="s">
        <v>24</v>
      </c>
      <c r="C60" s="8">
        <v>81.7</v>
      </c>
    </row>
    <row r="61" spans="2:3" x14ac:dyDescent="0.2">
      <c r="B61" s="8" t="s">
        <v>26</v>
      </c>
      <c r="C61" s="8">
        <v>81.400000000000006</v>
      </c>
    </row>
    <row r="62" spans="2:3" x14ac:dyDescent="0.2">
      <c r="B62" s="8" t="s">
        <v>24</v>
      </c>
      <c r="C62" s="8">
        <v>83.8</v>
      </c>
    </row>
    <row r="63" spans="2:3" x14ac:dyDescent="0.2">
      <c r="B63" s="8" t="s">
        <v>26</v>
      </c>
      <c r="C63" s="8">
        <v>88.5</v>
      </c>
    </row>
    <row r="64" spans="2:3" x14ac:dyDescent="0.2">
      <c r="B64" s="8" t="s">
        <v>26</v>
      </c>
      <c r="C64" s="8">
        <v>84.9</v>
      </c>
    </row>
    <row r="65" spans="2:3" x14ac:dyDescent="0.2">
      <c r="B65" s="8" t="s">
        <v>26</v>
      </c>
      <c r="C65" s="8">
        <v>84.3</v>
      </c>
    </row>
    <row r="66" spans="2:3" x14ac:dyDescent="0.2">
      <c r="B66" s="8" t="s">
        <v>26</v>
      </c>
      <c r="C66" s="8">
        <v>78.2</v>
      </c>
    </row>
    <row r="67" spans="2:3" x14ac:dyDescent="0.2">
      <c r="B67" s="8" t="s">
        <v>26</v>
      </c>
      <c r="C67" s="8">
        <v>80</v>
      </c>
    </row>
    <row r="68" spans="2:3" x14ac:dyDescent="0.2">
      <c r="B68" s="8" t="s">
        <v>24</v>
      </c>
      <c r="C68" s="8">
        <v>74.8</v>
      </c>
    </row>
    <row r="69" spans="2:3" x14ac:dyDescent="0.2">
      <c r="B69" s="8" t="s">
        <v>26</v>
      </c>
      <c r="C69" s="8">
        <v>78.5</v>
      </c>
    </row>
    <row r="70" spans="2:3" x14ac:dyDescent="0.2">
      <c r="B70" s="8" t="s">
        <v>26</v>
      </c>
      <c r="C70" s="8">
        <v>71.8</v>
      </c>
    </row>
    <row r="71" spans="2:3" x14ac:dyDescent="0.2">
      <c r="B71" s="8" t="s">
        <v>26</v>
      </c>
      <c r="C71" s="8">
        <v>69.900000000000006</v>
      </c>
    </row>
    <row r="72" spans="2:3" x14ac:dyDescent="0.2">
      <c r="B72" s="8" t="s">
        <v>24</v>
      </c>
      <c r="C72" s="8">
        <v>82.7</v>
      </c>
    </row>
    <row r="73" spans="2:3" x14ac:dyDescent="0.2">
      <c r="B73" s="8" t="s">
        <v>26</v>
      </c>
      <c r="C73" s="8">
        <v>74</v>
      </c>
    </row>
    <row r="74" spans="2:3" x14ac:dyDescent="0.2">
      <c r="B74" s="8" t="s">
        <v>24</v>
      </c>
      <c r="C74" s="8">
        <v>84</v>
      </c>
    </row>
    <row r="75" spans="2:3" x14ac:dyDescent="0.2">
      <c r="B75" s="8" t="s">
        <v>26</v>
      </c>
      <c r="C75" s="8">
        <v>84.7</v>
      </c>
    </row>
    <row r="76" spans="2:3" x14ac:dyDescent="0.2">
      <c r="B76" s="8" t="s">
        <v>26</v>
      </c>
      <c r="C76" s="8">
        <v>78.2</v>
      </c>
    </row>
    <row r="77" spans="2:3" x14ac:dyDescent="0.2">
      <c r="B77" s="8" t="s">
        <v>26</v>
      </c>
      <c r="C77" s="8">
        <v>85</v>
      </c>
    </row>
    <row r="78" spans="2:3" x14ac:dyDescent="0.2">
      <c r="B78" s="8" t="s">
        <v>24</v>
      </c>
      <c r="C78" s="8">
        <v>80.099999999999994</v>
      </c>
    </row>
    <row r="79" spans="2:3" x14ac:dyDescent="0.2">
      <c r="B79" s="8" t="s">
        <v>26</v>
      </c>
      <c r="C79" s="8">
        <v>85.3</v>
      </c>
    </row>
    <row r="80" spans="2:3" x14ac:dyDescent="0.2">
      <c r="B80" s="8" t="s">
        <v>26</v>
      </c>
      <c r="C80" s="8">
        <v>79.7</v>
      </c>
    </row>
    <row r="81" spans="2:3" x14ac:dyDescent="0.2">
      <c r="B81" s="8" t="s">
        <v>24</v>
      </c>
      <c r="C81" s="8">
        <v>79.599999999999994</v>
      </c>
    </row>
    <row r="82" spans="2:3" x14ac:dyDescent="0.2">
      <c r="B82" s="8" t="s">
        <v>24</v>
      </c>
      <c r="C82" s="8">
        <v>78.900000000000006</v>
      </c>
    </row>
    <row r="83" spans="2:3" x14ac:dyDescent="0.2">
      <c r="B83" s="8" t="s">
        <v>26</v>
      </c>
      <c r="C83" s="8">
        <v>78.5</v>
      </c>
    </row>
    <row r="84" spans="2:3" x14ac:dyDescent="0.2">
      <c r="B84" s="8" t="s">
        <v>24</v>
      </c>
      <c r="C84" s="8">
        <v>72</v>
      </c>
    </row>
    <row r="85" spans="2:3" x14ac:dyDescent="0.2">
      <c r="B85" s="8" t="s">
        <v>24</v>
      </c>
      <c r="C85" s="8">
        <v>74.2</v>
      </c>
    </row>
    <row r="86" spans="2:3" x14ac:dyDescent="0.2">
      <c r="B86" s="8" t="s">
        <v>24</v>
      </c>
      <c r="C86" s="8">
        <v>71.7</v>
      </c>
    </row>
    <row r="87" spans="2:3" x14ac:dyDescent="0.2">
      <c r="B87" s="8" t="s">
        <v>26</v>
      </c>
      <c r="C87" s="8">
        <v>80.7</v>
      </c>
    </row>
    <row r="88" spans="2:3" x14ac:dyDescent="0.2">
      <c r="B88" s="8" t="s">
        <v>26</v>
      </c>
      <c r="C88" s="8">
        <v>84.1</v>
      </c>
    </row>
    <row r="89" spans="2:3" x14ac:dyDescent="0.2">
      <c r="B89" s="8" t="s">
        <v>24</v>
      </c>
      <c r="C89" s="8">
        <v>87.4</v>
      </c>
    </row>
    <row r="90" spans="2:3" x14ac:dyDescent="0.2">
      <c r="B90" s="8" t="s">
        <v>24</v>
      </c>
      <c r="C90" s="8">
        <v>77.400000000000006</v>
      </c>
    </row>
    <row r="91" spans="2:3" x14ac:dyDescent="0.2">
      <c r="B91" s="8" t="s">
        <v>26</v>
      </c>
      <c r="C91" s="8">
        <v>84.7</v>
      </c>
    </row>
    <row r="92" spans="2:3" x14ac:dyDescent="0.2">
      <c r="B92" s="8" t="s">
        <v>24</v>
      </c>
      <c r="C92" s="8">
        <v>78.8</v>
      </c>
    </row>
    <row r="93" spans="2:3" x14ac:dyDescent="0.2">
      <c r="B93" s="8" t="s">
        <v>24</v>
      </c>
      <c r="C93" s="8">
        <v>92.7</v>
      </c>
    </row>
    <row r="94" spans="2:3" x14ac:dyDescent="0.2">
      <c r="B94" s="8" t="s">
        <v>26</v>
      </c>
      <c r="C94" s="8">
        <v>88.8</v>
      </c>
    </row>
    <row r="95" spans="2:3" x14ac:dyDescent="0.2">
      <c r="B95" s="8" t="s">
        <v>26</v>
      </c>
      <c r="C95" s="8">
        <v>86.6</v>
      </c>
    </row>
    <row r="96" spans="2:3" x14ac:dyDescent="0.2">
      <c r="B96" s="8" t="s">
        <v>24</v>
      </c>
      <c r="C96" s="8">
        <v>77.900000000000006</v>
      </c>
    </row>
    <row r="97" spans="2:3" x14ac:dyDescent="0.2">
      <c r="B97" s="8" t="s">
        <v>26</v>
      </c>
      <c r="C97" s="8">
        <v>86.1</v>
      </c>
    </row>
    <row r="98" spans="2:3" x14ac:dyDescent="0.2">
      <c r="B98" s="8" t="s">
        <v>26</v>
      </c>
      <c r="C98" s="8">
        <v>89.9</v>
      </c>
    </row>
    <row r="99" spans="2:3" x14ac:dyDescent="0.2">
      <c r="B99" s="8" t="s">
        <v>26</v>
      </c>
      <c r="C99" s="8">
        <v>83.1</v>
      </c>
    </row>
    <row r="100" spans="2:3" x14ac:dyDescent="0.2">
      <c r="B100" s="8" t="s">
        <v>26</v>
      </c>
      <c r="C100" s="8">
        <v>82.6</v>
      </c>
    </row>
  </sheetData>
  <mergeCells count="1">
    <mergeCell ref="E5:G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C4CFC-D1EE-40F6-859E-87763754F741}">
  <sheetPr codeName="Sheet16">
    <tabColor theme="5" tint="0.79998168889431442"/>
  </sheetPr>
  <dimension ref="B1:K100"/>
  <sheetViews>
    <sheetView showGridLines="0" workbookViewId="0">
      <selection activeCell="L7" sqref="L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3.5" bestFit="1" customWidth="1"/>
    <col min="5" max="5" width="10.33203125" bestFit="1" customWidth="1"/>
    <col min="7" max="8" width="11.5" customWidth="1"/>
    <col min="10" max="11" width="11.5" customWidth="1"/>
  </cols>
  <sheetData>
    <row r="1" spans="2:11" ht="25.5" customHeight="1" x14ac:dyDescent="0.25">
      <c r="B1" s="18" t="s">
        <v>127</v>
      </c>
    </row>
    <row r="2" spans="2:11" ht="15" customHeight="1" x14ac:dyDescent="0.2">
      <c r="B2" s="30" t="s">
        <v>84</v>
      </c>
    </row>
    <row r="3" spans="2:11" ht="18" customHeight="1" x14ac:dyDescent="0.2"/>
    <row r="4" spans="2:11" x14ac:dyDescent="0.2">
      <c r="D4" s="3" t="s">
        <v>52</v>
      </c>
      <c r="G4" s="3" t="s">
        <v>54</v>
      </c>
      <c r="J4" s="3" t="s">
        <v>54</v>
      </c>
    </row>
    <row r="5" spans="2:11" x14ac:dyDescent="0.2">
      <c r="B5" s="7" t="s">
        <v>77</v>
      </c>
      <c r="D5" s="9" t="s">
        <v>77</v>
      </c>
      <c r="E5" t="s">
        <v>15</v>
      </c>
      <c r="G5" s="116" t="s">
        <v>85</v>
      </c>
      <c r="H5" s="116"/>
      <c r="J5" s="116" t="s">
        <v>86</v>
      </c>
      <c r="K5" s="116"/>
    </row>
    <row r="6" spans="2:11" x14ac:dyDescent="0.2">
      <c r="B6" s="8">
        <v>90.2</v>
      </c>
      <c r="D6" t="s">
        <v>38</v>
      </c>
      <c r="E6">
        <v>1</v>
      </c>
      <c r="G6" s="20" t="s">
        <v>46</v>
      </c>
      <c r="H6" s="75">
        <f>AVERAGE(B6:B100)</f>
        <v>80.169473684210516</v>
      </c>
      <c r="J6" s="20" t="s">
        <v>46</v>
      </c>
      <c r="K6" s="75">
        <f>H6</f>
        <v>80.169473684210516</v>
      </c>
    </row>
    <row r="7" spans="2:11" x14ac:dyDescent="0.2">
      <c r="B7" s="8">
        <v>92.8</v>
      </c>
      <c r="D7" t="s">
        <v>39</v>
      </c>
      <c r="E7">
        <v>3</v>
      </c>
      <c r="G7" s="20" t="s">
        <v>47</v>
      </c>
      <c r="H7" s="75">
        <f>MEDIAN(B6:B100)</f>
        <v>80.2</v>
      </c>
      <c r="J7" s="20" t="s">
        <v>70</v>
      </c>
      <c r="K7" s="75">
        <f>_xlfn.STDEV.S(B6:B100)</f>
        <v>6.1707800411122609</v>
      </c>
    </row>
    <row r="8" spans="2:11" x14ac:dyDescent="0.2">
      <c r="B8" s="8">
        <v>68.7</v>
      </c>
      <c r="D8" t="s">
        <v>40</v>
      </c>
      <c r="E8">
        <v>17</v>
      </c>
    </row>
    <row r="9" spans="2:11" x14ac:dyDescent="0.2">
      <c r="B9" s="8">
        <v>80.7</v>
      </c>
      <c r="D9" t="s">
        <v>41</v>
      </c>
      <c r="E9">
        <v>24</v>
      </c>
    </row>
    <row r="10" spans="2:11" x14ac:dyDescent="0.2">
      <c r="B10" s="8">
        <v>74.900000000000006</v>
      </c>
      <c r="D10" t="s">
        <v>42</v>
      </c>
      <c r="E10">
        <v>29</v>
      </c>
    </row>
    <row r="11" spans="2:11" x14ac:dyDescent="0.2">
      <c r="B11" s="8">
        <v>80.7</v>
      </c>
      <c r="D11" t="s">
        <v>43</v>
      </c>
      <c r="E11">
        <v>17</v>
      </c>
    </row>
    <row r="12" spans="2:11" x14ac:dyDescent="0.2">
      <c r="B12" s="8">
        <v>83.3</v>
      </c>
      <c r="D12" t="s">
        <v>44</v>
      </c>
      <c r="E12">
        <v>3</v>
      </c>
    </row>
    <row r="13" spans="2:11" x14ac:dyDescent="0.2">
      <c r="B13" s="8">
        <v>88.7</v>
      </c>
      <c r="D13" t="s">
        <v>45</v>
      </c>
      <c r="E13">
        <v>1</v>
      </c>
    </row>
    <row r="14" spans="2:11" x14ac:dyDescent="0.2">
      <c r="B14" s="8">
        <v>75.400000000000006</v>
      </c>
      <c r="D14" t="s">
        <v>17</v>
      </c>
      <c r="E14">
        <v>95</v>
      </c>
    </row>
    <row r="15" spans="2:11" x14ac:dyDescent="0.2">
      <c r="B15" s="8">
        <v>82.1</v>
      </c>
    </row>
    <row r="16" spans="2:11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G5:H5"/>
    <mergeCell ref="J5:K5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3B9-74E3-4C35-9BD5-4CC8EACD2365}">
  <sheetPr codeName="Sheet17">
    <tabColor theme="5" tint="0.79998168889431442"/>
  </sheetPr>
  <dimension ref="B1:I100"/>
  <sheetViews>
    <sheetView showGridLines="0" workbookViewId="0">
      <selection activeCell="I6" sqref="I6"/>
    </sheetView>
  </sheetViews>
  <sheetFormatPr baseColWidth="10" defaultColWidth="8.83203125" defaultRowHeight="15" x14ac:dyDescent="0.2"/>
  <cols>
    <col min="1" max="1" width="2.83203125" customWidth="1"/>
    <col min="2" max="2" width="10" bestFit="1" customWidth="1"/>
    <col min="3" max="3" width="10.6640625" bestFit="1" customWidth="1"/>
    <col min="5" max="5" width="13.5" bestFit="1" customWidth="1"/>
    <col min="6" max="6" width="10.33203125" bestFit="1" customWidth="1"/>
    <col min="8" max="9" width="11.5" customWidth="1"/>
  </cols>
  <sheetData>
    <row r="1" spans="2:9" ht="25.5" customHeight="1" x14ac:dyDescent="0.25">
      <c r="B1" s="18" t="s">
        <v>290</v>
      </c>
    </row>
    <row r="2" spans="2:9" ht="15" customHeight="1" x14ac:dyDescent="0.2">
      <c r="B2" s="30" t="s">
        <v>82</v>
      </c>
    </row>
    <row r="3" spans="2:9" ht="18" customHeight="1" x14ac:dyDescent="0.2"/>
    <row r="4" spans="2:9" x14ac:dyDescent="0.2">
      <c r="E4" s="3" t="s">
        <v>54</v>
      </c>
      <c r="H4" s="3" t="s">
        <v>54</v>
      </c>
    </row>
    <row r="5" spans="2:9" x14ac:dyDescent="0.2">
      <c r="B5" s="7" t="s">
        <v>20</v>
      </c>
      <c r="C5" s="7" t="s">
        <v>77</v>
      </c>
      <c r="E5" s="116" t="s">
        <v>86</v>
      </c>
      <c r="F5" s="116"/>
      <c r="H5" s="116" t="s">
        <v>87</v>
      </c>
      <c r="I5" s="116"/>
    </row>
    <row r="6" spans="2:9" x14ac:dyDescent="0.2">
      <c r="B6" s="8">
        <v>1</v>
      </c>
      <c r="C6" s="8">
        <v>90.2</v>
      </c>
      <c r="E6" s="20" t="s">
        <v>46</v>
      </c>
      <c r="F6" s="75">
        <f>AVERAGE(C6:C100)</f>
        <v>80.169473684210516</v>
      </c>
      <c r="H6" s="20" t="s">
        <v>88</v>
      </c>
      <c r="I6" s="17">
        <v>25</v>
      </c>
    </row>
    <row r="7" spans="2:9" x14ac:dyDescent="0.2">
      <c r="B7" s="8">
        <v>2</v>
      </c>
      <c r="C7" s="8">
        <v>92.8</v>
      </c>
      <c r="E7" s="20" t="s">
        <v>70</v>
      </c>
      <c r="F7" s="75">
        <f>_xlfn.STDEV.S(C6:C100)</f>
        <v>6.1707800411122609</v>
      </c>
      <c r="H7" s="20" t="s">
        <v>89</v>
      </c>
      <c r="I7" s="71">
        <f>_xlfn.XLOOKUP(I6,B6:B100,C6:C100,,)</f>
        <v>79.099999999999994</v>
      </c>
    </row>
    <row r="8" spans="2:9" x14ac:dyDescent="0.2">
      <c r="B8" s="8">
        <v>3</v>
      </c>
      <c r="C8" s="8">
        <v>68.7</v>
      </c>
      <c r="H8" s="20" t="s">
        <v>90</v>
      </c>
      <c r="I8" s="75">
        <f>(I7-F6)/F7</f>
        <v>-0.1733125596902256</v>
      </c>
    </row>
    <row r="9" spans="2:9" x14ac:dyDescent="0.2">
      <c r="B9" s="8">
        <v>4</v>
      </c>
      <c r="C9" s="8">
        <v>80.7</v>
      </c>
    </row>
    <row r="10" spans="2:9" x14ac:dyDescent="0.2">
      <c r="B10" s="8">
        <v>5</v>
      </c>
      <c r="C10" s="8">
        <v>74.900000000000006</v>
      </c>
    </row>
    <row r="11" spans="2:9" x14ac:dyDescent="0.2">
      <c r="B11" s="8">
        <v>6</v>
      </c>
      <c r="C11" s="8">
        <v>80.7</v>
      </c>
    </row>
    <row r="12" spans="2:9" x14ac:dyDescent="0.2">
      <c r="B12" s="8">
        <v>7</v>
      </c>
      <c r="C12" s="8">
        <v>83.3</v>
      </c>
    </row>
    <row r="13" spans="2:9" x14ac:dyDescent="0.2">
      <c r="B13" s="8">
        <v>8</v>
      </c>
      <c r="C13" s="8">
        <v>88.7</v>
      </c>
    </row>
    <row r="14" spans="2:9" x14ac:dyDescent="0.2">
      <c r="B14" s="8">
        <v>9</v>
      </c>
      <c r="C14" s="8">
        <v>75.400000000000006</v>
      </c>
    </row>
    <row r="15" spans="2:9" x14ac:dyDescent="0.2">
      <c r="B15" s="8">
        <v>10</v>
      </c>
      <c r="C15" s="8">
        <v>82.1</v>
      </c>
    </row>
    <row r="16" spans="2:9" x14ac:dyDescent="0.2">
      <c r="B16" s="8">
        <v>11</v>
      </c>
      <c r="C16" s="8">
        <v>87.5</v>
      </c>
    </row>
    <row r="17" spans="2:3" x14ac:dyDescent="0.2">
      <c r="B17" s="8">
        <v>12</v>
      </c>
      <c r="C17" s="8">
        <v>66.900000000000006</v>
      </c>
    </row>
    <row r="18" spans="2:3" x14ac:dyDescent="0.2">
      <c r="B18" s="8">
        <v>13</v>
      </c>
      <c r="C18" s="8">
        <v>71.3</v>
      </c>
    </row>
    <row r="19" spans="2:3" x14ac:dyDescent="0.2">
      <c r="B19" s="8">
        <v>14</v>
      </c>
      <c r="C19" s="8">
        <v>76.8</v>
      </c>
    </row>
    <row r="20" spans="2:3" x14ac:dyDescent="0.2">
      <c r="B20" s="8">
        <v>15</v>
      </c>
      <c r="C20" s="8">
        <v>72.3</v>
      </c>
    </row>
    <row r="21" spans="2:3" x14ac:dyDescent="0.2">
      <c r="B21" s="8">
        <v>16</v>
      </c>
      <c r="C21" s="8">
        <v>72.400000000000006</v>
      </c>
    </row>
    <row r="22" spans="2:3" x14ac:dyDescent="0.2">
      <c r="B22" s="8">
        <v>17</v>
      </c>
      <c r="C22" s="8">
        <v>72</v>
      </c>
    </row>
    <row r="23" spans="2:3" x14ac:dyDescent="0.2">
      <c r="B23" s="8">
        <v>18</v>
      </c>
      <c r="C23" s="8">
        <v>81</v>
      </c>
    </row>
    <row r="24" spans="2:3" x14ac:dyDescent="0.2">
      <c r="B24" s="8">
        <v>19</v>
      </c>
      <c r="C24" s="8">
        <v>96.1</v>
      </c>
    </row>
    <row r="25" spans="2:3" x14ac:dyDescent="0.2">
      <c r="B25" s="8">
        <v>20</v>
      </c>
      <c r="C25" s="8">
        <v>76.7</v>
      </c>
    </row>
    <row r="26" spans="2:3" x14ac:dyDescent="0.2">
      <c r="B26" s="8">
        <v>21</v>
      </c>
      <c r="C26" s="8">
        <v>80.3</v>
      </c>
    </row>
    <row r="27" spans="2:3" x14ac:dyDescent="0.2">
      <c r="B27" s="8">
        <v>22</v>
      </c>
      <c r="C27" s="8">
        <v>77.8</v>
      </c>
    </row>
    <row r="28" spans="2:3" x14ac:dyDescent="0.2">
      <c r="B28" s="8">
        <v>23</v>
      </c>
      <c r="C28" s="8">
        <v>62.6</v>
      </c>
    </row>
    <row r="29" spans="2:3" x14ac:dyDescent="0.2">
      <c r="B29" s="8">
        <v>24</v>
      </c>
      <c r="C29" s="8">
        <v>80.2</v>
      </c>
    </row>
    <row r="30" spans="2:3" x14ac:dyDescent="0.2">
      <c r="B30" s="8">
        <v>25</v>
      </c>
      <c r="C30" s="8">
        <v>79.099999999999994</v>
      </c>
    </row>
    <row r="31" spans="2:3" x14ac:dyDescent="0.2">
      <c r="B31" s="8">
        <v>26</v>
      </c>
      <c r="C31" s="8">
        <v>77.8</v>
      </c>
    </row>
    <row r="32" spans="2:3" x14ac:dyDescent="0.2">
      <c r="B32" s="8">
        <v>27</v>
      </c>
      <c r="C32" s="8">
        <v>75.099999999999994</v>
      </c>
    </row>
    <row r="33" spans="2:3" x14ac:dyDescent="0.2">
      <c r="B33" s="8">
        <v>28</v>
      </c>
      <c r="C33" s="8">
        <v>82.2</v>
      </c>
    </row>
    <row r="34" spans="2:3" x14ac:dyDescent="0.2">
      <c r="B34" s="8">
        <v>29</v>
      </c>
      <c r="C34" s="8">
        <v>70.5</v>
      </c>
    </row>
    <row r="35" spans="2:3" x14ac:dyDescent="0.2">
      <c r="B35" s="8">
        <v>30</v>
      </c>
      <c r="C35" s="8">
        <v>70.8</v>
      </c>
    </row>
    <row r="36" spans="2:3" x14ac:dyDescent="0.2">
      <c r="B36" s="8">
        <v>31</v>
      </c>
      <c r="C36" s="8">
        <v>87.5</v>
      </c>
    </row>
    <row r="37" spans="2:3" x14ac:dyDescent="0.2">
      <c r="B37" s="8">
        <v>32</v>
      </c>
      <c r="C37" s="8">
        <v>79.5</v>
      </c>
    </row>
    <row r="38" spans="2:3" x14ac:dyDescent="0.2">
      <c r="B38" s="8">
        <v>33</v>
      </c>
      <c r="C38" s="8">
        <v>80.8</v>
      </c>
    </row>
    <row r="39" spans="2:3" x14ac:dyDescent="0.2">
      <c r="B39" s="8">
        <v>34</v>
      </c>
      <c r="C39" s="8">
        <v>79.599999999999994</v>
      </c>
    </row>
    <row r="40" spans="2:3" x14ac:dyDescent="0.2">
      <c r="B40" s="8">
        <v>35</v>
      </c>
      <c r="C40" s="8">
        <v>88.9</v>
      </c>
    </row>
    <row r="41" spans="2:3" x14ac:dyDescent="0.2">
      <c r="B41" s="8">
        <v>36</v>
      </c>
      <c r="C41" s="8">
        <v>85.9</v>
      </c>
    </row>
    <row r="42" spans="2:3" x14ac:dyDescent="0.2">
      <c r="B42" s="8">
        <v>37</v>
      </c>
      <c r="C42" s="8">
        <v>82.3</v>
      </c>
    </row>
    <row r="43" spans="2:3" x14ac:dyDescent="0.2">
      <c r="B43" s="8">
        <v>38</v>
      </c>
      <c r="C43" s="8">
        <v>76.7</v>
      </c>
    </row>
    <row r="44" spans="2:3" x14ac:dyDescent="0.2">
      <c r="B44" s="8">
        <v>39</v>
      </c>
      <c r="C44" s="8">
        <v>79.900000000000006</v>
      </c>
    </row>
    <row r="45" spans="2:3" x14ac:dyDescent="0.2">
      <c r="B45" s="8">
        <v>40</v>
      </c>
      <c r="C45" s="8">
        <v>86.2</v>
      </c>
    </row>
    <row r="46" spans="2:3" x14ac:dyDescent="0.2">
      <c r="B46" s="8">
        <v>41</v>
      </c>
      <c r="C46" s="8">
        <v>79.2</v>
      </c>
    </row>
    <row r="47" spans="2:3" x14ac:dyDescent="0.2">
      <c r="B47" s="8">
        <v>42</v>
      </c>
      <c r="C47" s="8">
        <v>83.4</v>
      </c>
    </row>
    <row r="48" spans="2:3" x14ac:dyDescent="0.2">
      <c r="B48" s="8">
        <v>43</v>
      </c>
      <c r="C48" s="8">
        <v>85.2</v>
      </c>
    </row>
    <row r="49" spans="2:3" x14ac:dyDescent="0.2">
      <c r="B49" s="8">
        <v>44</v>
      </c>
      <c r="C49" s="8">
        <v>77.8</v>
      </c>
    </row>
    <row r="50" spans="2:3" x14ac:dyDescent="0.2">
      <c r="B50" s="8">
        <v>45</v>
      </c>
      <c r="C50" s="8">
        <v>80.2</v>
      </c>
    </row>
    <row r="51" spans="2:3" x14ac:dyDescent="0.2">
      <c r="B51" s="8">
        <v>46</v>
      </c>
      <c r="C51" s="8">
        <v>71</v>
      </c>
    </row>
    <row r="52" spans="2:3" x14ac:dyDescent="0.2">
      <c r="B52" s="8">
        <v>47</v>
      </c>
      <c r="C52" s="8">
        <v>87.2</v>
      </c>
    </row>
    <row r="53" spans="2:3" x14ac:dyDescent="0.2">
      <c r="B53" s="8">
        <v>48</v>
      </c>
      <c r="C53" s="8">
        <v>82.9</v>
      </c>
    </row>
    <row r="54" spans="2:3" x14ac:dyDescent="0.2">
      <c r="B54" s="8">
        <v>49</v>
      </c>
      <c r="C54" s="8">
        <v>73.5</v>
      </c>
    </row>
    <row r="55" spans="2:3" x14ac:dyDescent="0.2">
      <c r="B55" s="8">
        <v>50</v>
      </c>
      <c r="C55" s="8">
        <v>74.599999999999994</v>
      </c>
    </row>
    <row r="56" spans="2:3" x14ac:dyDescent="0.2">
      <c r="B56" s="8">
        <v>51</v>
      </c>
      <c r="C56" s="8">
        <v>75.099999999999994</v>
      </c>
    </row>
    <row r="57" spans="2:3" x14ac:dyDescent="0.2">
      <c r="B57" s="8">
        <v>52</v>
      </c>
      <c r="C57" s="8">
        <v>85.1</v>
      </c>
    </row>
    <row r="58" spans="2:3" x14ac:dyDescent="0.2">
      <c r="B58" s="8">
        <v>53</v>
      </c>
      <c r="C58" s="8">
        <v>74.900000000000006</v>
      </c>
    </row>
    <row r="59" spans="2:3" x14ac:dyDescent="0.2">
      <c r="B59" s="8">
        <v>54</v>
      </c>
      <c r="C59" s="8">
        <v>84.6</v>
      </c>
    </row>
    <row r="60" spans="2:3" x14ac:dyDescent="0.2">
      <c r="B60" s="8">
        <v>55</v>
      </c>
      <c r="C60" s="8">
        <v>81.7</v>
      </c>
    </row>
    <row r="61" spans="2:3" x14ac:dyDescent="0.2">
      <c r="B61" s="8">
        <v>56</v>
      </c>
      <c r="C61" s="8">
        <v>81.400000000000006</v>
      </c>
    </row>
    <row r="62" spans="2:3" x14ac:dyDescent="0.2">
      <c r="B62" s="8">
        <v>57</v>
      </c>
      <c r="C62" s="8">
        <v>83.8</v>
      </c>
    </row>
    <row r="63" spans="2:3" x14ac:dyDescent="0.2">
      <c r="B63" s="8">
        <v>58</v>
      </c>
      <c r="C63" s="8">
        <v>88.5</v>
      </c>
    </row>
    <row r="64" spans="2:3" x14ac:dyDescent="0.2">
      <c r="B64" s="8">
        <v>59</v>
      </c>
      <c r="C64" s="8">
        <v>84.9</v>
      </c>
    </row>
    <row r="65" spans="2:3" x14ac:dyDescent="0.2">
      <c r="B65" s="8">
        <v>60</v>
      </c>
      <c r="C65" s="8">
        <v>84.3</v>
      </c>
    </row>
    <row r="66" spans="2:3" x14ac:dyDescent="0.2">
      <c r="B66" s="8">
        <v>61</v>
      </c>
      <c r="C66" s="8">
        <v>78.2</v>
      </c>
    </row>
    <row r="67" spans="2:3" x14ac:dyDescent="0.2">
      <c r="B67" s="8">
        <v>62</v>
      </c>
      <c r="C67" s="8">
        <v>80</v>
      </c>
    </row>
    <row r="68" spans="2:3" x14ac:dyDescent="0.2">
      <c r="B68" s="8">
        <v>63</v>
      </c>
      <c r="C68" s="8">
        <v>74.8</v>
      </c>
    </row>
    <row r="69" spans="2:3" x14ac:dyDescent="0.2">
      <c r="B69" s="8">
        <v>64</v>
      </c>
      <c r="C69" s="8">
        <v>78.5</v>
      </c>
    </row>
    <row r="70" spans="2:3" x14ac:dyDescent="0.2">
      <c r="B70" s="8">
        <v>65</v>
      </c>
      <c r="C70" s="8">
        <v>71.8</v>
      </c>
    </row>
    <row r="71" spans="2:3" x14ac:dyDescent="0.2">
      <c r="B71" s="8">
        <v>66</v>
      </c>
      <c r="C71" s="8">
        <v>69.900000000000006</v>
      </c>
    </row>
    <row r="72" spans="2:3" x14ac:dyDescent="0.2">
      <c r="B72" s="8">
        <v>67</v>
      </c>
      <c r="C72" s="8">
        <v>82.7</v>
      </c>
    </row>
    <row r="73" spans="2:3" x14ac:dyDescent="0.2">
      <c r="B73" s="8">
        <v>68</v>
      </c>
      <c r="C73" s="8">
        <v>74</v>
      </c>
    </row>
    <row r="74" spans="2:3" x14ac:dyDescent="0.2">
      <c r="B74" s="8">
        <v>69</v>
      </c>
      <c r="C74" s="8">
        <v>84</v>
      </c>
    </row>
    <row r="75" spans="2:3" x14ac:dyDescent="0.2">
      <c r="B75" s="8">
        <v>70</v>
      </c>
      <c r="C75" s="8">
        <v>84.7</v>
      </c>
    </row>
    <row r="76" spans="2:3" x14ac:dyDescent="0.2">
      <c r="B76" s="8">
        <v>71</v>
      </c>
      <c r="C76" s="8">
        <v>78.2</v>
      </c>
    </row>
    <row r="77" spans="2:3" x14ac:dyDescent="0.2">
      <c r="B77" s="8">
        <v>72</v>
      </c>
      <c r="C77" s="8">
        <v>85</v>
      </c>
    </row>
    <row r="78" spans="2:3" x14ac:dyDescent="0.2">
      <c r="B78" s="8">
        <v>73</v>
      </c>
      <c r="C78" s="8">
        <v>80.099999999999994</v>
      </c>
    </row>
    <row r="79" spans="2:3" x14ac:dyDescent="0.2">
      <c r="B79" s="8">
        <v>74</v>
      </c>
      <c r="C79" s="8">
        <v>85.3</v>
      </c>
    </row>
    <row r="80" spans="2:3" x14ac:dyDescent="0.2">
      <c r="B80" s="8">
        <v>75</v>
      </c>
      <c r="C80" s="8">
        <v>79.7</v>
      </c>
    </row>
    <row r="81" spans="2:3" x14ac:dyDescent="0.2">
      <c r="B81" s="8">
        <v>76</v>
      </c>
      <c r="C81" s="8">
        <v>79.599999999999994</v>
      </c>
    </row>
    <row r="82" spans="2:3" x14ac:dyDescent="0.2">
      <c r="B82" s="8">
        <v>77</v>
      </c>
      <c r="C82" s="8">
        <v>78.900000000000006</v>
      </c>
    </row>
    <row r="83" spans="2:3" x14ac:dyDescent="0.2">
      <c r="B83" s="8">
        <v>78</v>
      </c>
      <c r="C83" s="8">
        <v>78.5</v>
      </c>
    </row>
    <row r="84" spans="2:3" x14ac:dyDescent="0.2">
      <c r="B84" s="8">
        <v>79</v>
      </c>
      <c r="C84" s="8">
        <v>72</v>
      </c>
    </row>
    <row r="85" spans="2:3" x14ac:dyDescent="0.2">
      <c r="B85" s="8">
        <v>80</v>
      </c>
      <c r="C85" s="8">
        <v>74.2</v>
      </c>
    </row>
    <row r="86" spans="2:3" x14ac:dyDescent="0.2">
      <c r="B86" s="8">
        <v>81</v>
      </c>
      <c r="C86" s="8">
        <v>71.7</v>
      </c>
    </row>
    <row r="87" spans="2:3" x14ac:dyDescent="0.2">
      <c r="B87" s="8">
        <v>82</v>
      </c>
      <c r="C87" s="8">
        <v>80.7</v>
      </c>
    </row>
    <row r="88" spans="2:3" x14ac:dyDescent="0.2">
      <c r="B88" s="8">
        <v>83</v>
      </c>
      <c r="C88" s="8">
        <v>84.1</v>
      </c>
    </row>
    <row r="89" spans="2:3" x14ac:dyDescent="0.2">
      <c r="B89" s="8">
        <v>84</v>
      </c>
      <c r="C89" s="8">
        <v>87.4</v>
      </c>
    </row>
    <row r="90" spans="2:3" x14ac:dyDescent="0.2">
      <c r="B90" s="8">
        <v>85</v>
      </c>
      <c r="C90" s="8">
        <v>77.400000000000006</v>
      </c>
    </row>
    <row r="91" spans="2:3" x14ac:dyDescent="0.2">
      <c r="B91" s="8">
        <v>86</v>
      </c>
      <c r="C91" s="8">
        <v>84.7</v>
      </c>
    </row>
    <row r="92" spans="2:3" x14ac:dyDescent="0.2">
      <c r="B92" s="8">
        <v>87</v>
      </c>
      <c r="C92" s="8">
        <v>78.8</v>
      </c>
    </row>
    <row r="93" spans="2:3" x14ac:dyDescent="0.2">
      <c r="B93" s="8">
        <v>88</v>
      </c>
      <c r="C93" s="8">
        <v>92.7</v>
      </c>
    </row>
    <row r="94" spans="2:3" x14ac:dyDescent="0.2">
      <c r="B94" s="8">
        <v>89</v>
      </c>
      <c r="C94" s="8">
        <v>88.8</v>
      </c>
    </row>
    <row r="95" spans="2:3" x14ac:dyDescent="0.2">
      <c r="B95" s="8">
        <v>90</v>
      </c>
      <c r="C95" s="8">
        <v>86.6</v>
      </c>
    </row>
    <row r="96" spans="2:3" x14ac:dyDescent="0.2">
      <c r="B96" s="8">
        <v>91</v>
      </c>
      <c r="C96" s="8">
        <v>77.900000000000006</v>
      </c>
    </row>
    <row r="97" spans="2:3" x14ac:dyDescent="0.2">
      <c r="B97" s="8">
        <v>92</v>
      </c>
      <c r="C97" s="8">
        <v>86.1</v>
      </c>
    </row>
    <row r="98" spans="2:3" x14ac:dyDescent="0.2">
      <c r="B98" s="8">
        <v>93</v>
      </c>
      <c r="C98" s="8">
        <v>89.9</v>
      </c>
    </row>
    <row r="99" spans="2:3" x14ac:dyDescent="0.2">
      <c r="B99" s="8">
        <v>94</v>
      </c>
      <c r="C99" s="8">
        <v>83.1</v>
      </c>
    </row>
    <row r="100" spans="2:3" x14ac:dyDescent="0.2">
      <c r="B100" s="8">
        <v>95</v>
      </c>
      <c r="C100" s="8">
        <v>82.6</v>
      </c>
    </row>
  </sheetData>
  <mergeCells count="2">
    <mergeCell ref="E5:F5"/>
    <mergeCell ref="H5:I5"/>
  </mergeCells>
  <dataValidations count="1">
    <dataValidation type="list" allowBlank="1" showInputMessage="1" showErrorMessage="1" sqref="I6" xr:uid="{87BF1D10-BE58-4A59-983D-1D1EB63B73CA}">
      <formula1>$B$6:$B$100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DFC24-8C8F-40CE-B015-4810A25FC490}">
  <sheetPr codeName="Sheet18">
    <tabColor theme="5" tint="0.79998168889431442"/>
  </sheetPr>
  <dimension ref="B1:J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1.6640625" customWidth="1"/>
    <col min="8" max="8" width="9.1640625" customWidth="1"/>
  </cols>
  <sheetData>
    <row r="1" spans="2:10" ht="25.5" customHeight="1" x14ac:dyDescent="0.25">
      <c r="B1" s="18" t="s">
        <v>128</v>
      </c>
    </row>
    <row r="2" spans="2:10" ht="15" customHeight="1" x14ac:dyDescent="0.2">
      <c r="B2" s="30" t="s">
        <v>83</v>
      </c>
    </row>
    <row r="3" spans="2:10" ht="18" customHeight="1" x14ac:dyDescent="0.2"/>
    <row r="4" spans="2:10" x14ac:dyDescent="0.2">
      <c r="D4" s="3" t="s">
        <v>54</v>
      </c>
      <c r="G4" s="3" t="s">
        <v>54</v>
      </c>
    </row>
    <row r="5" spans="2:10" x14ac:dyDescent="0.2">
      <c r="B5" s="7" t="s">
        <v>77</v>
      </c>
      <c r="D5" s="116" t="s">
        <v>86</v>
      </c>
      <c r="E5" s="116"/>
      <c r="G5" s="116" t="s">
        <v>96</v>
      </c>
      <c r="H5" s="116"/>
      <c r="I5" s="116"/>
      <c r="J5" s="116"/>
    </row>
    <row r="6" spans="2:10" ht="15" customHeight="1" x14ac:dyDescent="0.2">
      <c r="B6" s="8">
        <v>90.2</v>
      </c>
      <c r="D6" s="20" t="s">
        <v>46</v>
      </c>
      <c r="E6" s="75">
        <f>AVERAGE(B6:B100)</f>
        <v>80.169473684210516</v>
      </c>
      <c r="G6" s="27" t="s">
        <v>91</v>
      </c>
      <c r="H6" s="17">
        <v>1</v>
      </c>
      <c r="I6" s="17">
        <v>2</v>
      </c>
      <c r="J6" s="17">
        <v>3</v>
      </c>
    </row>
    <row r="7" spans="2:10" ht="16" x14ac:dyDescent="0.2">
      <c r="B7" s="8">
        <v>92.8</v>
      </c>
      <c r="D7" s="20" t="s">
        <v>70</v>
      </c>
      <c r="E7" s="75">
        <f>_xlfn.STDEV.S(B6:B100)</f>
        <v>6.1707800411122609</v>
      </c>
      <c r="G7" s="27" t="s">
        <v>92</v>
      </c>
      <c r="H7" s="72">
        <f>$E$6-H6*$E$7</f>
        <v>73.99869364309825</v>
      </c>
      <c r="I7" s="72">
        <f t="shared" ref="I7:J7" si="0">$E$6-I6*$E$7</f>
        <v>67.827913601985998</v>
      </c>
      <c r="J7" s="72">
        <f t="shared" si="0"/>
        <v>61.657133560873731</v>
      </c>
    </row>
    <row r="8" spans="2:10" ht="16" x14ac:dyDescent="0.2">
      <c r="B8" s="8">
        <v>68.7</v>
      </c>
      <c r="G8" s="27" t="s">
        <v>93</v>
      </c>
      <c r="H8" s="72">
        <f>$E$6+H6*$E$7</f>
        <v>86.340253725322782</v>
      </c>
      <c r="I8" s="72">
        <f t="shared" ref="I8:J8" si="1">$E$6+I6*$E$7</f>
        <v>92.511033766435034</v>
      </c>
      <c r="J8" s="72">
        <f t="shared" si="1"/>
        <v>98.6818138075473</v>
      </c>
    </row>
    <row r="9" spans="2:10" ht="16" x14ac:dyDescent="0.2">
      <c r="B9" s="8">
        <v>80.7</v>
      </c>
      <c r="G9" s="27" t="s">
        <v>94</v>
      </c>
      <c r="H9" s="77">
        <v>0.68</v>
      </c>
      <c r="I9" s="77">
        <v>0.95</v>
      </c>
      <c r="J9" s="78">
        <v>0.997</v>
      </c>
    </row>
    <row r="10" spans="2:10" ht="16" x14ac:dyDescent="0.2">
      <c r="B10" s="8">
        <v>74.900000000000006</v>
      </c>
      <c r="G10" s="27" t="s">
        <v>95</v>
      </c>
      <c r="H10" s="79">
        <f>COUNTIFS($B$6:$B$100,"&gt;="&amp;H7,$B$6:$B$100,"&lt;="&amp;H8)/COUNT($B$6:$B$100)</f>
        <v>0.69473684210526321</v>
      </c>
      <c r="I10" s="79">
        <f t="shared" ref="I10:J10" si="2">COUNTIFS($B$6:$B$100,"&gt;="&amp;I7,$B$6:$B$100,"&lt;="&amp;I8)/COUNT($B$6:$B$100)</f>
        <v>0.94736842105263153</v>
      </c>
      <c r="J10" s="79">
        <f t="shared" si="2"/>
        <v>1</v>
      </c>
    </row>
    <row r="11" spans="2:10" x14ac:dyDescent="0.2">
      <c r="B11" s="8">
        <v>80.7</v>
      </c>
    </row>
    <row r="12" spans="2:10" x14ac:dyDescent="0.2">
      <c r="B12" s="8">
        <v>83.3</v>
      </c>
    </row>
    <row r="13" spans="2:10" x14ac:dyDescent="0.2">
      <c r="B13" s="8">
        <v>88.7</v>
      </c>
    </row>
    <row r="14" spans="2:10" x14ac:dyDescent="0.2">
      <c r="B14" s="8">
        <v>75.400000000000006</v>
      </c>
    </row>
    <row r="15" spans="2:10" x14ac:dyDescent="0.2">
      <c r="B15" s="8">
        <v>82.1</v>
      </c>
    </row>
    <row r="16" spans="2:10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FAF2-7BA0-4CFF-A102-57A5EF5851D4}">
  <sheetPr codeName="Sheet19">
    <tabColor theme="5" tint="0.59999389629810485"/>
  </sheetPr>
  <dimension ref="B1:M58"/>
  <sheetViews>
    <sheetView showGridLines="0" workbookViewId="0">
      <selection activeCell="K10" sqref="K10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5" width="11.5" customWidth="1"/>
    <col min="7" max="8" width="11.5" customWidth="1"/>
    <col min="11" max="13" width="11.5" customWidth="1"/>
  </cols>
  <sheetData>
    <row r="1" spans="2:13" ht="25.5" customHeight="1" x14ac:dyDescent="0.25">
      <c r="B1" s="18" t="s">
        <v>330</v>
      </c>
    </row>
    <row r="2" spans="2:13" ht="15" customHeight="1" x14ac:dyDescent="0.2">
      <c r="B2" s="30" t="s">
        <v>291</v>
      </c>
    </row>
    <row r="3" spans="2:13" ht="18" customHeight="1" x14ac:dyDescent="0.2"/>
    <row r="4" spans="2:13" x14ac:dyDescent="0.2">
      <c r="D4" s="3" t="s">
        <v>54</v>
      </c>
      <c r="G4" s="3" t="s">
        <v>54</v>
      </c>
      <c r="J4" s="3" t="s">
        <v>54</v>
      </c>
    </row>
    <row r="5" spans="2:13" x14ac:dyDescent="0.2">
      <c r="B5" s="7" t="s">
        <v>35</v>
      </c>
      <c r="D5" s="116" t="s">
        <v>85</v>
      </c>
      <c r="E5" s="116"/>
      <c r="G5" s="116" t="s">
        <v>86</v>
      </c>
      <c r="H5" s="116"/>
      <c r="J5" s="116" t="s">
        <v>96</v>
      </c>
      <c r="K5" s="116"/>
      <c r="L5" s="116"/>
      <c r="M5" s="116"/>
    </row>
    <row r="6" spans="2:13" ht="15" customHeight="1" x14ac:dyDescent="0.2">
      <c r="B6" s="12">
        <v>111000</v>
      </c>
      <c r="D6" s="20" t="s">
        <v>46</v>
      </c>
      <c r="E6" s="80">
        <f>AVERAGE(B6:B58)</f>
        <v>119386.7924528302</v>
      </c>
      <c r="G6" s="20" t="s">
        <v>46</v>
      </c>
      <c r="H6" s="80">
        <f>E6</f>
        <v>119386.7924528302</v>
      </c>
      <c r="J6" s="27" t="s">
        <v>91</v>
      </c>
      <c r="K6" s="17">
        <v>1</v>
      </c>
      <c r="L6" s="17">
        <v>2</v>
      </c>
      <c r="M6" s="17">
        <v>3</v>
      </c>
    </row>
    <row r="7" spans="2:13" ht="16" x14ac:dyDescent="0.2">
      <c r="B7" s="12">
        <v>107000</v>
      </c>
      <c r="D7" s="20" t="s">
        <v>47</v>
      </c>
      <c r="E7" s="80">
        <f>MEDIAN(B6:B58)</f>
        <v>104500</v>
      </c>
      <c r="G7" s="20" t="s">
        <v>70</v>
      </c>
      <c r="H7" s="80">
        <f>_xlfn.STDEV.S(B6:B58)</f>
        <v>45546.958176470725</v>
      </c>
      <c r="J7" s="27" t="s">
        <v>92</v>
      </c>
      <c r="K7" s="80">
        <f>$H$6-K6*$H$7</f>
        <v>73839.83427635947</v>
      </c>
      <c r="L7" s="80">
        <f t="shared" ref="L7:M7" si="0">$H$6-L6*$H$7</f>
        <v>28292.876099888745</v>
      </c>
      <c r="M7" s="80">
        <f t="shared" si="0"/>
        <v>-17254.082076581995</v>
      </c>
    </row>
    <row r="8" spans="2:13" ht="16" x14ac:dyDescent="0.2">
      <c r="B8" s="12">
        <v>109000</v>
      </c>
      <c r="J8" s="27" t="s">
        <v>93</v>
      </c>
      <c r="K8" s="80">
        <f>$H$6+K6*$H$7</f>
        <v>164933.75062930092</v>
      </c>
      <c r="L8" s="80">
        <f t="shared" ref="L8:M8" si="1">$H$6+L6*$H$7</f>
        <v>210480.70880577166</v>
      </c>
      <c r="M8" s="80">
        <f t="shared" si="1"/>
        <v>256027.66698224237</v>
      </c>
    </row>
    <row r="9" spans="2:13" ht="15" customHeight="1" x14ac:dyDescent="0.2">
      <c r="B9" s="12">
        <v>148000</v>
      </c>
      <c r="J9" s="27" t="s">
        <v>94</v>
      </c>
      <c r="K9" s="77">
        <v>0.68</v>
      </c>
      <c r="L9" s="77">
        <v>0.95</v>
      </c>
      <c r="M9" s="78">
        <v>0.997</v>
      </c>
    </row>
    <row r="10" spans="2:13" ht="16" x14ac:dyDescent="0.2">
      <c r="B10" s="12">
        <v>255500</v>
      </c>
      <c r="J10" s="27" t="s">
        <v>95</v>
      </c>
      <c r="K10" s="79">
        <f>COUNTIFS($B$6:$B$58,"&gt;="&amp;K7,$B$6:$B$58,"&lt;="&amp;K8)/COUNT($B$6:$B$58)</f>
        <v>0.8867924528301887</v>
      </c>
      <c r="L10" s="79">
        <f t="shared" ref="L10:M10" si="2">COUNTIFS($B$6:$B$58,"&gt;="&amp;L7,$B$6:$B$58,"&lt;="&amp;L8)/COUNT($B$6:$B$58)</f>
        <v>0.96226415094339623</v>
      </c>
      <c r="M10" s="79">
        <f t="shared" si="2"/>
        <v>0.98113207547169812</v>
      </c>
    </row>
    <row r="11" spans="2:13" x14ac:dyDescent="0.2">
      <c r="B11" s="12">
        <v>103500</v>
      </c>
    </row>
    <row r="12" spans="2:13" x14ac:dyDescent="0.2">
      <c r="B12" s="12">
        <v>114500</v>
      </c>
    </row>
    <row r="13" spans="2:13" x14ac:dyDescent="0.2">
      <c r="B13" s="12">
        <v>124000</v>
      </c>
    </row>
    <row r="14" spans="2:13" x14ac:dyDescent="0.2">
      <c r="B14" s="12">
        <v>132500</v>
      </c>
    </row>
    <row r="15" spans="2:13" x14ac:dyDescent="0.2">
      <c r="B15" s="12">
        <v>99000</v>
      </c>
    </row>
    <row r="16" spans="2:13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M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D64EF-C1B4-49BA-BC39-462390A4CA11}">
  <sheetPr codeName="Sheet20">
    <tabColor theme="5" tint="0.79998168889431442"/>
  </sheetPr>
  <dimension ref="A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1:8" ht="25.5" customHeight="1" x14ac:dyDescent="0.25">
      <c r="B1" s="18" t="s">
        <v>130</v>
      </c>
    </row>
    <row r="2" spans="1:8" ht="15" customHeight="1" x14ac:dyDescent="0.2">
      <c r="A2" t="s">
        <v>129</v>
      </c>
      <c r="B2" s="30" t="s">
        <v>295</v>
      </c>
    </row>
    <row r="3" spans="1:8" ht="18" customHeight="1" x14ac:dyDescent="0.2"/>
    <row r="4" spans="1:8" x14ac:dyDescent="0.2">
      <c r="D4" s="3" t="s">
        <v>54</v>
      </c>
      <c r="G4" s="3" t="s">
        <v>54</v>
      </c>
    </row>
    <row r="5" spans="1:8" x14ac:dyDescent="0.2">
      <c r="B5" s="7" t="s">
        <v>77</v>
      </c>
      <c r="D5" s="116" t="s">
        <v>86</v>
      </c>
      <c r="E5" s="116"/>
      <c r="G5" s="116" t="s">
        <v>293</v>
      </c>
      <c r="H5" s="116"/>
    </row>
    <row r="6" spans="1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>
        <v>70</v>
      </c>
    </row>
    <row r="7" spans="1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292</v>
      </c>
      <c r="H7" s="81">
        <f>_xlfn.NORM.DIST(H6,E6,E7,TRUE)</f>
        <v>4.9675867098228202E-2</v>
      </c>
    </row>
    <row r="8" spans="1:8" x14ac:dyDescent="0.2">
      <c r="B8" s="8">
        <v>68.7</v>
      </c>
    </row>
    <row r="9" spans="1:8" x14ac:dyDescent="0.2">
      <c r="B9" s="8">
        <v>80.7</v>
      </c>
      <c r="D9" s="20"/>
      <c r="E9" s="29"/>
    </row>
    <row r="10" spans="1:8" x14ac:dyDescent="0.2">
      <c r="B10" s="8">
        <v>74.900000000000006</v>
      </c>
      <c r="D10" s="20"/>
      <c r="E10" s="29"/>
    </row>
    <row r="11" spans="1:8" x14ac:dyDescent="0.2">
      <c r="B11" s="8">
        <v>80.7</v>
      </c>
    </row>
    <row r="12" spans="1:8" x14ac:dyDescent="0.2">
      <c r="B12" s="8">
        <v>83.3</v>
      </c>
    </row>
    <row r="13" spans="1:8" x14ac:dyDescent="0.2">
      <c r="B13" s="8">
        <v>88.7</v>
      </c>
    </row>
    <row r="14" spans="1:8" x14ac:dyDescent="0.2">
      <c r="B14" s="8">
        <v>75.400000000000006</v>
      </c>
    </row>
    <row r="15" spans="1:8" x14ac:dyDescent="0.2">
      <c r="B15" s="8">
        <v>82.1</v>
      </c>
    </row>
    <row r="16" spans="1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C529-81A8-41DB-B6CC-BD7B3F2D3D72}">
  <sheetPr codeName="Sheet21">
    <tabColor theme="5" tint="0.79998168889431442"/>
  </sheetPr>
  <dimension ref="B1:F100"/>
  <sheetViews>
    <sheetView showGridLines="0" workbookViewId="0">
      <selection activeCell="F11" sqref="F11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4" width="17.1640625" customWidth="1"/>
    <col min="5" max="5" width="9.1640625" customWidth="1"/>
  </cols>
  <sheetData>
    <row r="1" spans="2:6" ht="25.5" customHeight="1" x14ac:dyDescent="0.25">
      <c r="B1" s="18" t="s">
        <v>296</v>
      </c>
    </row>
    <row r="2" spans="2:6" ht="15" customHeight="1" x14ac:dyDescent="0.2">
      <c r="B2" s="30" t="s">
        <v>294</v>
      </c>
    </row>
    <row r="3" spans="2:6" ht="18" customHeight="1" x14ac:dyDescent="0.2"/>
    <row r="4" spans="2:6" x14ac:dyDescent="0.2">
      <c r="D4" s="3" t="s">
        <v>54</v>
      </c>
    </row>
    <row r="5" spans="2:6" x14ac:dyDescent="0.2">
      <c r="B5" s="7" t="s">
        <v>77</v>
      </c>
      <c r="D5" s="116" t="s">
        <v>293</v>
      </c>
      <c r="E5" s="116"/>
    </row>
    <row r="6" spans="2:6" x14ac:dyDescent="0.2">
      <c r="B6" s="8">
        <v>90.2</v>
      </c>
      <c r="D6" s="20" t="s">
        <v>107</v>
      </c>
      <c r="E6" s="71">
        <v>-1</v>
      </c>
    </row>
    <row r="7" spans="2:6" x14ac:dyDescent="0.2">
      <c r="B7" s="8">
        <v>92.8</v>
      </c>
      <c r="D7" s="20" t="s">
        <v>108</v>
      </c>
      <c r="E7" s="71">
        <v>1</v>
      </c>
    </row>
    <row r="8" spans="2:6" x14ac:dyDescent="0.2">
      <c r="B8" s="8">
        <v>68.7</v>
      </c>
      <c r="D8" s="20" t="s">
        <v>131</v>
      </c>
      <c r="E8" s="81">
        <f>_xlfn.NORM.S.DIST(E7,TRUE)-_xlfn.NORM.S.DIST(E6,TRUE)</f>
        <v>0.68268949213708607</v>
      </c>
      <c r="F8" t="s">
        <v>331</v>
      </c>
    </row>
    <row r="9" spans="2:6" x14ac:dyDescent="0.2">
      <c r="B9" s="8">
        <v>80.7</v>
      </c>
      <c r="D9" s="20"/>
      <c r="E9" s="29"/>
    </row>
    <row r="10" spans="2:6" x14ac:dyDescent="0.2">
      <c r="B10" s="8">
        <v>74.900000000000006</v>
      </c>
    </row>
    <row r="11" spans="2:6" x14ac:dyDescent="0.2">
      <c r="B11" s="8">
        <v>80.7</v>
      </c>
    </row>
    <row r="12" spans="2:6" x14ac:dyDescent="0.2">
      <c r="B12" s="8">
        <v>83.3</v>
      </c>
    </row>
    <row r="13" spans="2:6" x14ac:dyDescent="0.2">
      <c r="B13" s="8">
        <v>88.7</v>
      </c>
    </row>
    <row r="14" spans="2:6" x14ac:dyDescent="0.2">
      <c r="B14" s="8">
        <v>75.400000000000006</v>
      </c>
    </row>
    <row r="15" spans="2:6" x14ac:dyDescent="0.2">
      <c r="B15" s="8">
        <v>82.1</v>
      </c>
    </row>
    <row r="16" spans="2:6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F50B-7E44-4350-986F-24B765A87B1A}">
  <sheetPr codeName="Sheet22">
    <tabColor theme="5" tint="0.59999389629810485"/>
  </sheetPr>
  <dimension ref="B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132</v>
      </c>
    </row>
    <row r="2" spans="2:8" ht="15" customHeight="1" x14ac:dyDescent="0.2">
      <c r="B2" s="31" t="s">
        <v>295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6" t="s">
        <v>86</v>
      </c>
      <c r="E5" s="116"/>
      <c r="G5" s="116" t="s">
        <v>293</v>
      </c>
      <c r="H5" s="116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>
        <v>90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104</v>
      </c>
      <c r="H7" s="81">
        <f>1-_xlfn.NORM.DIST(H6,E6,E7,TRUE)</f>
        <v>5.5571485331932569E-2</v>
      </c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BCC42-B190-4959-AD45-E5CCB67A793D}">
  <sheetPr codeName="Sheet23">
    <tabColor theme="5" tint="0.79998168889431442"/>
  </sheetPr>
  <dimension ref="B1:I100"/>
  <sheetViews>
    <sheetView showGridLines="0" topLeftCell="D1" workbookViewId="0">
      <selection activeCell="I6" sqref="I6:I26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8" max="8" width="18.1640625" bestFit="1" customWidth="1"/>
    <col min="9" max="9" width="21.6640625" bestFit="1" customWidth="1"/>
  </cols>
  <sheetData>
    <row r="1" spans="2:9" ht="25.5" customHeight="1" x14ac:dyDescent="0.25">
      <c r="B1" s="18" t="s">
        <v>133</v>
      </c>
    </row>
    <row r="2" spans="2:9" ht="15" customHeight="1" x14ac:dyDescent="0.2">
      <c r="B2" s="30" t="s">
        <v>297</v>
      </c>
    </row>
    <row r="3" spans="2:9" ht="18" customHeight="1" x14ac:dyDescent="0.2"/>
    <row r="4" spans="2:9" x14ac:dyDescent="0.2">
      <c r="D4" s="3" t="s">
        <v>54</v>
      </c>
      <c r="G4" s="3" t="s">
        <v>54</v>
      </c>
    </row>
    <row r="5" spans="2:9" x14ac:dyDescent="0.2">
      <c r="B5" s="7" t="s">
        <v>77</v>
      </c>
      <c r="D5" s="116" t="s">
        <v>86</v>
      </c>
      <c r="E5" s="116"/>
      <c r="G5" s="10" t="s">
        <v>99</v>
      </c>
      <c r="H5" s="10" t="s">
        <v>100</v>
      </c>
      <c r="I5" s="10" t="s">
        <v>105</v>
      </c>
    </row>
    <row r="6" spans="2:9" x14ac:dyDescent="0.2">
      <c r="B6" s="8">
        <v>90.2</v>
      </c>
      <c r="D6" s="20" t="s">
        <v>46</v>
      </c>
      <c r="E6" s="75">
        <f>AVERAGE(B6:B100)</f>
        <v>80.169473684210516</v>
      </c>
      <c r="G6" s="8">
        <v>60</v>
      </c>
      <c r="H6" s="8">
        <f>_xlfn.NORM.DIST(G6,$E$6,$E$7,FALSE)</f>
        <v>3.0952931395656784E-4</v>
      </c>
      <c r="I6" s="8">
        <f>IF(AND(G6&gt;=72,G6&lt;=86),H6,-100)</f>
        <v>-100</v>
      </c>
    </row>
    <row r="7" spans="2:9" x14ac:dyDescent="0.2">
      <c r="B7" s="8">
        <v>92.8</v>
      </c>
      <c r="D7" s="20" t="s">
        <v>70</v>
      </c>
      <c r="E7" s="75">
        <f>_xlfn.STDEV.S(B6:B100)</f>
        <v>6.1707800411122609</v>
      </c>
      <c r="G7" s="8">
        <v>62</v>
      </c>
      <c r="H7" s="8">
        <f t="shared" ref="H7:H26" si="0">_xlfn.NORM.DIST(G7,$E$6,$E$7,FALSE)</f>
        <v>8.4716192775783749E-4</v>
      </c>
      <c r="I7" s="8">
        <f t="shared" ref="I7:I26" si="1">IF(AND(G7&gt;=72,G7&lt;=86),H7,-100)</f>
        <v>-100</v>
      </c>
    </row>
    <row r="8" spans="2:9" x14ac:dyDescent="0.2">
      <c r="B8" s="8">
        <v>68.7</v>
      </c>
      <c r="G8" s="8">
        <v>64</v>
      </c>
      <c r="H8" s="8">
        <f t="shared" si="0"/>
        <v>2.087421445520822E-3</v>
      </c>
      <c r="I8" s="8">
        <f t="shared" si="1"/>
        <v>-100</v>
      </c>
    </row>
    <row r="9" spans="2:9" x14ac:dyDescent="0.2">
      <c r="B9" s="8">
        <v>80.7</v>
      </c>
      <c r="G9" s="8">
        <v>66</v>
      </c>
      <c r="H9" s="8">
        <f t="shared" si="0"/>
        <v>4.6305536271465499E-3</v>
      </c>
      <c r="I9" s="8">
        <f t="shared" si="1"/>
        <v>-100</v>
      </c>
    </row>
    <row r="10" spans="2:9" x14ac:dyDescent="0.2">
      <c r="B10" s="8">
        <v>74.900000000000006</v>
      </c>
      <c r="G10" s="8">
        <v>68</v>
      </c>
      <c r="H10" s="8">
        <f t="shared" si="0"/>
        <v>9.2477219127595003E-3</v>
      </c>
      <c r="I10" s="8">
        <f t="shared" si="1"/>
        <v>-100</v>
      </c>
    </row>
    <row r="11" spans="2:9" x14ac:dyDescent="0.2">
      <c r="B11" s="8">
        <v>80.7</v>
      </c>
      <c r="G11" s="8">
        <v>70</v>
      </c>
      <c r="H11" s="8">
        <f t="shared" si="0"/>
        <v>1.6627067938365887E-2</v>
      </c>
      <c r="I11" s="8">
        <f t="shared" si="1"/>
        <v>-100</v>
      </c>
    </row>
    <row r="12" spans="2:9" x14ac:dyDescent="0.2">
      <c r="B12" s="8">
        <v>83.3</v>
      </c>
      <c r="G12" s="8">
        <v>72</v>
      </c>
      <c r="H12" s="8">
        <f t="shared" si="0"/>
        <v>2.6913838820218548E-2</v>
      </c>
      <c r="I12" s="8">
        <f t="shared" si="1"/>
        <v>2.6913838820218548E-2</v>
      </c>
    </row>
    <row r="13" spans="2:9" x14ac:dyDescent="0.2">
      <c r="B13" s="8">
        <v>88.7</v>
      </c>
      <c r="G13" s="8">
        <v>74</v>
      </c>
      <c r="H13" s="8">
        <f t="shared" si="0"/>
        <v>3.922064118584874E-2</v>
      </c>
      <c r="I13" s="8">
        <f t="shared" si="1"/>
        <v>3.922064118584874E-2</v>
      </c>
    </row>
    <row r="14" spans="2:9" x14ac:dyDescent="0.2">
      <c r="B14" s="8">
        <v>75.400000000000006</v>
      </c>
      <c r="G14" s="8">
        <v>76</v>
      </c>
      <c r="H14" s="8">
        <f t="shared" si="0"/>
        <v>5.1455617885659118E-2</v>
      </c>
      <c r="I14" s="8">
        <f t="shared" si="1"/>
        <v>5.1455617885659118E-2</v>
      </c>
    </row>
    <row r="15" spans="2:9" x14ac:dyDescent="0.2">
      <c r="B15" s="8">
        <v>82.1</v>
      </c>
      <c r="G15" s="8">
        <v>78</v>
      </c>
      <c r="H15" s="8">
        <f t="shared" si="0"/>
        <v>6.0775700353358199E-2</v>
      </c>
      <c r="I15" s="8">
        <f t="shared" si="1"/>
        <v>6.0775700353358199E-2</v>
      </c>
    </row>
    <row r="16" spans="2:9" x14ac:dyDescent="0.2">
      <c r="B16" s="8">
        <v>87.5</v>
      </c>
      <c r="G16" s="8">
        <v>80</v>
      </c>
      <c r="H16" s="8">
        <f t="shared" si="0"/>
        <v>6.4625841766344283E-2</v>
      </c>
      <c r="I16" s="8">
        <f t="shared" si="1"/>
        <v>6.4625841766344283E-2</v>
      </c>
    </row>
    <row r="17" spans="2:9" x14ac:dyDescent="0.2">
      <c r="B17" s="8">
        <v>66.900000000000006</v>
      </c>
      <c r="G17" s="8">
        <v>82</v>
      </c>
      <c r="H17" s="8">
        <f t="shared" si="0"/>
        <v>6.186735083523575E-2</v>
      </c>
      <c r="I17" s="8">
        <f t="shared" si="1"/>
        <v>6.186735083523575E-2</v>
      </c>
    </row>
    <row r="18" spans="2:9" x14ac:dyDescent="0.2">
      <c r="B18" s="8">
        <v>71.3</v>
      </c>
      <c r="G18" s="8">
        <v>84</v>
      </c>
      <c r="H18" s="8">
        <f t="shared" si="0"/>
        <v>5.332070624163418E-2</v>
      </c>
      <c r="I18" s="8">
        <f t="shared" si="1"/>
        <v>5.332070624163418E-2</v>
      </c>
    </row>
    <row r="19" spans="2:9" x14ac:dyDescent="0.2">
      <c r="B19" s="8">
        <v>76.8</v>
      </c>
      <c r="G19" s="8">
        <v>86</v>
      </c>
      <c r="H19" s="8">
        <f t="shared" si="0"/>
        <v>4.137226830550346E-2</v>
      </c>
      <c r="I19" s="8">
        <f t="shared" si="1"/>
        <v>4.137226830550346E-2</v>
      </c>
    </row>
    <row r="20" spans="2:9" x14ac:dyDescent="0.2">
      <c r="B20" s="8">
        <v>72.3</v>
      </c>
      <c r="G20" s="8">
        <v>88</v>
      </c>
      <c r="H20" s="8">
        <f t="shared" si="0"/>
        <v>2.8900265870792894E-2</v>
      </c>
      <c r="I20" s="8">
        <f t="shared" si="1"/>
        <v>-100</v>
      </c>
    </row>
    <row r="21" spans="2:9" x14ac:dyDescent="0.2">
      <c r="B21" s="8">
        <v>72.400000000000006</v>
      </c>
      <c r="G21" s="8">
        <v>90</v>
      </c>
      <c r="H21" s="8">
        <f t="shared" si="0"/>
        <v>1.817495774949713E-2</v>
      </c>
      <c r="I21" s="8">
        <f t="shared" si="1"/>
        <v>-100</v>
      </c>
    </row>
    <row r="22" spans="2:9" x14ac:dyDescent="0.2">
      <c r="B22" s="8">
        <v>72</v>
      </c>
      <c r="G22" s="8">
        <v>92</v>
      </c>
      <c r="H22" s="8">
        <f t="shared" si="0"/>
        <v>1.0290205502344866E-2</v>
      </c>
      <c r="I22" s="8">
        <f t="shared" si="1"/>
        <v>-100</v>
      </c>
    </row>
    <row r="23" spans="2:9" x14ac:dyDescent="0.2">
      <c r="B23" s="8">
        <v>81</v>
      </c>
      <c r="G23" s="8">
        <v>94</v>
      </c>
      <c r="H23" s="8">
        <f t="shared" si="0"/>
        <v>5.2450997543787847E-3</v>
      </c>
      <c r="I23" s="8">
        <f t="shared" si="1"/>
        <v>-100</v>
      </c>
    </row>
    <row r="24" spans="2:9" x14ac:dyDescent="0.2">
      <c r="B24" s="8">
        <v>96.1</v>
      </c>
      <c r="G24" s="8">
        <v>96</v>
      </c>
      <c r="H24" s="8">
        <f t="shared" si="0"/>
        <v>2.4069248056546818E-3</v>
      </c>
      <c r="I24" s="8">
        <f t="shared" si="1"/>
        <v>-100</v>
      </c>
    </row>
    <row r="25" spans="2:9" x14ac:dyDescent="0.2">
      <c r="B25" s="8">
        <v>76.7</v>
      </c>
      <c r="G25" s="8">
        <v>98</v>
      </c>
      <c r="H25" s="8">
        <f t="shared" si="0"/>
        <v>9.9437537201741604E-4</v>
      </c>
      <c r="I25" s="8">
        <f t="shared" si="1"/>
        <v>-100</v>
      </c>
    </row>
    <row r="26" spans="2:9" x14ac:dyDescent="0.2">
      <c r="B26" s="8">
        <v>80.3</v>
      </c>
      <c r="G26" s="8">
        <v>100</v>
      </c>
      <c r="H26" s="8">
        <f t="shared" si="0"/>
        <v>3.6984288004996362E-4</v>
      </c>
      <c r="I26" s="8">
        <f t="shared" si="1"/>
        <v>-100</v>
      </c>
    </row>
    <row r="27" spans="2:9" x14ac:dyDescent="0.2">
      <c r="B27" s="8">
        <v>77.8</v>
      </c>
    </row>
    <row r="28" spans="2:9" x14ac:dyDescent="0.2">
      <c r="B28" s="8">
        <v>62.6</v>
      </c>
    </row>
    <row r="29" spans="2:9" x14ac:dyDescent="0.2">
      <c r="B29" s="8">
        <v>80.2</v>
      </c>
    </row>
    <row r="30" spans="2:9" x14ac:dyDescent="0.2">
      <c r="B30" s="8">
        <v>79.099999999999994</v>
      </c>
    </row>
    <row r="31" spans="2:9" x14ac:dyDescent="0.2">
      <c r="B31" s="8">
        <v>77.8</v>
      </c>
    </row>
    <row r="32" spans="2:9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11A9-692D-463F-AAA9-D3D5CF47B87B}">
  <sheetPr codeName="Sheet24">
    <tabColor theme="5" tint="0.79998168889431442"/>
  </sheetPr>
  <dimension ref="B1:H100"/>
  <sheetViews>
    <sheetView showGridLines="0" workbookViewId="0">
      <selection activeCell="H8" sqref="H8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134</v>
      </c>
    </row>
    <row r="2" spans="2:8" ht="15" customHeight="1" x14ac:dyDescent="0.2">
      <c r="B2" s="30" t="s">
        <v>299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6" t="s">
        <v>86</v>
      </c>
      <c r="E5" s="116"/>
      <c r="G5" s="116" t="s">
        <v>298</v>
      </c>
      <c r="H5" s="116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111</v>
      </c>
      <c r="H6" s="82">
        <v>0.25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112</v>
      </c>
      <c r="H7" s="82">
        <v>0.75</v>
      </c>
    </row>
    <row r="8" spans="2:8" x14ac:dyDescent="0.2">
      <c r="B8" s="8">
        <v>68.7</v>
      </c>
      <c r="G8" s="20" t="s">
        <v>114</v>
      </c>
      <c r="H8" s="83">
        <f>_xlfn.NORM.INV(H6,$E$6,$E$7)</f>
        <v>76.007345795765744</v>
      </c>
    </row>
    <row r="9" spans="2:8" x14ac:dyDescent="0.2">
      <c r="B9" s="8">
        <v>80.7</v>
      </c>
      <c r="D9" s="20"/>
      <c r="E9" s="29"/>
      <c r="G9" s="20" t="s">
        <v>113</v>
      </c>
      <c r="H9" s="83">
        <f>_xlfn.NORM.INV(H7,$E$6,$E$7)</f>
        <v>84.331601572655288</v>
      </c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4AAF-BB33-4729-8161-7C7E21596711}">
  <sheetPr codeName="Sheet25">
    <tabColor theme="5" tint="0.79998168889431442"/>
  </sheetPr>
  <dimension ref="B1:H100"/>
  <sheetViews>
    <sheetView showGridLines="0" workbookViewId="0">
      <selection activeCell="H7" sqref="H7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20" customWidth="1"/>
  </cols>
  <sheetData>
    <row r="1" spans="2:8" ht="25.5" customHeight="1" x14ac:dyDescent="0.25">
      <c r="B1" s="18" t="s">
        <v>135</v>
      </c>
    </row>
    <row r="2" spans="2:8" ht="15" customHeight="1" x14ac:dyDescent="0.2">
      <c r="B2" s="30" t="s">
        <v>300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6" t="s">
        <v>86</v>
      </c>
      <c r="E5" s="116"/>
      <c r="G5" s="116" t="s">
        <v>301</v>
      </c>
      <c r="H5" s="116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77">
        <v>0.2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90</v>
      </c>
      <c r="H7" s="70">
        <f>_xlfn.NORM.S.INV(H6)</f>
        <v>-0.84162123357291452</v>
      </c>
    </row>
    <row r="8" spans="2:8" x14ac:dyDescent="0.2">
      <c r="B8" s="8">
        <v>68.7</v>
      </c>
      <c r="G8" s="20"/>
      <c r="H8" s="29"/>
    </row>
    <row r="9" spans="2:8" x14ac:dyDescent="0.2">
      <c r="B9" s="8">
        <v>80.7</v>
      </c>
      <c r="D9" s="20"/>
      <c r="E9" s="29"/>
      <c r="G9" s="20"/>
      <c r="H9" s="29"/>
    </row>
    <row r="10" spans="2:8" x14ac:dyDescent="0.2">
      <c r="B10" s="8">
        <v>74.900000000000006</v>
      </c>
      <c r="D10" s="20"/>
      <c r="E10" s="29"/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6139-4863-4DA6-9AD6-D7192B0FABC0}">
  <sheetPr codeName="Sheet26">
    <tabColor theme="5" tint="0.59999389629810485"/>
  </sheetPr>
  <dimension ref="B1:H100"/>
  <sheetViews>
    <sheetView showGridLines="0" workbookViewId="0">
      <selection activeCell="H8" sqref="H8"/>
    </sheetView>
  </sheetViews>
  <sheetFormatPr baseColWidth="10" defaultColWidth="8.83203125" defaultRowHeight="15" x14ac:dyDescent="0.2"/>
  <cols>
    <col min="1" max="1" width="2.83203125" customWidth="1"/>
    <col min="2" max="2" width="10.6640625" bestFit="1" customWidth="1"/>
    <col min="4" max="5" width="11.5" customWidth="1"/>
    <col min="7" max="7" width="14.33203125" customWidth="1"/>
  </cols>
  <sheetData>
    <row r="1" spans="2:8" ht="25.5" customHeight="1" x14ac:dyDescent="0.25">
      <c r="B1" s="18" t="s">
        <v>136</v>
      </c>
    </row>
    <row r="2" spans="2:8" ht="15" customHeight="1" x14ac:dyDescent="0.2">
      <c r="B2" s="30" t="s">
        <v>302</v>
      </c>
    </row>
    <row r="3" spans="2:8" ht="18" customHeight="1" x14ac:dyDescent="0.2"/>
    <row r="4" spans="2:8" x14ac:dyDescent="0.2">
      <c r="D4" s="3" t="s">
        <v>54</v>
      </c>
      <c r="G4" s="3" t="s">
        <v>54</v>
      </c>
    </row>
    <row r="5" spans="2:8" x14ac:dyDescent="0.2">
      <c r="B5" s="7" t="s">
        <v>77</v>
      </c>
      <c r="D5" s="116" t="s">
        <v>86</v>
      </c>
      <c r="E5" s="116"/>
      <c r="G5" s="116" t="s">
        <v>298</v>
      </c>
      <c r="H5" s="116"/>
    </row>
    <row r="6" spans="2:8" x14ac:dyDescent="0.2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82">
        <f>1-10%</f>
        <v>0.9</v>
      </c>
    </row>
    <row r="7" spans="2:8" x14ac:dyDescent="0.2">
      <c r="B7" s="8">
        <v>92.8</v>
      </c>
      <c r="D7" s="20" t="s">
        <v>70</v>
      </c>
      <c r="E7" s="75">
        <f>_xlfn.STDEV.S(B6:B100)</f>
        <v>6.1707800411122609</v>
      </c>
      <c r="G7" s="20" t="s">
        <v>116</v>
      </c>
      <c r="H7" s="83">
        <f>_xlfn.NORM.INV((H6),$E$6,$E$7)</f>
        <v>88.077646506529305</v>
      </c>
    </row>
    <row r="8" spans="2:8" x14ac:dyDescent="0.2">
      <c r="B8" s="8">
        <v>68.7</v>
      </c>
      <c r="G8" s="20" t="s">
        <v>90</v>
      </c>
      <c r="H8" s="84">
        <f>_xlfn.NORM.S.INV(H6)</f>
        <v>1.2815515655446006</v>
      </c>
    </row>
    <row r="9" spans="2:8" x14ac:dyDescent="0.2">
      <c r="B9" s="8">
        <v>80.7</v>
      </c>
    </row>
    <row r="10" spans="2:8" x14ac:dyDescent="0.2">
      <c r="B10" s="8">
        <v>74.900000000000006</v>
      </c>
    </row>
    <row r="11" spans="2:8" x14ac:dyDescent="0.2">
      <c r="B11" s="8">
        <v>80.7</v>
      </c>
    </row>
    <row r="12" spans="2:8" x14ac:dyDescent="0.2">
      <c r="B12" s="8">
        <v>83.3</v>
      </c>
    </row>
    <row r="13" spans="2:8" x14ac:dyDescent="0.2">
      <c r="B13" s="8">
        <v>88.7</v>
      </c>
    </row>
    <row r="14" spans="2:8" x14ac:dyDescent="0.2">
      <c r="B14" s="8">
        <v>75.400000000000006</v>
      </c>
    </row>
    <row r="15" spans="2:8" x14ac:dyDescent="0.2">
      <c r="B15" s="8">
        <v>82.1</v>
      </c>
    </row>
    <row r="16" spans="2: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A3AC-2677-494D-A75F-C45C685E047A}">
  <sheetPr codeName="Sheet27">
    <tabColor theme="9" tint="0.79998168889431442"/>
  </sheetPr>
  <dimension ref="B1:K100"/>
  <sheetViews>
    <sheetView showGridLines="0" workbookViewId="0">
      <selection activeCell="H11" sqref="H11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144</v>
      </c>
    </row>
    <row r="2" spans="2:11" ht="15" customHeight="1" x14ac:dyDescent="0.2">
      <c r="B2" s="30" t="s">
        <v>152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16" t="s">
        <v>138</v>
      </c>
      <c r="E5" s="116"/>
      <c r="G5" s="116" t="s">
        <v>140</v>
      </c>
      <c r="H5" s="116"/>
      <c r="J5" s="116" t="s">
        <v>146</v>
      </c>
      <c r="K5" s="116"/>
    </row>
    <row r="6" spans="2:11" x14ac:dyDescent="0.2">
      <c r="B6" s="8">
        <v>276</v>
      </c>
      <c r="D6" s="20" t="s">
        <v>71</v>
      </c>
      <c r="E6" s="71">
        <f>COUNT(B6:B100)</f>
        <v>95</v>
      </c>
      <c r="G6" s="20" t="s">
        <v>141</v>
      </c>
      <c r="H6" s="82">
        <v>0.9</v>
      </c>
      <c r="J6" s="20" t="s">
        <v>147</v>
      </c>
      <c r="K6" s="75">
        <f>E7-H11</f>
        <v>274.159110498644</v>
      </c>
    </row>
    <row r="7" spans="2:11" x14ac:dyDescent="0.2">
      <c r="B7" s="8">
        <v>410</v>
      </c>
      <c r="D7" s="20" t="s">
        <v>46</v>
      </c>
      <c r="E7" s="72">
        <f>AVERAGE(B6:B100)</f>
        <v>289.34736842105264</v>
      </c>
      <c r="G7" s="20" t="s">
        <v>142</v>
      </c>
      <c r="H7" s="82">
        <f>1-H6</f>
        <v>9.9999999999999978E-2</v>
      </c>
      <c r="J7" s="20" t="s">
        <v>148</v>
      </c>
      <c r="K7" s="75">
        <f>E7+H11</f>
        <v>304.53562634346127</v>
      </c>
    </row>
    <row r="8" spans="2:11" x14ac:dyDescent="0.2">
      <c r="B8" s="8">
        <v>119</v>
      </c>
      <c r="G8" s="20" t="s">
        <v>143</v>
      </c>
      <c r="H8" s="85">
        <f>H7/2</f>
        <v>4.9999999999999989E-2</v>
      </c>
    </row>
    <row r="9" spans="2:11" x14ac:dyDescent="0.2">
      <c r="B9" s="8">
        <v>334</v>
      </c>
      <c r="D9" s="116" t="s">
        <v>139</v>
      </c>
      <c r="E9" s="116"/>
      <c r="G9" s="20" t="s">
        <v>151</v>
      </c>
      <c r="H9" s="86">
        <f>_xlfn.NORM.S.INV(1-H8)</f>
        <v>1.6448536269514715</v>
      </c>
    </row>
    <row r="10" spans="2:11" x14ac:dyDescent="0.2">
      <c r="B10" s="8">
        <v>252</v>
      </c>
      <c r="D10" s="20" t="s">
        <v>70</v>
      </c>
      <c r="E10" s="71">
        <v>90</v>
      </c>
      <c r="G10" s="20" t="s">
        <v>145</v>
      </c>
      <c r="H10" s="75">
        <f>E10/SQRT(E6)</f>
        <v>9.2338051687663878</v>
      </c>
    </row>
    <row r="11" spans="2:11" x14ac:dyDescent="0.2">
      <c r="B11" s="8">
        <v>209</v>
      </c>
      <c r="D11" s="20"/>
      <c r="E11" s="1"/>
      <c r="G11" s="20" t="s">
        <v>149</v>
      </c>
      <c r="H11" s="75">
        <f>H10*H9</f>
        <v>15.188257922408638</v>
      </c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D5:E5"/>
    <mergeCell ref="G5:H5"/>
    <mergeCell ref="D9:E9"/>
    <mergeCell ref="J5:K5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A302-6255-4B0B-8FAB-28688B5D2A81}">
  <sheetPr codeName="Sheet28">
    <tabColor theme="9" tint="0.59999389629810485"/>
  </sheetPr>
  <dimension ref="B1:K58"/>
  <sheetViews>
    <sheetView showGridLines="0" workbookViewId="0">
      <selection activeCell="I9" sqref="I9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150</v>
      </c>
    </row>
    <row r="2" spans="2:11" ht="15" customHeight="1" x14ac:dyDescent="0.2">
      <c r="B2" s="30" t="s">
        <v>303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16" t="s">
        <v>138</v>
      </c>
      <c r="E5" s="116"/>
      <c r="G5" s="116" t="s">
        <v>140</v>
      </c>
      <c r="H5" s="116"/>
      <c r="J5" s="116" t="s">
        <v>146</v>
      </c>
      <c r="K5" s="116"/>
    </row>
    <row r="6" spans="2:11" x14ac:dyDescent="0.2">
      <c r="B6" s="12">
        <v>111000</v>
      </c>
      <c r="D6" s="20" t="s">
        <v>71</v>
      </c>
      <c r="E6" s="71">
        <f>COUNT(B6:B58)</f>
        <v>53</v>
      </c>
      <c r="G6" s="20" t="s">
        <v>141</v>
      </c>
      <c r="H6" s="82">
        <v>0.8</v>
      </c>
      <c r="J6" s="20" t="s">
        <v>147</v>
      </c>
      <c r="K6" s="80">
        <f>E7-H8</f>
        <v>106008.15937411779</v>
      </c>
    </row>
    <row r="7" spans="2:11" x14ac:dyDescent="0.2">
      <c r="B7" s="12">
        <v>107000</v>
      </c>
      <c r="D7" s="20" t="s">
        <v>46</v>
      </c>
      <c r="E7" s="80">
        <f>AVERAGE(B6:B58)</f>
        <v>119386.7924528302</v>
      </c>
      <c r="G7" s="20" t="s">
        <v>142</v>
      </c>
      <c r="H7" s="82">
        <f>1-H6</f>
        <v>0.19999999999999996</v>
      </c>
      <c r="J7" s="20" t="s">
        <v>148</v>
      </c>
      <c r="K7" s="80">
        <f>E7+H8</f>
        <v>132765.4255315426</v>
      </c>
    </row>
    <row r="8" spans="2:11" x14ac:dyDescent="0.2">
      <c r="B8" s="12">
        <v>109000</v>
      </c>
      <c r="D8" s="20"/>
      <c r="E8" s="28"/>
      <c r="G8" s="20" t="s">
        <v>149</v>
      </c>
      <c r="H8" s="80">
        <f>_xlfn.CONFIDENCE.NORM(H7,E11,E6)</f>
        <v>13378.633078712406</v>
      </c>
    </row>
    <row r="9" spans="2:11" x14ac:dyDescent="0.2">
      <c r="B9" s="12">
        <v>148000</v>
      </c>
      <c r="D9" s="116" t="s">
        <v>139</v>
      </c>
      <c r="E9" s="116"/>
    </row>
    <row r="10" spans="2:11" x14ac:dyDescent="0.2">
      <c r="B10" s="12">
        <v>255500</v>
      </c>
      <c r="D10" s="20" t="s">
        <v>46</v>
      </c>
      <c r="E10" s="80">
        <v>101000</v>
      </c>
    </row>
    <row r="11" spans="2:11" x14ac:dyDescent="0.2">
      <c r="B11" s="12">
        <v>103500</v>
      </c>
      <c r="D11" s="20" t="s">
        <v>70</v>
      </c>
      <c r="E11" s="80">
        <v>76000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4">
    <mergeCell ref="D5:E5"/>
    <mergeCell ref="G5:H5"/>
    <mergeCell ref="J5:K5"/>
    <mergeCell ref="D9:E9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918B-A2D2-48EA-A229-EB4A2B548471}">
  <sheetPr codeName="Sheet29">
    <tabColor theme="9" tint="0.79998168889431442"/>
  </sheetPr>
  <dimension ref="B1:K100"/>
  <sheetViews>
    <sheetView showGridLines="0" workbookViewId="0">
      <selection activeCell="H10" sqref="H10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144</v>
      </c>
    </row>
    <row r="2" spans="2:11" ht="15" customHeight="1" x14ac:dyDescent="0.2">
      <c r="B2" s="30" t="s">
        <v>304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23</v>
      </c>
      <c r="D5" s="116" t="s">
        <v>138</v>
      </c>
      <c r="E5" s="116"/>
      <c r="G5" s="116" t="s">
        <v>140</v>
      </c>
      <c r="H5" s="116"/>
      <c r="J5" s="116" t="s">
        <v>146</v>
      </c>
      <c r="K5" s="116"/>
    </row>
    <row r="6" spans="2:11" x14ac:dyDescent="0.2">
      <c r="B6" s="8">
        <v>276</v>
      </c>
      <c r="D6" s="20" t="s">
        <v>71</v>
      </c>
      <c r="E6" s="71">
        <f>COUNT(B6:B100)</f>
        <v>95</v>
      </c>
      <c r="G6" s="20" t="s">
        <v>141</v>
      </c>
      <c r="H6" s="82">
        <v>0.9</v>
      </c>
      <c r="J6" s="20" t="s">
        <v>147</v>
      </c>
      <c r="K6" s="75">
        <f>E7-H11</f>
        <v>273.40781140085119</v>
      </c>
    </row>
    <row r="7" spans="2:11" x14ac:dyDescent="0.2">
      <c r="B7" s="8">
        <v>410</v>
      </c>
      <c r="D7" s="20" t="s">
        <v>46</v>
      </c>
      <c r="E7" s="72">
        <f>AVERAGE(B6:B100)</f>
        <v>289.34736842105264</v>
      </c>
      <c r="G7" s="20" t="s">
        <v>142</v>
      </c>
      <c r="H7" s="82">
        <f>1-H6</f>
        <v>9.9999999999999978E-2</v>
      </c>
      <c r="J7" s="20" t="s">
        <v>148</v>
      </c>
      <c r="K7" s="75">
        <f>E7+H11</f>
        <v>305.28692544125408</v>
      </c>
    </row>
    <row r="8" spans="2:11" x14ac:dyDescent="0.2">
      <c r="B8" s="8">
        <v>119</v>
      </c>
      <c r="D8" s="20" t="s">
        <v>70</v>
      </c>
      <c r="E8" s="75">
        <f>STDEV(B6:B100)</f>
        <v>93.521048765238149</v>
      </c>
      <c r="G8" s="20" t="s">
        <v>143</v>
      </c>
      <c r="H8" s="85">
        <f>H7/2</f>
        <v>4.9999999999999989E-2</v>
      </c>
    </row>
    <row r="9" spans="2:11" x14ac:dyDescent="0.2">
      <c r="B9" s="8">
        <v>334</v>
      </c>
      <c r="G9" s="20" t="s">
        <v>155</v>
      </c>
      <c r="H9" s="86">
        <f>_xlfn.T.INV(1-H8,E6-1)</f>
        <v>1.6612258552965111</v>
      </c>
    </row>
    <row r="10" spans="2:11" x14ac:dyDescent="0.2">
      <c r="B10" s="8">
        <v>252</v>
      </c>
      <c r="G10" s="20" t="s">
        <v>145</v>
      </c>
      <c r="H10" s="75">
        <f>E8/SQRT(E6)</f>
        <v>9.5950571497434378</v>
      </c>
    </row>
    <row r="11" spans="2:11" x14ac:dyDescent="0.2">
      <c r="B11" s="8">
        <v>209</v>
      </c>
      <c r="G11" s="20" t="s">
        <v>149</v>
      </c>
      <c r="H11" s="75">
        <f>_xlfn.CONFIDENCE.T(H7,E8,E6)</f>
        <v>15.939557020201446</v>
      </c>
    </row>
    <row r="12" spans="2:11" x14ac:dyDescent="0.2">
      <c r="B12" s="8">
        <v>462</v>
      </c>
    </row>
    <row r="13" spans="2:11" x14ac:dyDescent="0.2">
      <c r="B13" s="8">
        <v>342</v>
      </c>
    </row>
    <row r="14" spans="2:11" x14ac:dyDescent="0.2">
      <c r="B14" s="8">
        <v>347</v>
      </c>
    </row>
    <row r="15" spans="2:11" x14ac:dyDescent="0.2">
      <c r="B15" s="8">
        <v>313</v>
      </c>
    </row>
    <row r="16" spans="2:11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CD96-16AC-4765-B570-B851574A1BDC}">
  <sheetPr codeName="Sheet30">
    <tabColor theme="9" tint="0.59999389629810485"/>
  </sheetPr>
  <dimension ref="B1:K58"/>
  <sheetViews>
    <sheetView showGridLines="0" workbookViewId="0">
      <selection activeCell="K8" sqref="K8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2.16406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150</v>
      </c>
    </row>
    <row r="2" spans="2:11" ht="15" customHeight="1" x14ac:dyDescent="0.2">
      <c r="B2" s="30" t="s">
        <v>304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35</v>
      </c>
      <c r="D5" s="116" t="s">
        <v>138</v>
      </c>
      <c r="E5" s="116"/>
      <c r="G5" s="116" t="s">
        <v>140</v>
      </c>
      <c r="H5" s="116"/>
      <c r="J5" s="116" t="s">
        <v>146</v>
      </c>
      <c r="K5" s="116"/>
    </row>
    <row r="6" spans="2:11" x14ac:dyDescent="0.2">
      <c r="B6" s="12">
        <v>111000</v>
      </c>
      <c r="D6" s="20" t="s">
        <v>71</v>
      </c>
      <c r="E6" s="71">
        <f>COUNT(B6:B58)</f>
        <v>53</v>
      </c>
      <c r="G6" s="20" t="s">
        <v>141</v>
      </c>
      <c r="H6" s="82">
        <v>0.8</v>
      </c>
      <c r="J6" s="20" t="s">
        <v>147</v>
      </c>
      <c r="K6" s="80">
        <f>E7-H8</f>
        <v>111265.76090747744</v>
      </c>
    </row>
    <row r="7" spans="2:11" x14ac:dyDescent="0.2">
      <c r="B7" s="12">
        <v>107000</v>
      </c>
      <c r="D7" s="20" t="s">
        <v>46</v>
      </c>
      <c r="E7" s="80">
        <f>AVERAGE(B6:B58)</f>
        <v>119386.7924528302</v>
      </c>
      <c r="G7" s="20" t="s">
        <v>142</v>
      </c>
      <c r="H7" s="82">
        <f>1-H6</f>
        <v>0.19999999999999996</v>
      </c>
      <c r="J7" s="20" t="s">
        <v>148</v>
      </c>
      <c r="K7" s="80">
        <f>E7+H8</f>
        <v>127507.82399818295</v>
      </c>
    </row>
    <row r="8" spans="2:11" x14ac:dyDescent="0.2">
      <c r="B8" s="12">
        <v>109000</v>
      </c>
      <c r="D8" s="20" t="s">
        <v>70</v>
      </c>
      <c r="E8" s="80">
        <f>STDEV(B6:B58)</f>
        <v>45546.958176470725</v>
      </c>
      <c r="G8" s="20" t="s">
        <v>149</v>
      </c>
      <c r="H8" s="80">
        <f>_xlfn.CONFIDENCE.T(H7,E8,E6)</f>
        <v>8121.0315453527564</v>
      </c>
    </row>
    <row r="9" spans="2:11" x14ac:dyDescent="0.2">
      <c r="B9" s="12">
        <v>148000</v>
      </c>
    </row>
    <row r="10" spans="2:11" x14ac:dyDescent="0.2">
      <c r="B10" s="12">
        <v>255500</v>
      </c>
      <c r="H10" s="97"/>
    </row>
    <row r="11" spans="2:11" x14ac:dyDescent="0.2">
      <c r="B11" s="12">
        <v>103500</v>
      </c>
      <c r="G11" s="20"/>
    </row>
    <row r="12" spans="2:11" x14ac:dyDescent="0.2">
      <c r="B12" s="12">
        <v>114500</v>
      </c>
    </row>
    <row r="13" spans="2:11" x14ac:dyDescent="0.2">
      <c r="B13" s="12">
        <v>124000</v>
      </c>
    </row>
    <row r="14" spans="2:11" x14ac:dyDescent="0.2">
      <c r="B14" s="12">
        <v>132500</v>
      </c>
    </row>
    <row r="15" spans="2:11" x14ac:dyDescent="0.2">
      <c r="B15" s="12">
        <v>99000</v>
      </c>
    </row>
    <row r="16" spans="2:11" x14ac:dyDescent="0.2">
      <c r="B16" s="12">
        <v>124000</v>
      </c>
    </row>
    <row r="17" spans="2:2" x14ac:dyDescent="0.2">
      <c r="B17" s="12">
        <v>82000</v>
      </c>
    </row>
    <row r="18" spans="2:2" x14ac:dyDescent="0.2">
      <c r="B18" s="12">
        <v>185000</v>
      </c>
    </row>
    <row r="19" spans="2:2" x14ac:dyDescent="0.2">
      <c r="B19" s="12">
        <v>89500</v>
      </c>
    </row>
    <row r="20" spans="2:2" x14ac:dyDescent="0.2">
      <c r="B20" s="12">
        <v>91500</v>
      </c>
    </row>
    <row r="21" spans="2:2" x14ac:dyDescent="0.2">
      <c r="B21" s="12">
        <v>113500</v>
      </c>
    </row>
    <row r="22" spans="2:2" x14ac:dyDescent="0.2">
      <c r="B22" s="12">
        <v>99000</v>
      </c>
    </row>
    <row r="23" spans="2:2" x14ac:dyDescent="0.2">
      <c r="B23" s="12">
        <v>75500</v>
      </c>
    </row>
    <row r="24" spans="2:2" x14ac:dyDescent="0.2">
      <c r="B24" s="12">
        <v>86000</v>
      </c>
    </row>
    <row r="25" spans="2:2" x14ac:dyDescent="0.2">
      <c r="B25" s="12">
        <v>156500</v>
      </c>
    </row>
    <row r="26" spans="2:2" x14ac:dyDescent="0.2">
      <c r="B26" s="12">
        <v>99500</v>
      </c>
    </row>
    <row r="27" spans="2:2" x14ac:dyDescent="0.2">
      <c r="B27" s="12">
        <v>148000</v>
      </c>
    </row>
    <row r="28" spans="2:2" x14ac:dyDescent="0.2">
      <c r="B28" s="12">
        <v>82000</v>
      </c>
    </row>
    <row r="29" spans="2:2" x14ac:dyDescent="0.2">
      <c r="B29" s="12">
        <v>103500</v>
      </c>
    </row>
    <row r="30" spans="2:2" x14ac:dyDescent="0.2">
      <c r="B30" s="12">
        <v>205500</v>
      </c>
    </row>
    <row r="31" spans="2:2" x14ac:dyDescent="0.2">
      <c r="B31" s="12">
        <v>103500</v>
      </c>
    </row>
    <row r="32" spans="2:2" x14ac:dyDescent="0.2">
      <c r="B32" s="12">
        <v>340000</v>
      </c>
    </row>
    <row r="33" spans="2:2" x14ac:dyDescent="0.2">
      <c r="B33" s="12">
        <v>103500</v>
      </c>
    </row>
    <row r="34" spans="2:2" x14ac:dyDescent="0.2">
      <c r="B34" s="12">
        <v>99500</v>
      </c>
    </row>
    <row r="35" spans="2:2" x14ac:dyDescent="0.2">
      <c r="B35" s="12">
        <v>103000</v>
      </c>
    </row>
    <row r="36" spans="2:2" x14ac:dyDescent="0.2">
      <c r="B36" s="12">
        <v>103500</v>
      </c>
    </row>
    <row r="37" spans="2:2" x14ac:dyDescent="0.2">
      <c r="B37" s="12">
        <v>165000</v>
      </c>
    </row>
    <row r="38" spans="2:2" x14ac:dyDescent="0.2">
      <c r="B38" s="12">
        <v>124500</v>
      </c>
    </row>
    <row r="39" spans="2:2" x14ac:dyDescent="0.2">
      <c r="B39" s="12">
        <v>103500</v>
      </c>
    </row>
    <row r="40" spans="2:2" x14ac:dyDescent="0.2">
      <c r="B40" s="12">
        <v>82500</v>
      </c>
    </row>
    <row r="41" spans="2:2" x14ac:dyDescent="0.2">
      <c r="B41" s="12">
        <v>93000</v>
      </c>
    </row>
    <row r="42" spans="2:2" x14ac:dyDescent="0.2">
      <c r="B42" s="12">
        <v>168000</v>
      </c>
    </row>
    <row r="43" spans="2:2" x14ac:dyDescent="0.2">
      <c r="B43" s="12">
        <v>96000</v>
      </c>
    </row>
    <row r="44" spans="2:2" x14ac:dyDescent="0.2">
      <c r="B44" s="12">
        <v>80000</v>
      </c>
    </row>
    <row r="45" spans="2:2" x14ac:dyDescent="0.2">
      <c r="B45" s="12">
        <v>124500</v>
      </c>
    </row>
    <row r="46" spans="2:2" x14ac:dyDescent="0.2">
      <c r="B46" s="12">
        <v>99000</v>
      </c>
    </row>
    <row r="47" spans="2:2" x14ac:dyDescent="0.2">
      <c r="B47" s="12">
        <v>124000</v>
      </c>
    </row>
    <row r="48" spans="2:2" x14ac:dyDescent="0.2">
      <c r="B48" s="12">
        <v>91500</v>
      </c>
    </row>
    <row r="49" spans="2:2" x14ac:dyDescent="0.2">
      <c r="B49" s="12">
        <v>144500</v>
      </c>
    </row>
    <row r="50" spans="2:2" x14ac:dyDescent="0.2">
      <c r="B50" s="12">
        <v>114500</v>
      </c>
    </row>
    <row r="51" spans="2:2" x14ac:dyDescent="0.2">
      <c r="B51" s="12">
        <v>104500</v>
      </c>
    </row>
    <row r="52" spans="2:2" x14ac:dyDescent="0.2">
      <c r="B52" s="12">
        <v>124000</v>
      </c>
    </row>
    <row r="53" spans="2:2" x14ac:dyDescent="0.2">
      <c r="B53" s="12">
        <v>113000</v>
      </c>
    </row>
    <row r="54" spans="2:2" x14ac:dyDescent="0.2">
      <c r="B54" s="12">
        <v>78000</v>
      </c>
    </row>
    <row r="55" spans="2:2" x14ac:dyDescent="0.2">
      <c r="B55" s="12">
        <v>109000</v>
      </c>
    </row>
    <row r="56" spans="2:2" x14ac:dyDescent="0.2">
      <c r="B56" s="12">
        <v>99500</v>
      </c>
    </row>
    <row r="57" spans="2:2" x14ac:dyDescent="0.2">
      <c r="B57" s="12">
        <v>107000</v>
      </c>
    </row>
    <row r="58" spans="2:2" x14ac:dyDescent="0.2">
      <c r="B58" s="12">
        <v>84000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A78A-9F6B-45C7-B050-FAD1CFABC2C5}">
  <sheetPr codeName="Sheet31">
    <tabColor theme="9" tint="0.79998168889431442"/>
  </sheetPr>
  <dimension ref="B1:K100"/>
  <sheetViews>
    <sheetView showGridLines="0" workbookViewId="0">
      <selection activeCell="H10" sqref="H10"/>
    </sheetView>
  </sheetViews>
  <sheetFormatPr baseColWidth="10" defaultColWidth="8.83203125" defaultRowHeight="15" x14ac:dyDescent="0.2"/>
  <cols>
    <col min="1" max="1" width="2.83203125" customWidth="1"/>
    <col min="2" max="2" width="17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39" t="s">
        <v>159</v>
      </c>
    </row>
    <row r="2" spans="2:11" ht="15" customHeight="1" x14ac:dyDescent="0.2">
      <c r="B2" s="30" t="s">
        <v>160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21</v>
      </c>
      <c r="D5" s="116" t="s">
        <v>138</v>
      </c>
      <c r="E5" s="116"/>
      <c r="G5" s="116" t="s">
        <v>140</v>
      </c>
      <c r="H5" s="116"/>
      <c r="J5" s="116" t="s">
        <v>146</v>
      </c>
      <c r="K5" s="116"/>
    </row>
    <row r="6" spans="2:11" x14ac:dyDescent="0.2">
      <c r="B6" s="8" t="s">
        <v>25</v>
      </c>
      <c r="D6" s="20" t="s">
        <v>71</v>
      </c>
      <c r="E6" s="71">
        <f>COUNTA(B6:B100)</f>
        <v>95</v>
      </c>
      <c r="G6" s="20" t="s">
        <v>141</v>
      </c>
      <c r="H6" s="82">
        <v>0.9</v>
      </c>
      <c r="J6" s="20" t="s">
        <v>147</v>
      </c>
      <c r="K6" s="82">
        <f>E7-H11</f>
        <v>0.1698162967729179</v>
      </c>
    </row>
    <row r="7" spans="2:11" x14ac:dyDescent="0.2">
      <c r="B7" s="8" t="s">
        <v>25</v>
      </c>
      <c r="D7" s="20" t="s">
        <v>157</v>
      </c>
      <c r="E7" s="87">
        <f>COUNTIFS(B6:B100,"Yes")/E6</f>
        <v>0.24210526315789474</v>
      </c>
      <c r="G7" s="20" t="s">
        <v>142</v>
      </c>
      <c r="H7" s="82">
        <f>1-H6</f>
        <v>9.9999999999999978E-2</v>
      </c>
      <c r="J7" s="20" t="s">
        <v>148</v>
      </c>
      <c r="K7" s="82">
        <f>E7+H11</f>
        <v>0.31439422954287155</v>
      </c>
    </row>
    <row r="8" spans="2:11" x14ac:dyDescent="0.2">
      <c r="B8" s="8" t="s">
        <v>27</v>
      </c>
      <c r="D8" s="20" t="s">
        <v>158</v>
      </c>
      <c r="E8" s="87">
        <f>1-E7</f>
        <v>0.75789473684210529</v>
      </c>
      <c r="G8" s="20" t="s">
        <v>143</v>
      </c>
      <c r="H8" s="85">
        <f>H7/2</f>
        <v>4.9999999999999989E-2</v>
      </c>
    </row>
    <row r="9" spans="2:11" x14ac:dyDescent="0.2">
      <c r="B9" s="8" t="s">
        <v>25</v>
      </c>
      <c r="G9" s="20" t="s">
        <v>151</v>
      </c>
      <c r="H9" s="86">
        <f>_xlfn.NORM.S.INV(1-H8)</f>
        <v>1.6448536269514715</v>
      </c>
    </row>
    <row r="10" spans="2:11" x14ac:dyDescent="0.2">
      <c r="B10" s="8" t="s">
        <v>25</v>
      </c>
      <c r="D10" s="116" t="s">
        <v>162</v>
      </c>
      <c r="E10" s="116"/>
      <c r="G10" s="20" t="s">
        <v>145</v>
      </c>
      <c r="H10" s="81">
        <f>SQRT(E7*E8/E6)</f>
        <v>4.394857098558691E-2</v>
      </c>
    </row>
    <row r="11" spans="2:11" x14ac:dyDescent="0.2">
      <c r="B11" s="8" t="s">
        <v>25</v>
      </c>
      <c r="D11" s="20" t="s">
        <v>163</v>
      </c>
      <c r="E11" s="71">
        <f>E7*E6</f>
        <v>23</v>
      </c>
      <c r="G11" s="20" t="s">
        <v>149</v>
      </c>
      <c r="H11" s="87">
        <f>H9*H10</f>
        <v>7.2288966384976838E-2</v>
      </c>
    </row>
    <row r="12" spans="2:11" x14ac:dyDescent="0.2">
      <c r="B12" s="8" t="s">
        <v>25</v>
      </c>
      <c r="D12" s="20" t="s">
        <v>164</v>
      </c>
      <c r="E12" s="71">
        <f>(1-E7)*E6</f>
        <v>72</v>
      </c>
    </row>
    <row r="13" spans="2:11" x14ac:dyDescent="0.2">
      <c r="B13" s="8" t="s">
        <v>25</v>
      </c>
    </row>
    <row r="14" spans="2:11" x14ac:dyDescent="0.2">
      <c r="B14" s="8" t="s">
        <v>25</v>
      </c>
    </row>
    <row r="15" spans="2:11" x14ac:dyDescent="0.2">
      <c r="B15" s="8" t="s">
        <v>25</v>
      </c>
    </row>
    <row r="16" spans="2:11" x14ac:dyDescent="0.2">
      <c r="B16" s="8" t="s">
        <v>25</v>
      </c>
    </row>
    <row r="17" spans="2:2" x14ac:dyDescent="0.2">
      <c r="B17" s="8" t="s">
        <v>25</v>
      </c>
    </row>
    <row r="18" spans="2:2" x14ac:dyDescent="0.2">
      <c r="B18" s="8" t="s">
        <v>25</v>
      </c>
    </row>
    <row r="19" spans="2:2" x14ac:dyDescent="0.2">
      <c r="B19" s="8" t="s">
        <v>25</v>
      </c>
    </row>
    <row r="20" spans="2:2" x14ac:dyDescent="0.2">
      <c r="B20" s="8" t="s">
        <v>25</v>
      </c>
    </row>
    <row r="21" spans="2:2" x14ac:dyDescent="0.2">
      <c r="B21" s="8" t="s">
        <v>25</v>
      </c>
    </row>
    <row r="22" spans="2:2" x14ac:dyDescent="0.2">
      <c r="B22" s="8" t="s">
        <v>27</v>
      </c>
    </row>
    <row r="23" spans="2:2" x14ac:dyDescent="0.2">
      <c r="B23" s="8" t="s">
        <v>25</v>
      </c>
    </row>
    <row r="24" spans="2:2" x14ac:dyDescent="0.2">
      <c r="B24" s="8" t="s">
        <v>25</v>
      </c>
    </row>
    <row r="25" spans="2:2" x14ac:dyDescent="0.2">
      <c r="B25" s="8" t="s">
        <v>25</v>
      </c>
    </row>
    <row r="26" spans="2:2" x14ac:dyDescent="0.2">
      <c r="B26" s="8" t="s">
        <v>25</v>
      </c>
    </row>
    <row r="27" spans="2:2" x14ac:dyDescent="0.2">
      <c r="B27" s="8" t="s">
        <v>25</v>
      </c>
    </row>
    <row r="28" spans="2:2" x14ac:dyDescent="0.2">
      <c r="B28" s="8" t="s">
        <v>25</v>
      </c>
    </row>
    <row r="29" spans="2:2" x14ac:dyDescent="0.2">
      <c r="B29" s="8" t="s">
        <v>25</v>
      </c>
    </row>
    <row r="30" spans="2:2" x14ac:dyDescent="0.2">
      <c r="B30" s="8" t="s">
        <v>25</v>
      </c>
    </row>
    <row r="31" spans="2:2" x14ac:dyDescent="0.2">
      <c r="B31" s="8" t="s">
        <v>25</v>
      </c>
    </row>
    <row r="32" spans="2:2" x14ac:dyDescent="0.2">
      <c r="B32" s="8" t="s">
        <v>25</v>
      </c>
    </row>
    <row r="33" spans="2:2" x14ac:dyDescent="0.2">
      <c r="B33" s="8" t="s">
        <v>25</v>
      </c>
    </row>
    <row r="34" spans="2:2" x14ac:dyDescent="0.2">
      <c r="B34" s="8" t="s">
        <v>25</v>
      </c>
    </row>
    <row r="35" spans="2:2" x14ac:dyDescent="0.2">
      <c r="B35" s="8" t="s">
        <v>25</v>
      </c>
    </row>
    <row r="36" spans="2:2" x14ac:dyDescent="0.2">
      <c r="B36" s="8" t="s">
        <v>25</v>
      </c>
    </row>
    <row r="37" spans="2:2" x14ac:dyDescent="0.2">
      <c r="B37" s="8" t="s">
        <v>25</v>
      </c>
    </row>
    <row r="38" spans="2:2" x14ac:dyDescent="0.2">
      <c r="B38" s="8" t="s">
        <v>25</v>
      </c>
    </row>
    <row r="39" spans="2:2" x14ac:dyDescent="0.2">
      <c r="B39" s="8" t="s">
        <v>27</v>
      </c>
    </row>
    <row r="40" spans="2:2" x14ac:dyDescent="0.2">
      <c r="B40" s="8" t="s">
        <v>25</v>
      </c>
    </row>
    <row r="41" spans="2:2" x14ac:dyDescent="0.2">
      <c r="B41" s="8" t="s">
        <v>25</v>
      </c>
    </row>
    <row r="42" spans="2:2" x14ac:dyDescent="0.2">
      <c r="B42" s="8" t="s">
        <v>27</v>
      </c>
    </row>
    <row r="43" spans="2:2" x14ac:dyDescent="0.2">
      <c r="B43" s="8" t="s">
        <v>25</v>
      </c>
    </row>
    <row r="44" spans="2:2" x14ac:dyDescent="0.2">
      <c r="B44" s="8" t="s">
        <v>25</v>
      </c>
    </row>
    <row r="45" spans="2:2" x14ac:dyDescent="0.2">
      <c r="B45" s="8" t="s">
        <v>27</v>
      </c>
    </row>
    <row r="46" spans="2:2" x14ac:dyDescent="0.2">
      <c r="B46" s="8" t="s">
        <v>25</v>
      </c>
    </row>
    <row r="47" spans="2:2" x14ac:dyDescent="0.2">
      <c r="B47" s="8" t="s">
        <v>27</v>
      </c>
    </row>
    <row r="48" spans="2:2" x14ac:dyDescent="0.2">
      <c r="B48" s="8" t="s">
        <v>27</v>
      </c>
    </row>
    <row r="49" spans="2:2" x14ac:dyDescent="0.2">
      <c r="B49" s="8" t="s">
        <v>25</v>
      </c>
    </row>
    <row r="50" spans="2:2" x14ac:dyDescent="0.2">
      <c r="B50" s="8" t="s">
        <v>25</v>
      </c>
    </row>
    <row r="51" spans="2:2" x14ac:dyDescent="0.2">
      <c r="B51" s="8" t="s">
        <v>27</v>
      </c>
    </row>
    <row r="52" spans="2:2" x14ac:dyDescent="0.2">
      <c r="B52" s="8" t="s">
        <v>25</v>
      </c>
    </row>
    <row r="53" spans="2:2" x14ac:dyDescent="0.2">
      <c r="B53" s="8" t="s">
        <v>25</v>
      </c>
    </row>
    <row r="54" spans="2:2" x14ac:dyDescent="0.2">
      <c r="B54" s="8" t="s">
        <v>25</v>
      </c>
    </row>
    <row r="55" spans="2:2" x14ac:dyDescent="0.2">
      <c r="B55" s="8" t="s">
        <v>25</v>
      </c>
    </row>
    <row r="56" spans="2:2" x14ac:dyDescent="0.2">
      <c r="B56" s="8" t="s">
        <v>27</v>
      </c>
    </row>
    <row r="57" spans="2:2" x14ac:dyDescent="0.2">
      <c r="B57" s="8" t="s">
        <v>25</v>
      </c>
    </row>
    <row r="58" spans="2:2" x14ac:dyDescent="0.2">
      <c r="B58" s="8" t="s">
        <v>27</v>
      </c>
    </row>
    <row r="59" spans="2:2" x14ac:dyDescent="0.2">
      <c r="B59" s="8" t="s">
        <v>27</v>
      </c>
    </row>
    <row r="60" spans="2:2" x14ac:dyDescent="0.2">
      <c r="B60" s="8" t="s">
        <v>27</v>
      </c>
    </row>
    <row r="61" spans="2:2" x14ac:dyDescent="0.2">
      <c r="B61" s="8" t="s">
        <v>25</v>
      </c>
    </row>
    <row r="62" spans="2:2" x14ac:dyDescent="0.2">
      <c r="B62" s="8" t="s">
        <v>27</v>
      </c>
    </row>
    <row r="63" spans="2:2" x14ac:dyDescent="0.2">
      <c r="B63" s="8" t="s">
        <v>27</v>
      </c>
    </row>
    <row r="64" spans="2:2" x14ac:dyDescent="0.2">
      <c r="B64" s="8" t="s">
        <v>27</v>
      </c>
    </row>
    <row r="65" spans="2:2" x14ac:dyDescent="0.2">
      <c r="B65" s="8" t="s">
        <v>25</v>
      </c>
    </row>
    <row r="66" spans="2:2" x14ac:dyDescent="0.2">
      <c r="B66" s="8" t="s">
        <v>25</v>
      </c>
    </row>
    <row r="67" spans="2:2" x14ac:dyDescent="0.2">
      <c r="B67" s="8" t="s">
        <v>25</v>
      </c>
    </row>
    <row r="68" spans="2:2" x14ac:dyDescent="0.2">
      <c r="B68" s="8" t="s">
        <v>25</v>
      </c>
    </row>
    <row r="69" spans="2:2" x14ac:dyDescent="0.2">
      <c r="B69" s="8" t="s">
        <v>25</v>
      </c>
    </row>
    <row r="70" spans="2:2" x14ac:dyDescent="0.2">
      <c r="B70" s="8" t="s">
        <v>27</v>
      </c>
    </row>
    <row r="71" spans="2:2" x14ac:dyDescent="0.2">
      <c r="B71" s="8" t="s">
        <v>27</v>
      </c>
    </row>
    <row r="72" spans="2:2" x14ac:dyDescent="0.2">
      <c r="B72" s="8" t="s">
        <v>27</v>
      </c>
    </row>
    <row r="73" spans="2:2" x14ac:dyDescent="0.2">
      <c r="B73" s="8" t="s">
        <v>25</v>
      </c>
    </row>
    <row r="74" spans="2:2" x14ac:dyDescent="0.2">
      <c r="B74" s="8" t="s">
        <v>27</v>
      </c>
    </row>
    <row r="75" spans="2:2" x14ac:dyDescent="0.2">
      <c r="B75" s="8" t="s">
        <v>25</v>
      </c>
    </row>
    <row r="76" spans="2:2" x14ac:dyDescent="0.2">
      <c r="B76" s="8" t="s">
        <v>27</v>
      </c>
    </row>
    <row r="77" spans="2:2" x14ac:dyDescent="0.2">
      <c r="B77" s="8" t="s">
        <v>27</v>
      </c>
    </row>
    <row r="78" spans="2:2" x14ac:dyDescent="0.2">
      <c r="B78" s="8" t="s">
        <v>25</v>
      </c>
    </row>
    <row r="79" spans="2:2" x14ac:dyDescent="0.2">
      <c r="B79" s="8" t="s">
        <v>25</v>
      </c>
    </row>
    <row r="80" spans="2:2" x14ac:dyDescent="0.2">
      <c r="B80" s="8" t="s">
        <v>25</v>
      </c>
    </row>
    <row r="81" spans="2:2" x14ac:dyDescent="0.2">
      <c r="B81" s="8" t="s">
        <v>25</v>
      </c>
    </row>
    <row r="82" spans="2:2" x14ac:dyDescent="0.2">
      <c r="B82" s="8" t="s">
        <v>25</v>
      </c>
    </row>
    <row r="83" spans="2:2" x14ac:dyDescent="0.2">
      <c r="B83" s="8" t="s">
        <v>25</v>
      </c>
    </row>
    <row r="84" spans="2:2" x14ac:dyDescent="0.2">
      <c r="B84" s="8" t="s">
        <v>25</v>
      </c>
    </row>
    <row r="85" spans="2:2" x14ac:dyDescent="0.2">
      <c r="B85" s="8" t="s">
        <v>25</v>
      </c>
    </row>
    <row r="86" spans="2:2" x14ac:dyDescent="0.2">
      <c r="B86" s="8" t="s">
        <v>25</v>
      </c>
    </row>
    <row r="87" spans="2:2" x14ac:dyDescent="0.2">
      <c r="B87" s="8" t="s">
        <v>25</v>
      </c>
    </row>
    <row r="88" spans="2:2" x14ac:dyDescent="0.2">
      <c r="B88" s="8" t="s">
        <v>25</v>
      </c>
    </row>
    <row r="89" spans="2:2" x14ac:dyDescent="0.2">
      <c r="B89" s="8" t="s">
        <v>25</v>
      </c>
    </row>
    <row r="90" spans="2:2" x14ac:dyDescent="0.2">
      <c r="B90" s="8" t="s">
        <v>27</v>
      </c>
    </row>
    <row r="91" spans="2:2" x14ac:dyDescent="0.2">
      <c r="B91" s="8" t="s">
        <v>27</v>
      </c>
    </row>
    <row r="92" spans="2:2" x14ac:dyDescent="0.2">
      <c r="B92" s="8" t="s">
        <v>25</v>
      </c>
    </row>
    <row r="93" spans="2:2" x14ac:dyDescent="0.2">
      <c r="B93" s="8" t="s">
        <v>25</v>
      </c>
    </row>
    <row r="94" spans="2:2" x14ac:dyDescent="0.2">
      <c r="B94" s="8" t="s">
        <v>25</v>
      </c>
    </row>
    <row r="95" spans="2:2" x14ac:dyDescent="0.2">
      <c r="B95" s="8" t="s">
        <v>25</v>
      </c>
    </row>
    <row r="96" spans="2:2" x14ac:dyDescent="0.2">
      <c r="B96" s="8" t="s">
        <v>25</v>
      </c>
    </row>
    <row r="97" spans="2:2" x14ac:dyDescent="0.2">
      <c r="B97" s="8" t="s">
        <v>25</v>
      </c>
    </row>
    <row r="98" spans="2:2" x14ac:dyDescent="0.2">
      <c r="B98" s="8" t="s">
        <v>25</v>
      </c>
    </row>
    <row r="99" spans="2:2" x14ac:dyDescent="0.2">
      <c r="B99" s="8" t="s">
        <v>25</v>
      </c>
    </row>
    <row r="100" spans="2:2" x14ac:dyDescent="0.2">
      <c r="B100" s="8" t="s">
        <v>25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274B-36F9-4ECA-9983-9B824BAE41FE}">
  <sheetPr codeName="Sheet32">
    <tabColor theme="9" tint="0.59999389629810485"/>
  </sheetPr>
  <dimension ref="B1:K100"/>
  <sheetViews>
    <sheetView showGridLines="0" workbookViewId="0">
      <selection activeCell="E7" sqref="E7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4" max="4" width="12.83203125" customWidth="1"/>
    <col min="5" max="5" width="11.5" customWidth="1"/>
    <col min="7" max="7" width="20" customWidth="1"/>
    <col min="8" max="8" width="9.5" bestFit="1" customWidth="1"/>
    <col min="10" max="10" width="14.33203125" customWidth="1"/>
    <col min="11" max="11" width="11.5" customWidth="1"/>
  </cols>
  <sheetData>
    <row r="1" spans="2:11" ht="25.5" customHeight="1" x14ac:dyDescent="0.25">
      <c r="B1" s="18" t="s">
        <v>161</v>
      </c>
    </row>
    <row r="2" spans="2:11" ht="15" customHeight="1" x14ac:dyDescent="0.2">
      <c r="B2" s="30" t="s">
        <v>160</v>
      </c>
    </row>
    <row r="3" spans="2:11" ht="18" customHeight="1" x14ac:dyDescent="0.2"/>
    <row r="4" spans="2:11" x14ac:dyDescent="0.2">
      <c r="D4" s="3" t="s">
        <v>54</v>
      </c>
      <c r="G4" s="3" t="s">
        <v>54</v>
      </c>
      <c r="J4" s="3" t="s">
        <v>54</v>
      </c>
    </row>
    <row r="5" spans="2:11" x14ac:dyDescent="0.2">
      <c r="B5" s="7" t="s">
        <v>12</v>
      </c>
      <c r="D5" s="116" t="s">
        <v>138</v>
      </c>
      <c r="E5" s="116"/>
      <c r="G5" s="116" t="s">
        <v>140</v>
      </c>
      <c r="H5" s="116"/>
      <c r="J5" s="116" t="s">
        <v>146</v>
      </c>
      <c r="K5" s="116"/>
    </row>
    <row r="6" spans="2:11" x14ac:dyDescent="0.2">
      <c r="B6" s="8" t="s">
        <v>13</v>
      </c>
      <c r="D6" s="20" t="s">
        <v>71</v>
      </c>
      <c r="E6" s="71">
        <f>COUNTA(B6:B100)</f>
        <v>95</v>
      </c>
      <c r="G6" s="20" t="s">
        <v>141</v>
      </c>
      <c r="H6" s="82">
        <v>0.95</v>
      </c>
      <c r="J6" s="20" t="s">
        <v>147</v>
      </c>
      <c r="K6" s="82">
        <f>E7-H11</f>
        <v>0.45802698737891206</v>
      </c>
    </row>
    <row r="7" spans="2:11" x14ac:dyDescent="0.2">
      <c r="B7" s="8" t="s">
        <v>14</v>
      </c>
      <c r="D7" s="20" t="s">
        <v>157</v>
      </c>
      <c r="E7" s="87">
        <f>COUNTIFS(B6:B100,"Placed")/E6</f>
        <v>0.55789473684210522</v>
      </c>
      <c r="G7" s="20" t="s">
        <v>142</v>
      </c>
      <c r="H7" s="82">
        <f>1-H6</f>
        <v>5.0000000000000044E-2</v>
      </c>
      <c r="J7" s="20" t="s">
        <v>148</v>
      </c>
      <c r="K7" s="82">
        <f>H11+E7</f>
        <v>0.65776248630529843</v>
      </c>
    </row>
    <row r="8" spans="2:11" x14ac:dyDescent="0.2">
      <c r="B8" s="8" t="s">
        <v>13</v>
      </c>
      <c r="D8" s="20" t="s">
        <v>158</v>
      </c>
      <c r="E8" s="87">
        <f>1-E7</f>
        <v>0.44210526315789478</v>
      </c>
      <c r="G8" s="20" t="s">
        <v>143</v>
      </c>
      <c r="H8" s="85">
        <f>H7/2</f>
        <v>2.5000000000000022E-2</v>
      </c>
    </row>
    <row r="9" spans="2:11" x14ac:dyDescent="0.2">
      <c r="B9" s="8" t="s">
        <v>14</v>
      </c>
      <c r="G9" s="20" t="s">
        <v>151</v>
      </c>
      <c r="H9" s="86">
        <f>_xlfn.NORM.S.INV(1-H8)</f>
        <v>1.9599639845400536</v>
      </c>
    </row>
    <row r="10" spans="2:11" x14ac:dyDescent="0.2">
      <c r="B10" s="8" t="s">
        <v>14</v>
      </c>
      <c r="D10" s="116" t="s">
        <v>162</v>
      </c>
      <c r="E10" s="116"/>
      <c r="G10" s="20" t="s">
        <v>145</v>
      </c>
      <c r="H10" s="81">
        <f>SQRT(E7*E8/E6)</f>
        <v>5.0953869688901053E-2</v>
      </c>
    </row>
    <row r="11" spans="2:11" x14ac:dyDescent="0.2">
      <c r="B11" s="8" t="s">
        <v>14</v>
      </c>
      <c r="D11" s="20" t="s">
        <v>163</v>
      </c>
      <c r="E11" s="71">
        <f>E7*E6</f>
        <v>52.999999999999993</v>
      </c>
      <c r="G11" s="20" t="s">
        <v>149</v>
      </c>
      <c r="H11" s="87">
        <f>H10*H9</f>
        <v>9.986774946319317E-2</v>
      </c>
    </row>
    <row r="12" spans="2:11" x14ac:dyDescent="0.2">
      <c r="B12" s="8" t="s">
        <v>13</v>
      </c>
      <c r="D12" s="20" t="s">
        <v>164</v>
      </c>
      <c r="E12" s="71">
        <f>(1-E7)*E6</f>
        <v>42.000000000000007</v>
      </c>
    </row>
    <row r="13" spans="2:11" x14ac:dyDescent="0.2">
      <c r="B13" s="8" t="s">
        <v>13</v>
      </c>
      <c r="D13" s="20"/>
      <c r="E13" s="38"/>
    </row>
    <row r="14" spans="2:11" x14ac:dyDescent="0.2">
      <c r="B14" s="8" t="s">
        <v>13</v>
      </c>
    </row>
    <row r="15" spans="2:11" x14ac:dyDescent="0.2">
      <c r="B15" s="8" t="s">
        <v>13</v>
      </c>
    </row>
    <row r="16" spans="2:11" x14ac:dyDescent="0.2">
      <c r="B16" s="8" t="s">
        <v>14</v>
      </c>
    </row>
    <row r="17" spans="2:2" x14ac:dyDescent="0.2">
      <c r="B17" s="8" t="s">
        <v>13</v>
      </c>
    </row>
    <row r="18" spans="2:2" x14ac:dyDescent="0.2">
      <c r="B18" s="8" t="s">
        <v>14</v>
      </c>
    </row>
    <row r="19" spans="2:2" x14ac:dyDescent="0.2">
      <c r="B19" s="8" t="s">
        <v>13</v>
      </c>
    </row>
    <row r="20" spans="2:2" x14ac:dyDescent="0.2">
      <c r="B20" s="8" t="s">
        <v>13</v>
      </c>
    </row>
    <row r="21" spans="2:2" x14ac:dyDescent="0.2">
      <c r="B21" s="8" t="s">
        <v>13</v>
      </c>
    </row>
    <row r="22" spans="2:2" x14ac:dyDescent="0.2">
      <c r="B22" s="8" t="s">
        <v>14</v>
      </c>
    </row>
    <row r="23" spans="2:2" x14ac:dyDescent="0.2">
      <c r="B23" s="8" t="s">
        <v>13</v>
      </c>
    </row>
    <row r="24" spans="2:2" x14ac:dyDescent="0.2">
      <c r="B24" s="8" t="s">
        <v>14</v>
      </c>
    </row>
    <row r="25" spans="2:2" x14ac:dyDescent="0.2">
      <c r="B25" s="8" t="s">
        <v>14</v>
      </c>
    </row>
    <row r="26" spans="2:2" x14ac:dyDescent="0.2">
      <c r="B26" s="8" t="s">
        <v>14</v>
      </c>
    </row>
    <row r="27" spans="2:2" x14ac:dyDescent="0.2">
      <c r="B27" s="8" t="s">
        <v>13</v>
      </c>
    </row>
    <row r="28" spans="2:2" x14ac:dyDescent="0.2">
      <c r="B28" s="8" t="s">
        <v>14</v>
      </c>
    </row>
    <row r="29" spans="2:2" x14ac:dyDescent="0.2">
      <c r="B29" s="8" t="s">
        <v>14</v>
      </c>
    </row>
    <row r="30" spans="2:2" x14ac:dyDescent="0.2">
      <c r="B30" s="8" t="s">
        <v>13</v>
      </c>
    </row>
    <row r="31" spans="2:2" x14ac:dyDescent="0.2">
      <c r="B31" s="8" t="s">
        <v>13</v>
      </c>
    </row>
    <row r="32" spans="2:2" x14ac:dyDescent="0.2">
      <c r="B32" s="8" t="s">
        <v>13</v>
      </c>
    </row>
    <row r="33" spans="2:2" x14ac:dyDescent="0.2">
      <c r="B33" s="8" t="s">
        <v>14</v>
      </c>
    </row>
    <row r="34" spans="2:2" x14ac:dyDescent="0.2">
      <c r="B34" s="8" t="s">
        <v>14</v>
      </c>
    </row>
    <row r="35" spans="2:2" x14ac:dyDescent="0.2">
      <c r="B35" s="8" t="s">
        <v>13</v>
      </c>
    </row>
    <row r="36" spans="2:2" x14ac:dyDescent="0.2">
      <c r="B36" s="8" t="s">
        <v>14</v>
      </c>
    </row>
    <row r="37" spans="2:2" x14ac:dyDescent="0.2">
      <c r="B37" s="8" t="s">
        <v>14</v>
      </c>
    </row>
    <row r="38" spans="2:2" x14ac:dyDescent="0.2">
      <c r="B38" s="8" t="s">
        <v>14</v>
      </c>
    </row>
    <row r="39" spans="2:2" x14ac:dyDescent="0.2">
      <c r="B39" s="8" t="s">
        <v>13</v>
      </c>
    </row>
    <row r="40" spans="2:2" x14ac:dyDescent="0.2">
      <c r="B40" s="8" t="s">
        <v>14</v>
      </c>
    </row>
    <row r="41" spans="2:2" x14ac:dyDescent="0.2">
      <c r="B41" s="8" t="s">
        <v>13</v>
      </c>
    </row>
    <row r="42" spans="2:2" x14ac:dyDescent="0.2">
      <c r="B42" s="8" t="s">
        <v>13</v>
      </c>
    </row>
    <row r="43" spans="2:2" x14ac:dyDescent="0.2">
      <c r="B43" s="8" t="s">
        <v>14</v>
      </c>
    </row>
    <row r="44" spans="2:2" x14ac:dyDescent="0.2">
      <c r="B44" s="8" t="s">
        <v>14</v>
      </c>
    </row>
    <row r="45" spans="2:2" x14ac:dyDescent="0.2">
      <c r="B45" s="8" t="s">
        <v>14</v>
      </c>
    </row>
    <row r="46" spans="2:2" x14ac:dyDescent="0.2">
      <c r="B46" s="8" t="s">
        <v>13</v>
      </c>
    </row>
    <row r="47" spans="2:2" x14ac:dyDescent="0.2">
      <c r="B47" s="8" t="s">
        <v>13</v>
      </c>
    </row>
    <row r="48" spans="2:2" x14ac:dyDescent="0.2">
      <c r="B48" s="8" t="s">
        <v>13</v>
      </c>
    </row>
    <row r="49" spans="2:2" x14ac:dyDescent="0.2">
      <c r="B49" s="8" t="s">
        <v>14</v>
      </c>
    </row>
    <row r="50" spans="2:2" x14ac:dyDescent="0.2">
      <c r="B50" s="8" t="s">
        <v>13</v>
      </c>
    </row>
    <row r="51" spans="2:2" x14ac:dyDescent="0.2">
      <c r="B51" s="8" t="s">
        <v>14</v>
      </c>
    </row>
    <row r="52" spans="2:2" x14ac:dyDescent="0.2">
      <c r="B52" s="8" t="s">
        <v>13</v>
      </c>
    </row>
    <row r="53" spans="2:2" x14ac:dyDescent="0.2">
      <c r="B53" s="8" t="s">
        <v>14</v>
      </c>
    </row>
    <row r="54" spans="2:2" x14ac:dyDescent="0.2">
      <c r="B54" s="8" t="s">
        <v>13</v>
      </c>
    </row>
    <row r="55" spans="2:2" x14ac:dyDescent="0.2">
      <c r="B55" s="8" t="s">
        <v>13</v>
      </c>
    </row>
    <row r="56" spans="2:2" x14ac:dyDescent="0.2">
      <c r="B56" s="8" t="s">
        <v>13</v>
      </c>
    </row>
    <row r="57" spans="2:2" x14ac:dyDescent="0.2">
      <c r="B57" s="8" t="s">
        <v>14</v>
      </c>
    </row>
    <row r="58" spans="2:2" x14ac:dyDescent="0.2">
      <c r="B58" s="8" t="s">
        <v>13</v>
      </c>
    </row>
    <row r="59" spans="2:2" x14ac:dyDescent="0.2">
      <c r="B59" s="8" t="s">
        <v>13</v>
      </c>
    </row>
    <row r="60" spans="2:2" x14ac:dyDescent="0.2">
      <c r="B60" s="8" t="s">
        <v>13</v>
      </c>
    </row>
    <row r="61" spans="2:2" x14ac:dyDescent="0.2">
      <c r="B61" s="8" t="s">
        <v>13</v>
      </c>
    </row>
    <row r="62" spans="2:2" x14ac:dyDescent="0.2">
      <c r="B62" s="8" t="s">
        <v>13</v>
      </c>
    </row>
    <row r="63" spans="2:2" x14ac:dyDescent="0.2">
      <c r="B63" s="8" t="s">
        <v>13</v>
      </c>
    </row>
    <row r="64" spans="2:2" x14ac:dyDescent="0.2">
      <c r="B64" s="8" t="s">
        <v>13</v>
      </c>
    </row>
    <row r="65" spans="2:2" x14ac:dyDescent="0.2">
      <c r="B65" s="8" t="s">
        <v>13</v>
      </c>
    </row>
    <row r="66" spans="2:2" x14ac:dyDescent="0.2">
      <c r="B66" s="8" t="s">
        <v>13</v>
      </c>
    </row>
    <row r="67" spans="2:2" x14ac:dyDescent="0.2">
      <c r="B67" s="8" t="s">
        <v>14</v>
      </c>
    </row>
    <row r="68" spans="2:2" x14ac:dyDescent="0.2">
      <c r="B68" s="8" t="s">
        <v>13</v>
      </c>
    </row>
    <row r="69" spans="2:2" x14ac:dyDescent="0.2">
      <c r="B69" s="8" t="s">
        <v>13</v>
      </c>
    </row>
    <row r="70" spans="2:2" x14ac:dyDescent="0.2">
      <c r="B70" s="8" t="s">
        <v>14</v>
      </c>
    </row>
    <row r="71" spans="2:2" x14ac:dyDescent="0.2">
      <c r="B71" s="8" t="s">
        <v>14</v>
      </c>
    </row>
    <row r="72" spans="2:2" x14ac:dyDescent="0.2">
      <c r="B72" s="8" t="s">
        <v>13</v>
      </c>
    </row>
    <row r="73" spans="2:2" x14ac:dyDescent="0.2">
      <c r="B73" s="8" t="s">
        <v>14</v>
      </c>
    </row>
    <row r="74" spans="2:2" x14ac:dyDescent="0.2">
      <c r="B74" s="8" t="s">
        <v>13</v>
      </c>
    </row>
    <row r="75" spans="2:2" x14ac:dyDescent="0.2">
      <c r="B75" s="8" t="s">
        <v>14</v>
      </c>
    </row>
    <row r="76" spans="2:2" x14ac:dyDescent="0.2">
      <c r="B76" s="8" t="s">
        <v>13</v>
      </c>
    </row>
    <row r="77" spans="2:2" x14ac:dyDescent="0.2">
      <c r="B77" s="8" t="s">
        <v>14</v>
      </c>
    </row>
    <row r="78" spans="2:2" x14ac:dyDescent="0.2">
      <c r="B78" s="8" t="s">
        <v>14</v>
      </c>
    </row>
    <row r="79" spans="2:2" x14ac:dyDescent="0.2">
      <c r="B79" s="8" t="s">
        <v>14</v>
      </c>
    </row>
    <row r="80" spans="2:2" x14ac:dyDescent="0.2">
      <c r="B80" s="8" t="s">
        <v>13</v>
      </c>
    </row>
    <row r="81" spans="2:2" x14ac:dyDescent="0.2">
      <c r="B81" s="8" t="s">
        <v>14</v>
      </c>
    </row>
    <row r="82" spans="2:2" x14ac:dyDescent="0.2">
      <c r="B82" s="8" t="s">
        <v>14</v>
      </c>
    </row>
    <row r="83" spans="2:2" x14ac:dyDescent="0.2">
      <c r="B83" s="8" t="s">
        <v>13</v>
      </c>
    </row>
    <row r="84" spans="2:2" x14ac:dyDescent="0.2">
      <c r="B84" s="8" t="s">
        <v>13</v>
      </c>
    </row>
    <row r="85" spans="2:2" x14ac:dyDescent="0.2">
      <c r="B85" s="8" t="s">
        <v>14</v>
      </c>
    </row>
    <row r="86" spans="2:2" x14ac:dyDescent="0.2">
      <c r="B86" s="8" t="s">
        <v>14</v>
      </c>
    </row>
    <row r="87" spans="2:2" x14ac:dyDescent="0.2">
      <c r="B87" s="8" t="s">
        <v>13</v>
      </c>
    </row>
    <row r="88" spans="2:2" x14ac:dyDescent="0.2">
      <c r="B88" s="8" t="s">
        <v>14</v>
      </c>
    </row>
    <row r="89" spans="2:2" x14ac:dyDescent="0.2">
      <c r="B89" s="8" t="s">
        <v>13</v>
      </c>
    </row>
    <row r="90" spans="2:2" x14ac:dyDescent="0.2">
      <c r="B90" s="8" t="s">
        <v>13</v>
      </c>
    </row>
    <row r="91" spans="2:2" x14ac:dyDescent="0.2">
      <c r="B91" s="8" t="s">
        <v>13</v>
      </c>
    </row>
    <row r="92" spans="2:2" x14ac:dyDescent="0.2">
      <c r="B92" s="8" t="s">
        <v>13</v>
      </c>
    </row>
    <row r="93" spans="2:2" x14ac:dyDescent="0.2">
      <c r="B93" s="8" t="s">
        <v>14</v>
      </c>
    </row>
    <row r="94" spans="2:2" x14ac:dyDescent="0.2">
      <c r="B94" s="8" t="s">
        <v>13</v>
      </c>
    </row>
    <row r="95" spans="2:2" x14ac:dyDescent="0.2">
      <c r="B95" s="8" t="s">
        <v>14</v>
      </c>
    </row>
    <row r="96" spans="2:2" x14ac:dyDescent="0.2">
      <c r="B96" s="8" t="s">
        <v>13</v>
      </c>
    </row>
    <row r="97" spans="2:2" x14ac:dyDescent="0.2">
      <c r="B97" s="8" t="s">
        <v>13</v>
      </c>
    </row>
    <row r="98" spans="2:2" x14ac:dyDescent="0.2">
      <c r="B98" s="8" t="s">
        <v>14</v>
      </c>
    </row>
    <row r="99" spans="2:2" x14ac:dyDescent="0.2">
      <c r="B99" s="8" t="s">
        <v>13</v>
      </c>
    </row>
    <row r="100" spans="2:2" x14ac:dyDescent="0.2">
      <c r="B100" s="8" t="s">
        <v>14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5C53-2B07-42B0-B919-B0D5FEFC1CE6}">
  <sheetPr codeName="Sheet33">
    <tabColor theme="9" tint="0.79998168889431442"/>
  </sheetPr>
  <dimension ref="B1:N100"/>
  <sheetViews>
    <sheetView showGridLines="0" workbookViewId="0">
      <selection activeCell="K10" sqref="K10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17.1640625" customWidth="1"/>
    <col min="4" max="4" width="11.5" customWidth="1"/>
    <col min="5" max="5" width="11.3320312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169</v>
      </c>
    </row>
    <row r="2" spans="2:14" ht="15" customHeight="1" x14ac:dyDescent="0.2">
      <c r="B2" s="30" t="s">
        <v>170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76</v>
      </c>
      <c r="D5" s="43" t="s">
        <v>77</v>
      </c>
      <c r="E5" s="42" t="s">
        <v>171</v>
      </c>
      <c r="G5" s="116" t="s">
        <v>138</v>
      </c>
      <c r="H5" s="116"/>
      <c r="J5" s="116" t="s">
        <v>140</v>
      </c>
      <c r="K5" s="116"/>
      <c r="M5" s="116" t="s">
        <v>146</v>
      </c>
      <c r="N5" s="116"/>
    </row>
    <row r="6" spans="2:14" x14ac:dyDescent="0.2">
      <c r="B6" s="8">
        <v>1</v>
      </c>
      <c r="C6" s="8">
        <v>68.400000000000006</v>
      </c>
      <c r="D6" s="8">
        <v>90.2</v>
      </c>
      <c r="E6" s="8">
        <f>D6-C6</f>
        <v>21.799999999999997</v>
      </c>
      <c r="G6" s="20" t="s">
        <v>71</v>
      </c>
      <c r="H6" s="71">
        <f>COUNT(E6:E100)</f>
        <v>95</v>
      </c>
      <c r="J6" s="20" t="s">
        <v>141</v>
      </c>
      <c r="K6" s="82">
        <v>0.95</v>
      </c>
      <c r="M6" s="20" t="s">
        <v>147</v>
      </c>
      <c r="N6" s="75">
        <f>H7-K11</f>
        <v>3.3169926990789627</v>
      </c>
    </row>
    <row r="7" spans="2:14" x14ac:dyDescent="0.2">
      <c r="B7" s="8">
        <v>2</v>
      </c>
      <c r="C7" s="8">
        <v>62.1</v>
      </c>
      <c r="D7" s="8">
        <v>92.8</v>
      </c>
      <c r="E7" s="8">
        <f t="shared" ref="E7:E70" si="0">D7-C7</f>
        <v>30.699999999999996</v>
      </c>
      <c r="G7" s="20" t="s">
        <v>46</v>
      </c>
      <c r="H7" s="72">
        <f>AVERAGE(E6:E100)</f>
        <v>5.1957894736842114</v>
      </c>
      <c r="J7" s="20" t="s">
        <v>142</v>
      </c>
      <c r="K7" s="82">
        <f>1-K6</f>
        <v>5.0000000000000044E-2</v>
      </c>
      <c r="M7" s="20" t="s">
        <v>148</v>
      </c>
      <c r="N7" s="75">
        <f>H7+K11</f>
        <v>7.0745862482894601</v>
      </c>
    </row>
    <row r="8" spans="2:14" x14ac:dyDescent="0.2">
      <c r="B8" s="8">
        <v>3</v>
      </c>
      <c r="C8" s="8">
        <v>70.2</v>
      </c>
      <c r="D8" s="8">
        <v>68.7</v>
      </c>
      <c r="E8" s="8">
        <f t="shared" si="0"/>
        <v>-1.5</v>
      </c>
      <c r="G8" s="20" t="s">
        <v>70</v>
      </c>
      <c r="H8" s="75">
        <f>STDEV(E6:E100)</f>
        <v>9.2241463398998604</v>
      </c>
      <c r="J8" s="20" t="s">
        <v>143</v>
      </c>
      <c r="K8" s="85">
        <f>K7/2</f>
        <v>2.5000000000000022E-2</v>
      </c>
    </row>
    <row r="9" spans="2:14" x14ac:dyDescent="0.2">
      <c r="B9" s="8">
        <v>4</v>
      </c>
      <c r="C9" s="8">
        <v>75.099999999999994</v>
      </c>
      <c r="D9" s="8">
        <v>80.7</v>
      </c>
      <c r="E9" s="8">
        <f t="shared" si="0"/>
        <v>5.6000000000000085</v>
      </c>
      <c r="J9" s="20" t="s">
        <v>155</v>
      </c>
      <c r="K9" s="86">
        <f>_xlfn.T.INV(1-K8,H6)</f>
        <v>1.9852510035054973</v>
      </c>
    </row>
    <row r="10" spans="2:14" x14ac:dyDescent="0.2">
      <c r="B10" s="8">
        <v>5</v>
      </c>
      <c r="C10" s="8">
        <v>60.9</v>
      </c>
      <c r="D10" s="8">
        <v>74.900000000000006</v>
      </c>
      <c r="E10" s="8">
        <f t="shared" si="0"/>
        <v>14.000000000000007</v>
      </c>
      <c r="J10" s="20" t="s">
        <v>145</v>
      </c>
      <c r="K10" s="75">
        <f>H8/SQRT(H6)</f>
        <v>0.94637744612027652</v>
      </c>
    </row>
    <row r="11" spans="2:14" x14ac:dyDescent="0.2">
      <c r="B11" s="8">
        <v>6</v>
      </c>
      <c r="C11" s="8">
        <v>74.5</v>
      </c>
      <c r="D11" s="8">
        <v>80.7</v>
      </c>
      <c r="E11" s="8">
        <f t="shared" si="0"/>
        <v>6.2000000000000028</v>
      </c>
      <c r="J11" s="20" t="s">
        <v>149</v>
      </c>
      <c r="K11" s="75">
        <f>K9*K10</f>
        <v>1.8787967746052487</v>
      </c>
    </row>
    <row r="12" spans="2:14" x14ac:dyDescent="0.2">
      <c r="B12" s="8">
        <v>7</v>
      </c>
      <c r="C12" s="8">
        <v>76.400000000000006</v>
      </c>
      <c r="D12" s="8">
        <v>83.3</v>
      </c>
      <c r="E12" s="8">
        <f t="shared" si="0"/>
        <v>6.8999999999999915</v>
      </c>
    </row>
    <row r="13" spans="2:14" x14ac:dyDescent="0.2">
      <c r="B13" s="8">
        <v>8</v>
      </c>
      <c r="C13" s="8">
        <v>82.6</v>
      </c>
      <c r="D13" s="8">
        <v>88.7</v>
      </c>
      <c r="E13" s="8">
        <f t="shared" si="0"/>
        <v>6.1000000000000085</v>
      </c>
    </row>
    <row r="14" spans="2:14" x14ac:dyDescent="0.2">
      <c r="B14" s="8">
        <v>9</v>
      </c>
      <c r="C14" s="8">
        <v>76.900000000000006</v>
      </c>
      <c r="D14" s="8">
        <v>75.400000000000006</v>
      </c>
      <c r="E14" s="8">
        <f t="shared" si="0"/>
        <v>-1.5</v>
      </c>
    </row>
    <row r="15" spans="2:14" x14ac:dyDescent="0.2">
      <c r="B15" s="8">
        <v>10</v>
      </c>
      <c r="C15" s="8">
        <v>83.3</v>
      </c>
      <c r="D15" s="8">
        <v>82.1</v>
      </c>
      <c r="E15" s="8">
        <f t="shared" si="0"/>
        <v>-1.2000000000000028</v>
      </c>
    </row>
    <row r="16" spans="2:14" x14ac:dyDescent="0.2">
      <c r="B16" s="8">
        <v>11</v>
      </c>
      <c r="C16" s="8">
        <v>75.8</v>
      </c>
      <c r="D16" s="8">
        <v>87.5</v>
      </c>
      <c r="E16" s="8">
        <f t="shared" si="0"/>
        <v>11.700000000000003</v>
      </c>
    </row>
    <row r="17" spans="2:5" x14ac:dyDescent="0.2">
      <c r="B17" s="8">
        <v>12</v>
      </c>
      <c r="C17" s="8">
        <v>76</v>
      </c>
      <c r="D17" s="8">
        <v>66.900000000000006</v>
      </c>
      <c r="E17" s="8">
        <f t="shared" si="0"/>
        <v>-9.0999999999999943</v>
      </c>
    </row>
    <row r="18" spans="2:5" x14ac:dyDescent="0.2">
      <c r="B18" s="8">
        <v>13</v>
      </c>
      <c r="C18" s="8">
        <v>62.8</v>
      </c>
      <c r="D18" s="8">
        <v>71.3</v>
      </c>
      <c r="E18" s="8">
        <f t="shared" si="0"/>
        <v>8.5</v>
      </c>
    </row>
    <row r="19" spans="2:5" x14ac:dyDescent="0.2">
      <c r="B19" s="8">
        <v>14</v>
      </c>
      <c r="C19" s="8">
        <v>82.8</v>
      </c>
      <c r="D19" s="8">
        <v>76.8</v>
      </c>
      <c r="E19" s="8">
        <f t="shared" si="0"/>
        <v>-6</v>
      </c>
    </row>
    <row r="20" spans="2:5" x14ac:dyDescent="0.2">
      <c r="B20" s="8">
        <v>15</v>
      </c>
      <c r="C20" s="8">
        <v>76</v>
      </c>
      <c r="D20" s="8">
        <v>72.3</v>
      </c>
      <c r="E20" s="8">
        <f t="shared" si="0"/>
        <v>-3.7000000000000028</v>
      </c>
    </row>
    <row r="21" spans="2:5" x14ac:dyDescent="0.2">
      <c r="B21" s="8">
        <v>16</v>
      </c>
      <c r="C21" s="8">
        <v>76.900000000000006</v>
      </c>
      <c r="D21" s="8">
        <v>72.400000000000006</v>
      </c>
      <c r="E21" s="8">
        <f t="shared" si="0"/>
        <v>-4.5</v>
      </c>
    </row>
    <row r="22" spans="2:5" x14ac:dyDescent="0.2">
      <c r="B22" s="8">
        <v>17</v>
      </c>
      <c r="C22" s="8">
        <v>75.8</v>
      </c>
      <c r="D22" s="8">
        <v>72</v>
      </c>
      <c r="E22" s="8">
        <f t="shared" si="0"/>
        <v>-3.7999999999999972</v>
      </c>
    </row>
    <row r="23" spans="2:5" x14ac:dyDescent="0.2">
      <c r="B23" s="8">
        <v>18</v>
      </c>
      <c r="C23" s="8">
        <v>78</v>
      </c>
      <c r="D23" s="8">
        <v>81</v>
      </c>
      <c r="E23" s="8">
        <f t="shared" si="0"/>
        <v>3</v>
      </c>
    </row>
    <row r="24" spans="2:5" x14ac:dyDescent="0.2">
      <c r="B24" s="8">
        <v>19</v>
      </c>
      <c r="C24" s="8">
        <v>82.4</v>
      </c>
      <c r="D24" s="8">
        <v>96.1</v>
      </c>
      <c r="E24" s="8">
        <f t="shared" si="0"/>
        <v>13.699999999999989</v>
      </c>
    </row>
    <row r="25" spans="2:5" x14ac:dyDescent="0.2">
      <c r="B25" s="8">
        <v>20</v>
      </c>
      <c r="C25" s="8">
        <v>76.2</v>
      </c>
      <c r="D25" s="8">
        <v>76.7</v>
      </c>
      <c r="E25" s="8">
        <f t="shared" si="0"/>
        <v>0.5</v>
      </c>
    </row>
    <row r="26" spans="2:5" x14ac:dyDescent="0.2">
      <c r="B26" s="8">
        <v>21</v>
      </c>
      <c r="C26" s="8">
        <v>62.5</v>
      </c>
      <c r="D26" s="8">
        <v>80.3</v>
      </c>
      <c r="E26" s="8">
        <f t="shared" si="0"/>
        <v>17.799999999999997</v>
      </c>
    </row>
    <row r="27" spans="2:5" x14ac:dyDescent="0.2">
      <c r="B27" s="8">
        <v>22</v>
      </c>
      <c r="C27" s="8">
        <v>78</v>
      </c>
      <c r="D27" s="8">
        <v>77.8</v>
      </c>
      <c r="E27" s="8">
        <f t="shared" si="0"/>
        <v>-0.20000000000000284</v>
      </c>
    </row>
    <row r="28" spans="2:5" x14ac:dyDescent="0.2">
      <c r="B28" s="8">
        <v>23</v>
      </c>
      <c r="C28" s="8">
        <v>66.5</v>
      </c>
      <c r="D28" s="8">
        <v>62.6</v>
      </c>
      <c r="E28" s="8">
        <f t="shared" si="0"/>
        <v>-3.8999999999999986</v>
      </c>
    </row>
    <row r="29" spans="2:5" x14ac:dyDescent="0.2">
      <c r="B29" s="8">
        <v>24</v>
      </c>
      <c r="C29" s="8">
        <v>63.5</v>
      </c>
      <c r="D29" s="8">
        <v>80.2</v>
      </c>
      <c r="E29" s="8">
        <f t="shared" si="0"/>
        <v>16.700000000000003</v>
      </c>
    </row>
    <row r="30" spans="2:5" x14ac:dyDescent="0.2">
      <c r="B30" s="8">
        <v>25</v>
      </c>
      <c r="C30" s="8">
        <v>82.6</v>
      </c>
      <c r="D30" s="8">
        <v>79.099999999999994</v>
      </c>
      <c r="E30" s="8">
        <f t="shared" si="0"/>
        <v>-3.5</v>
      </c>
    </row>
    <row r="31" spans="2:5" x14ac:dyDescent="0.2">
      <c r="B31" s="8">
        <v>26</v>
      </c>
      <c r="C31" s="8">
        <v>79.2</v>
      </c>
      <c r="D31" s="8">
        <v>77.8</v>
      </c>
      <c r="E31" s="8">
        <f t="shared" si="0"/>
        <v>-1.4000000000000057</v>
      </c>
    </row>
    <row r="32" spans="2:5" x14ac:dyDescent="0.2">
      <c r="B32" s="8">
        <v>27</v>
      </c>
      <c r="C32" s="8">
        <v>75</v>
      </c>
      <c r="D32" s="8">
        <v>75.099999999999994</v>
      </c>
      <c r="E32" s="8">
        <f t="shared" si="0"/>
        <v>9.9999999999994316E-2</v>
      </c>
    </row>
    <row r="33" spans="2:5" x14ac:dyDescent="0.2">
      <c r="B33" s="8">
        <v>28</v>
      </c>
      <c r="C33" s="8">
        <v>74.400000000000006</v>
      </c>
      <c r="D33" s="8">
        <v>82.2</v>
      </c>
      <c r="E33" s="8">
        <f t="shared" si="0"/>
        <v>7.7999999999999972</v>
      </c>
    </row>
    <row r="34" spans="2:5" x14ac:dyDescent="0.2">
      <c r="B34" s="8">
        <v>29</v>
      </c>
      <c r="C34" s="8">
        <v>67.900000000000006</v>
      </c>
      <c r="D34" s="8">
        <v>70.5</v>
      </c>
      <c r="E34" s="8">
        <f t="shared" si="0"/>
        <v>2.5999999999999943</v>
      </c>
    </row>
    <row r="35" spans="2:5" x14ac:dyDescent="0.2">
      <c r="B35" s="8">
        <v>30</v>
      </c>
      <c r="C35" s="8">
        <v>76.8</v>
      </c>
      <c r="D35" s="8">
        <v>70.8</v>
      </c>
      <c r="E35" s="8">
        <f t="shared" si="0"/>
        <v>-6</v>
      </c>
    </row>
    <row r="36" spans="2:5" x14ac:dyDescent="0.2">
      <c r="B36" s="8">
        <v>31</v>
      </c>
      <c r="C36" s="8">
        <v>83</v>
      </c>
      <c r="D36" s="8">
        <v>87.5</v>
      </c>
      <c r="E36" s="8">
        <f t="shared" si="0"/>
        <v>4.5</v>
      </c>
    </row>
    <row r="37" spans="2:5" x14ac:dyDescent="0.2">
      <c r="B37" s="8">
        <v>32</v>
      </c>
      <c r="C37" s="8">
        <v>88.9</v>
      </c>
      <c r="D37" s="8">
        <v>79.5</v>
      </c>
      <c r="E37" s="8">
        <f t="shared" si="0"/>
        <v>-9.4000000000000057</v>
      </c>
    </row>
    <row r="38" spans="2:5" x14ac:dyDescent="0.2">
      <c r="B38" s="8">
        <v>33</v>
      </c>
      <c r="C38" s="8">
        <v>76.5</v>
      </c>
      <c r="D38" s="8">
        <v>80.8</v>
      </c>
      <c r="E38" s="8">
        <f t="shared" si="0"/>
        <v>4.2999999999999972</v>
      </c>
    </row>
    <row r="39" spans="2:5" x14ac:dyDescent="0.2">
      <c r="B39" s="8">
        <v>34</v>
      </c>
      <c r="C39" s="8">
        <v>79.900000000000006</v>
      </c>
      <c r="D39" s="8">
        <v>79.599999999999994</v>
      </c>
      <c r="E39" s="8">
        <f t="shared" si="0"/>
        <v>-0.30000000000001137</v>
      </c>
    </row>
    <row r="40" spans="2:5" x14ac:dyDescent="0.2">
      <c r="B40" s="8">
        <v>35</v>
      </c>
      <c r="C40" s="8">
        <v>70.400000000000006</v>
      </c>
      <c r="D40" s="8">
        <v>88.9</v>
      </c>
      <c r="E40" s="8">
        <f t="shared" si="0"/>
        <v>18.5</v>
      </c>
    </row>
    <row r="41" spans="2:5" x14ac:dyDescent="0.2">
      <c r="B41" s="8">
        <v>36</v>
      </c>
      <c r="C41" s="8">
        <v>83.4</v>
      </c>
      <c r="D41" s="8">
        <v>85.9</v>
      </c>
      <c r="E41" s="8">
        <f t="shared" si="0"/>
        <v>2.5</v>
      </c>
    </row>
    <row r="42" spans="2:5" x14ac:dyDescent="0.2">
      <c r="B42" s="8">
        <v>37</v>
      </c>
      <c r="C42" s="8">
        <v>79.2</v>
      </c>
      <c r="D42" s="8">
        <v>82.3</v>
      </c>
      <c r="E42" s="8">
        <f t="shared" si="0"/>
        <v>3.0999999999999943</v>
      </c>
    </row>
    <row r="43" spans="2:5" x14ac:dyDescent="0.2">
      <c r="B43" s="8">
        <v>38</v>
      </c>
      <c r="C43" s="8">
        <v>61.2</v>
      </c>
      <c r="D43" s="8">
        <v>76.7</v>
      </c>
      <c r="E43" s="8">
        <f t="shared" si="0"/>
        <v>15.5</v>
      </c>
    </row>
    <row r="44" spans="2:5" x14ac:dyDescent="0.2">
      <c r="B44" s="8">
        <v>39</v>
      </c>
      <c r="C44" s="8">
        <v>64</v>
      </c>
      <c r="D44" s="8">
        <v>79.900000000000006</v>
      </c>
      <c r="E44" s="8">
        <f t="shared" si="0"/>
        <v>15.900000000000006</v>
      </c>
    </row>
    <row r="45" spans="2:5" x14ac:dyDescent="0.2">
      <c r="B45" s="8">
        <v>40</v>
      </c>
      <c r="C45" s="8">
        <v>68</v>
      </c>
      <c r="D45" s="8">
        <v>86.2</v>
      </c>
      <c r="E45" s="8">
        <f t="shared" si="0"/>
        <v>18.200000000000003</v>
      </c>
    </row>
    <row r="46" spans="2:5" x14ac:dyDescent="0.2">
      <c r="B46" s="8">
        <v>41</v>
      </c>
      <c r="C46" s="8">
        <v>78.5</v>
      </c>
      <c r="D46" s="8">
        <v>79.2</v>
      </c>
      <c r="E46" s="8">
        <f t="shared" si="0"/>
        <v>0.70000000000000284</v>
      </c>
    </row>
    <row r="47" spans="2:5" x14ac:dyDescent="0.2">
      <c r="B47" s="8">
        <v>42</v>
      </c>
      <c r="C47" s="8">
        <v>83</v>
      </c>
      <c r="D47" s="8">
        <v>83.4</v>
      </c>
      <c r="E47" s="8">
        <f t="shared" si="0"/>
        <v>0.40000000000000568</v>
      </c>
    </row>
    <row r="48" spans="2:5" x14ac:dyDescent="0.2">
      <c r="B48" s="8">
        <v>43</v>
      </c>
      <c r="C48" s="8">
        <v>75.2</v>
      </c>
      <c r="D48" s="8">
        <v>85.2</v>
      </c>
      <c r="E48" s="8">
        <f t="shared" si="0"/>
        <v>10</v>
      </c>
    </row>
    <row r="49" spans="2:5" x14ac:dyDescent="0.2">
      <c r="B49" s="8">
        <v>44</v>
      </c>
      <c r="C49" s="8">
        <v>68.099999999999994</v>
      </c>
      <c r="D49" s="8">
        <v>77.8</v>
      </c>
      <c r="E49" s="8">
        <f t="shared" si="0"/>
        <v>9.7000000000000028</v>
      </c>
    </row>
    <row r="50" spans="2:5" x14ac:dyDescent="0.2">
      <c r="B50" s="8">
        <v>45</v>
      </c>
      <c r="C50" s="8">
        <v>93.6</v>
      </c>
      <c r="D50" s="8">
        <v>80.2</v>
      </c>
      <c r="E50" s="8">
        <f t="shared" si="0"/>
        <v>-13.399999999999991</v>
      </c>
    </row>
    <row r="51" spans="2:5" x14ac:dyDescent="0.2">
      <c r="B51" s="8">
        <v>46</v>
      </c>
      <c r="C51" s="8">
        <v>75.599999999999994</v>
      </c>
      <c r="D51" s="8">
        <v>71</v>
      </c>
      <c r="E51" s="8">
        <f t="shared" si="0"/>
        <v>-4.5999999999999943</v>
      </c>
    </row>
    <row r="52" spans="2:5" x14ac:dyDescent="0.2">
      <c r="B52" s="8">
        <v>47</v>
      </c>
      <c r="C52" s="8">
        <v>82.3</v>
      </c>
      <c r="D52" s="8">
        <v>87.2</v>
      </c>
      <c r="E52" s="8">
        <f t="shared" si="0"/>
        <v>4.9000000000000057</v>
      </c>
    </row>
    <row r="53" spans="2:5" x14ac:dyDescent="0.2">
      <c r="B53" s="8">
        <v>48</v>
      </c>
      <c r="C53" s="8">
        <v>71.400000000000006</v>
      </c>
      <c r="D53" s="8">
        <v>82.9</v>
      </c>
      <c r="E53" s="8">
        <f t="shared" si="0"/>
        <v>11.5</v>
      </c>
    </row>
    <row r="54" spans="2:5" x14ac:dyDescent="0.2">
      <c r="B54" s="8">
        <v>49</v>
      </c>
      <c r="C54" s="8">
        <v>71.900000000000006</v>
      </c>
      <c r="D54" s="8">
        <v>73.5</v>
      </c>
      <c r="E54" s="8">
        <f t="shared" si="0"/>
        <v>1.5999999999999943</v>
      </c>
    </row>
    <row r="55" spans="2:5" x14ac:dyDescent="0.2">
      <c r="B55" s="8">
        <v>50</v>
      </c>
      <c r="C55" s="8">
        <v>79.099999999999994</v>
      </c>
      <c r="D55" s="8">
        <v>74.599999999999994</v>
      </c>
      <c r="E55" s="8">
        <f t="shared" si="0"/>
        <v>-4.5</v>
      </c>
    </row>
    <row r="56" spans="2:5" x14ac:dyDescent="0.2">
      <c r="B56" s="8">
        <v>51</v>
      </c>
      <c r="C56" s="8">
        <v>88.7</v>
      </c>
      <c r="D56" s="8">
        <v>75.099999999999994</v>
      </c>
      <c r="E56" s="8">
        <f t="shared" si="0"/>
        <v>-13.600000000000009</v>
      </c>
    </row>
    <row r="57" spans="2:5" x14ac:dyDescent="0.2">
      <c r="B57" s="8">
        <v>52</v>
      </c>
      <c r="C57" s="8">
        <v>69.400000000000006</v>
      </c>
      <c r="D57" s="8">
        <v>85.1</v>
      </c>
      <c r="E57" s="8">
        <f t="shared" si="0"/>
        <v>15.699999999999989</v>
      </c>
    </row>
    <row r="58" spans="2:5" x14ac:dyDescent="0.2">
      <c r="B58" s="8">
        <v>53</v>
      </c>
      <c r="C58" s="8">
        <v>80.3</v>
      </c>
      <c r="D58" s="8">
        <v>74.900000000000006</v>
      </c>
      <c r="E58" s="8">
        <f t="shared" si="0"/>
        <v>-5.3999999999999915</v>
      </c>
    </row>
    <row r="59" spans="2:5" x14ac:dyDescent="0.2">
      <c r="B59" s="8">
        <v>54</v>
      </c>
      <c r="C59" s="8">
        <v>83</v>
      </c>
      <c r="D59" s="8">
        <v>84.6</v>
      </c>
      <c r="E59" s="8">
        <f t="shared" si="0"/>
        <v>1.5999999999999943</v>
      </c>
    </row>
    <row r="60" spans="2:5" x14ac:dyDescent="0.2">
      <c r="B60" s="8">
        <v>55</v>
      </c>
      <c r="C60" s="8">
        <v>74.099999999999994</v>
      </c>
      <c r="D60" s="8">
        <v>81.7</v>
      </c>
      <c r="E60" s="8">
        <f t="shared" si="0"/>
        <v>7.6000000000000085</v>
      </c>
    </row>
    <row r="61" spans="2:5" x14ac:dyDescent="0.2">
      <c r="B61" s="8">
        <v>56</v>
      </c>
      <c r="C61" s="8">
        <v>79.400000000000006</v>
      </c>
      <c r="D61" s="8">
        <v>81.400000000000006</v>
      </c>
      <c r="E61" s="8">
        <f t="shared" si="0"/>
        <v>2</v>
      </c>
    </row>
    <row r="62" spans="2:5" x14ac:dyDescent="0.2">
      <c r="B62" s="8">
        <v>57</v>
      </c>
      <c r="C62" s="8">
        <v>88.1</v>
      </c>
      <c r="D62" s="8">
        <v>83.8</v>
      </c>
      <c r="E62" s="8">
        <f t="shared" si="0"/>
        <v>-4.2999999999999972</v>
      </c>
    </row>
    <row r="63" spans="2:5" x14ac:dyDescent="0.2">
      <c r="B63" s="8">
        <v>58</v>
      </c>
      <c r="C63" s="8">
        <v>74.599999999999994</v>
      </c>
      <c r="D63" s="8">
        <v>88.5</v>
      </c>
      <c r="E63" s="8">
        <f t="shared" si="0"/>
        <v>13.900000000000006</v>
      </c>
    </row>
    <row r="64" spans="2:5" x14ac:dyDescent="0.2">
      <c r="B64" s="8">
        <v>59</v>
      </c>
      <c r="C64" s="8">
        <v>87.1</v>
      </c>
      <c r="D64" s="8">
        <v>84.9</v>
      </c>
      <c r="E64" s="8">
        <f t="shared" si="0"/>
        <v>-2.1999999999999886</v>
      </c>
    </row>
    <row r="65" spans="2:5" x14ac:dyDescent="0.2">
      <c r="B65" s="8">
        <v>60</v>
      </c>
      <c r="C65" s="8">
        <v>79.7</v>
      </c>
      <c r="D65" s="8">
        <v>84.3</v>
      </c>
      <c r="E65" s="8">
        <f t="shared" si="0"/>
        <v>4.5999999999999943</v>
      </c>
    </row>
    <row r="66" spans="2:5" x14ac:dyDescent="0.2">
      <c r="B66" s="8">
        <v>61</v>
      </c>
      <c r="C66" s="8">
        <v>82.1</v>
      </c>
      <c r="D66" s="8">
        <v>78.2</v>
      </c>
      <c r="E66" s="8">
        <f t="shared" si="0"/>
        <v>-3.8999999999999915</v>
      </c>
    </row>
    <row r="67" spans="2:5" x14ac:dyDescent="0.2">
      <c r="B67" s="8">
        <v>62</v>
      </c>
      <c r="C67" s="8">
        <v>70.2</v>
      </c>
      <c r="D67" s="8">
        <v>80</v>
      </c>
      <c r="E67" s="8">
        <f t="shared" si="0"/>
        <v>9.7999999999999972</v>
      </c>
    </row>
    <row r="68" spans="2:5" x14ac:dyDescent="0.2">
      <c r="B68" s="8">
        <v>63</v>
      </c>
      <c r="C68" s="8">
        <v>81.7</v>
      </c>
      <c r="D68" s="8">
        <v>74.8</v>
      </c>
      <c r="E68" s="8">
        <f t="shared" si="0"/>
        <v>-6.9000000000000057</v>
      </c>
    </row>
    <row r="69" spans="2:5" x14ac:dyDescent="0.2">
      <c r="B69" s="8">
        <v>64</v>
      </c>
      <c r="C69" s="8">
        <v>76.099999999999994</v>
      </c>
      <c r="D69" s="8">
        <v>78.5</v>
      </c>
      <c r="E69" s="8">
        <f t="shared" si="0"/>
        <v>2.4000000000000057</v>
      </c>
    </row>
    <row r="70" spans="2:5" x14ac:dyDescent="0.2">
      <c r="B70" s="8">
        <v>65</v>
      </c>
      <c r="C70" s="8">
        <v>65.400000000000006</v>
      </c>
      <c r="D70" s="8">
        <v>71.8</v>
      </c>
      <c r="E70" s="8">
        <f t="shared" si="0"/>
        <v>6.3999999999999915</v>
      </c>
    </row>
    <row r="71" spans="2:5" x14ac:dyDescent="0.2">
      <c r="B71" s="8">
        <v>66</v>
      </c>
      <c r="C71" s="8">
        <v>70.099999999999994</v>
      </c>
      <c r="D71" s="8">
        <v>69.900000000000006</v>
      </c>
      <c r="E71" s="8">
        <f t="shared" ref="E71:E100" si="1">D71-C71</f>
        <v>-0.19999999999998863</v>
      </c>
    </row>
    <row r="72" spans="2:5" x14ac:dyDescent="0.2">
      <c r="B72" s="8">
        <v>67</v>
      </c>
      <c r="C72" s="8">
        <v>75.3</v>
      </c>
      <c r="D72" s="8">
        <v>82.7</v>
      </c>
      <c r="E72" s="8">
        <f t="shared" si="1"/>
        <v>7.4000000000000057</v>
      </c>
    </row>
    <row r="73" spans="2:5" x14ac:dyDescent="0.2">
      <c r="B73" s="8">
        <v>68</v>
      </c>
      <c r="C73" s="8">
        <v>68.7</v>
      </c>
      <c r="D73" s="8">
        <v>74</v>
      </c>
      <c r="E73" s="8">
        <f t="shared" si="1"/>
        <v>5.2999999999999972</v>
      </c>
    </row>
    <row r="74" spans="2:5" x14ac:dyDescent="0.2">
      <c r="B74" s="8">
        <v>69</v>
      </c>
      <c r="C74" s="8">
        <v>75.7</v>
      </c>
      <c r="D74" s="8">
        <v>84</v>
      </c>
      <c r="E74" s="8">
        <f t="shared" si="1"/>
        <v>8.2999999999999972</v>
      </c>
    </row>
    <row r="75" spans="2:5" x14ac:dyDescent="0.2">
      <c r="B75" s="8">
        <v>70</v>
      </c>
      <c r="C75" s="8">
        <v>68.7</v>
      </c>
      <c r="D75" s="8">
        <v>84.7</v>
      </c>
      <c r="E75" s="8">
        <f t="shared" si="1"/>
        <v>16</v>
      </c>
    </row>
    <row r="76" spans="2:5" x14ac:dyDescent="0.2">
      <c r="B76" s="8">
        <v>71</v>
      </c>
      <c r="C76" s="8">
        <v>70.400000000000006</v>
      </c>
      <c r="D76" s="8">
        <v>78.2</v>
      </c>
      <c r="E76" s="8">
        <f t="shared" si="1"/>
        <v>7.7999999999999972</v>
      </c>
    </row>
    <row r="77" spans="2:5" x14ac:dyDescent="0.2">
      <c r="B77" s="8">
        <v>72</v>
      </c>
      <c r="C77" s="8">
        <v>68.3</v>
      </c>
      <c r="D77" s="8">
        <v>85</v>
      </c>
      <c r="E77" s="8">
        <f t="shared" si="1"/>
        <v>16.700000000000003</v>
      </c>
    </row>
    <row r="78" spans="2:5" x14ac:dyDescent="0.2">
      <c r="B78" s="8">
        <v>73</v>
      </c>
      <c r="C78" s="8">
        <v>71.7</v>
      </c>
      <c r="D78" s="8">
        <v>80.099999999999994</v>
      </c>
      <c r="E78" s="8">
        <f t="shared" si="1"/>
        <v>8.3999999999999915</v>
      </c>
    </row>
    <row r="79" spans="2:5" x14ac:dyDescent="0.2">
      <c r="B79" s="8">
        <v>74</v>
      </c>
      <c r="C79" s="8">
        <v>70.900000000000006</v>
      </c>
      <c r="D79" s="8">
        <v>85.3</v>
      </c>
      <c r="E79" s="8">
        <f t="shared" si="1"/>
        <v>14.399999999999991</v>
      </c>
    </row>
    <row r="80" spans="2:5" x14ac:dyDescent="0.2">
      <c r="B80" s="8">
        <v>75</v>
      </c>
      <c r="C80" s="8">
        <v>66.3</v>
      </c>
      <c r="D80" s="8">
        <v>79.7</v>
      </c>
      <c r="E80" s="8">
        <f t="shared" si="1"/>
        <v>13.400000000000006</v>
      </c>
    </row>
    <row r="81" spans="2:5" x14ac:dyDescent="0.2">
      <c r="B81" s="8">
        <v>76</v>
      </c>
      <c r="C81" s="8">
        <v>65.3</v>
      </c>
      <c r="D81" s="8">
        <v>79.599999999999994</v>
      </c>
      <c r="E81" s="8">
        <f t="shared" si="1"/>
        <v>14.299999999999997</v>
      </c>
    </row>
    <row r="82" spans="2:5" x14ac:dyDescent="0.2">
      <c r="B82" s="8">
        <v>77</v>
      </c>
      <c r="C82" s="8">
        <v>75.7</v>
      </c>
      <c r="D82" s="8">
        <v>78.900000000000006</v>
      </c>
      <c r="E82" s="8">
        <f t="shared" si="1"/>
        <v>3.2000000000000028</v>
      </c>
    </row>
    <row r="83" spans="2:5" x14ac:dyDescent="0.2">
      <c r="B83" s="8">
        <v>78</v>
      </c>
      <c r="C83" s="8">
        <v>66</v>
      </c>
      <c r="D83" s="8">
        <v>78.5</v>
      </c>
      <c r="E83" s="8">
        <f t="shared" si="1"/>
        <v>12.5</v>
      </c>
    </row>
    <row r="84" spans="2:5" x14ac:dyDescent="0.2">
      <c r="B84" s="8">
        <v>79</v>
      </c>
      <c r="C84" s="8">
        <v>78.900000000000006</v>
      </c>
      <c r="D84" s="8">
        <v>72</v>
      </c>
      <c r="E84" s="8">
        <f t="shared" si="1"/>
        <v>-6.9000000000000057</v>
      </c>
    </row>
    <row r="85" spans="2:5" x14ac:dyDescent="0.2">
      <c r="B85" s="8">
        <v>80</v>
      </c>
      <c r="C85" s="8">
        <v>74</v>
      </c>
      <c r="D85" s="8">
        <v>74.2</v>
      </c>
      <c r="E85" s="8">
        <f t="shared" si="1"/>
        <v>0.20000000000000284</v>
      </c>
    </row>
    <row r="86" spans="2:5" x14ac:dyDescent="0.2">
      <c r="B86" s="8">
        <v>81</v>
      </c>
      <c r="C86" s="8">
        <v>74.599999999999994</v>
      </c>
      <c r="D86" s="8">
        <v>71.7</v>
      </c>
      <c r="E86" s="8">
        <f t="shared" si="1"/>
        <v>-2.8999999999999915</v>
      </c>
    </row>
    <row r="87" spans="2:5" x14ac:dyDescent="0.2">
      <c r="B87" s="8">
        <v>82</v>
      </c>
      <c r="C87" s="8">
        <v>79.3</v>
      </c>
      <c r="D87" s="8">
        <v>80.7</v>
      </c>
      <c r="E87" s="8">
        <f t="shared" si="1"/>
        <v>1.4000000000000057</v>
      </c>
    </row>
    <row r="88" spans="2:5" x14ac:dyDescent="0.2">
      <c r="B88" s="8">
        <v>83</v>
      </c>
      <c r="C88" s="8">
        <v>70.099999999999994</v>
      </c>
      <c r="D88" s="8">
        <v>84.1</v>
      </c>
      <c r="E88" s="8">
        <f t="shared" si="1"/>
        <v>14</v>
      </c>
    </row>
    <row r="89" spans="2:5" x14ac:dyDescent="0.2">
      <c r="B89" s="8">
        <v>84</v>
      </c>
      <c r="C89" s="8">
        <v>88.8</v>
      </c>
      <c r="D89" s="8">
        <v>87.4</v>
      </c>
      <c r="E89" s="8">
        <f t="shared" si="1"/>
        <v>-1.3999999999999915</v>
      </c>
    </row>
    <row r="90" spans="2:5" x14ac:dyDescent="0.2">
      <c r="B90" s="8">
        <v>85</v>
      </c>
      <c r="C90" s="8">
        <v>66</v>
      </c>
      <c r="D90" s="8">
        <v>77.400000000000006</v>
      </c>
      <c r="E90" s="8">
        <f t="shared" si="1"/>
        <v>11.400000000000006</v>
      </c>
    </row>
    <row r="91" spans="2:5" x14ac:dyDescent="0.2">
      <c r="B91" s="8">
        <v>86</v>
      </c>
      <c r="C91" s="8">
        <v>82.9</v>
      </c>
      <c r="D91" s="8">
        <v>84.7</v>
      </c>
      <c r="E91" s="8">
        <f t="shared" si="1"/>
        <v>1.7999999999999972</v>
      </c>
    </row>
    <row r="92" spans="2:5" x14ac:dyDescent="0.2">
      <c r="B92" s="8">
        <v>87</v>
      </c>
      <c r="C92" s="8">
        <v>100</v>
      </c>
      <c r="D92" s="8">
        <v>78.8</v>
      </c>
      <c r="E92" s="8">
        <f t="shared" si="1"/>
        <v>-21.200000000000003</v>
      </c>
    </row>
    <row r="93" spans="2:5" x14ac:dyDescent="0.2">
      <c r="B93" s="8">
        <v>88</v>
      </c>
      <c r="C93" s="8">
        <v>75.599999999999994</v>
      </c>
      <c r="D93" s="8">
        <v>92.7</v>
      </c>
      <c r="E93" s="8">
        <f t="shared" si="1"/>
        <v>17.100000000000009</v>
      </c>
    </row>
    <row r="94" spans="2:5" x14ac:dyDescent="0.2">
      <c r="B94" s="8">
        <v>89</v>
      </c>
      <c r="C94" s="8">
        <v>67.5</v>
      </c>
      <c r="D94" s="8">
        <v>88.8</v>
      </c>
      <c r="E94" s="8">
        <f t="shared" si="1"/>
        <v>21.299999999999997</v>
      </c>
    </row>
    <row r="95" spans="2:5" x14ac:dyDescent="0.2">
      <c r="B95" s="8">
        <v>90</v>
      </c>
      <c r="C95" s="8">
        <v>68.7</v>
      </c>
      <c r="D95" s="8">
        <v>86.6</v>
      </c>
      <c r="E95" s="8">
        <f t="shared" si="1"/>
        <v>17.899999999999991</v>
      </c>
    </row>
    <row r="96" spans="2:5" x14ac:dyDescent="0.2">
      <c r="B96" s="8">
        <v>91</v>
      </c>
      <c r="C96" s="8">
        <v>76</v>
      </c>
      <c r="D96" s="8">
        <v>77.900000000000006</v>
      </c>
      <c r="E96" s="8">
        <f t="shared" si="1"/>
        <v>1.9000000000000057</v>
      </c>
    </row>
    <row r="97" spans="2:5" x14ac:dyDescent="0.2">
      <c r="B97" s="8">
        <v>92</v>
      </c>
      <c r="C97" s="8">
        <v>67.7</v>
      </c>
      <c r="D97" s="8">
        <v>86.1</v>
      </c>
      <c r="E97" s="8">
        <f t="shared" si="1"/>
        <v>18.399999999999991</v>
      </c>
    </row>
    <row r="98" spans="2:5" x14ac:dyDescent="0.2">
      <c r="B98" s="8">
        <v>93</v>
      </c>
      <c r="C98" s="8">
        <v>75.3</v>
      </c>
      <c r="D98" s="8">
        <v>89.9</v>
      </c>
      <c r="E98" s="8">
        <f t="shared" si="1"/>
        <v>14.600000000000009</v>
      </c>
    </row>
    <row r="99" spans="2:5" x14ac:dyDescent="0.2">
      <c r="B99" s="8">
        <v>94</v>
      </c>
      <c r="C99" s="8">
        <v>68.099999999999994</v>
      </c>
      <c r="D99" s="8">
        <v>83.1</v>
      </c>
      <c r="E99" s="8">
        <f t="shared" si="1"/>
        <v>15</v>
      </c>
    </row>
    <row r="100" spans="2:5" x14ac:dyDescent="0.2">
      <c r="B100" s="8">
        <v>95</v>
      </c>
      <c r="C100" s="8">
        <v>63.3</v>
      </c>
      <c r="D100" s="8">
        <v>82.6</v>
      </c>
      <c r="E100" s="8">
        <f t="shared" si="1"/>
        <v>19.299999999999997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FF48-FD83-4A2D-88DA-651A4D97233E}">
  <sheetPr codeName="Sheet34">
    <tabColor theme="9" tint="0.59999389629810485"/>
  </sheetPr>
  <dimension ref="B1:N100"/>
  <sheetViews>
    <sheetView showGridLines="0" workbookViewId="0">
      <selection activeCell="N8" sqref="N8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12.1640625" customWidth="1"/>
    <col min="8" max="8" width="11.5" customWidth="1"/>
    <col min="10" max="10" width="20" customWidth="1"/>
    <col min="11" max="11" width="9.5" bestFit="1" customWidth="1"/>
    <col min="13" max="13" width="14.33203125" customWidth="1"/>
    <col min="14" max="14" width="11.5" customWidth="1"/>
  </cols>
  <sheetData>
    <row r="1" spans="2:14" ht="25.5" customHeight="1" x14ac:dyDescent="0.25">
      <c r="B1" s="18" t="s">
        <v>172</v>
      </c>
    </row>
    <row r="2" spans="2:14" ht="15" customHeight="1" x14ac:dyDescent="0.2">
      <c r="B2" s="30" t="s">
        <v>305</v>
      </c>
    </row>
    <row r="3" spans="2:14" ht="18" customHeight="1" x14ac:dyDescent="0.2"/>
    <row r="4" spans="2:14" x14ac:dyDescent="0.2">
      <c r="G4" s="3" t="s">
        <v>54</v>
      </c>
      <c r="J4" s="3" t="s">
        <v>54</v>
      </c>
      <c r="M4" s="3" t="s">
        <v>54</v>
      </c>
    </row>
    <row r="5" spans="2:14" x14ac:dyDescent="0.2">
      <c r="B5" s="40" t="s">
        <v>20</v>
      </c>
      <c r="C5" s="43" t="s">
        <v>22</v>
      </c>
      <c r="D5" s="43" t="s">
        <v>23</v>
      </c>
      <c r="E5" s="41" t="s">
        <v>171</v>
      </c>
      <c r="G5" s="116" t="s">
        <v>138</v>
      </c>
      <c r="H5" s="116"/>
      <c r="J5" s="116" t="s">
        <v>140</v>
      </c>
      <c r="K5" s="116"/>
      <c r="M5" s="116" t="s">
        <v>146</v>
      </c>
      <c r="N5" s="116"/>
    </row>
    <row r="6" spans="2:14" x14ac:dyDescent="0.2">
      <c r="B6" s="8">
        <v>1</v>
      </c>
      <c r="C6" s="8">
        <v>252</v>
      </c>
      <c r="D6" s="8">
        <v>276</v>
      </c>
      <c r="E6" s="8">
        <f>D6-C6</f>
        <v>24</v>
      </c>
      <c r="G6" s="20" t="s">
        <v>71</v>
      </c>
      <c r="H6" s="71">
        <f>COUNT(B6:B100)</f>
        <v>95</v>
      </c>
      <c r="J6" s="20" t="s">
        <v>141</v>
      </c>
      <c r="K6" s="82">
        <v>0.9</v>
      </c>
      <c r="M6" s="20" t="s">
        <v>147</v>
      </c>
      <c r="N6" s="72">
        <f>H7-K11</f>
        <v>44.388289333700001</v>
      </c>
    </row>
    <row r="7" spans="2:14" x14ac:dyDescent="0.2">
      <c r="B7" s="8">
        <v>2</v>
      </c>
      <c r="C7" s="8">
        <v>423</v>
      </c>
      <c r="D7" s="8">
        <v>410</v>
      </c>
      <c r="E7" s="8">
        <f t="shared" ref="E7:E70" si="0">D7-C7</f>
        <v>-13</v>
      </c>
      <c r="G7" s="20" t="s">
        <v>46</v>
      </c>
      <c r="H7" s="72">
        <f>AVERAGE(E6:E100)</f>
        <v>49.442105263157892</v>
      </c>
      <c r="J7" s="20" t="s">
        <v>142</v>
      </c>
      <c r="K7" s="82">
        <f>1-K6</f>
        <v>9.9999999999999978E-2</v>
      </c>
      <c r="M7" s="20" t="s">
        <v>148</v>
      </c>
      <c r="N7" s="72">
        <f>H7+K11</f>
        <v>54.495921192615782</v>
      </c>
    </row>
    <row r="8" spans="2:14" x14ac:dyDescent="0.2">
      <c r="B8" s="8">
        <v>3</v>
      </c>
      <c r="C8" s="8">
        <v>101</v>
      </c>
      <c r="D8" s="8">
        <v>119</v>
      </c>
      <c r="E8" s="8">
        <f t="shared" si="0"/>
        <v>18</v>
      </c>
      <c r="G8" s="20" t="s">
        <v>70</v>
      </c>
      <c r="H8" s="75">
        <f>_xlfn.STDEV.S(E6:E100)</f>
        <v>29.655007753875548</v>
      </c>
      <c r="J8" s="20" t="s">
        <v>143</v>
      </c>
      <c r="K8" s="75">
        <f>K7/2</f>
        <v>4.9999999999999989E-2</v>
      </c>
    </row>
    <row r="9" spans="2:14" x14ac:dyDescent="0.2">
      <c r="B9" s="8">
        <v>4</v>
      </c>
      <c r="C9" s="8">
        <v>288</v>
      </c>
      <c r="D9" s="8">
        <v>334</v>
      </c>
      <c r="E9" s="8">
        <f t="shared" si="0"/>
        <v>46</v>
      </c>
      <c r="J9" s="20" t="s">
        <v>155</v>
      </c>
      <c r="K9" s="75">
        <f>_xlfn.T.INV(1-K8,H6)</f>
        <v>1.6610518172772404</v>
      </c>
    </row>
    <row r="10" spans="2:14" x14ac:dyDescent="0.2">
      <c r="B10" s="8">
        <v>5</v>
      </c>
      <c r="C10" s="8">
        <v>248</v>
      </c>
      <c r="D10" s="8">
        <v>252</v>
      </c>
      <c r="E10" s="8">
        <f t="shared" si="0"/>
        <v>4</v>
      </c>
      <c r="J10" s="20" t="s">
        <v>145</v>
      </c>
      <c r="K10" s="75">
        <f>H8/SQRT(H6)</f>
        <v>3.0425395986393706</v>
      </c>
    </row>
    <row r="11" spans="2:14" x14ac:dyDescent="0.2">
      <c r="B11" s="8">
        <v>6</v>
      </c>
      <c r="C11" s="8">
        <v>145</v>
      </c>
      <c r="D11" s="8">
        <v>209</v>
      </c>
      <c r="E11" s="8">
        <f t="shared" si="0"/>
        <v>64</v>
      </c>
      <c r="J11" s="20" t="s">
        <v>149</v>
      </c>
      <c r="K11" s="75">
        <f>K9*K10</f>
        <v>5.0538159294578922</v>
      </c>
    </row>
    <row r="12" spans="2:14" x14ac:dyDescent="0.2">
      <c r="B12" s="8">
        <v>7</v>
      </c>
      <c r="C12" s="8">
        <v>401</v>
      </c>
      <c r="D12" s="8">
        <v>462</v>
      </c>
      <c r="E12" s="8">
        <f t="shared" si="0"/>
        <v>61</v>
      </c>
    </row>
    <row r="13" spans="2:14" x14ac:dyDescent="0.2">
      <c r="B13" s="8">
        <v>8</v>
      </c>
      <c r="C13" s="8">
        <v>287</v>
      </c>
      <c r="D13" s="8">
        <v>342</v>
      </c>
      <c r="E13" s="8">
        <f t="shared" si="0"/>
        <v>55</v>
      </c>
    </row>
    <row r="14" spans="2:14" x14ac:dyDescent="0.2">
      <c r="B14" s="8">
        <v>9</v>
      </c>
      <c r="C14" s="8">
        <v>275</v>
      </c>
      <c r="D14" s="8">
        <v>347</v>
      </c>
      <c r="E14" s="8">
        <f t="shared" si="0"/>
        <v>72</v>
      </c>
    </row>
    <row r="15" spans="2:14" x14ac:dyDescent="0.2">
      <c r="B15" s="8">
        <v>10</v>
      </c>
      <c r="C15" s="8">
        <v>254</v>
      </c>
      <c r="D15" s="8">
        <v>313</v>
      </c>
      <c r="E15" s="8">
        <f t="shared" si="0"/>
        <v>59</v>
      </c>
    </row>
    <row r="16" spans="2:14" x14ac:dyDescent="0.2">
      <c r="B16" s="8">
        <v>11</v>
      </c>
      <c r="C16" s="8">
        <v>182</v>
      </c>
      <c r="D16" s="8">
        <v>232</v>
      </c>
      <c r="E16" s="8">
        <f t="shared" si="0"/>
        <v>50</v>
      </c>
      <c r="J16" s="20"/>
    </row>
    <row r="17" spans="2:5" x14ac:dyDescent="0.2">
      <c r="B17" s="8">
        <v>12</v>
      </c>
      <c r="C17" s="8">
        <v>117</v>
      </c>
      <c r="D17" s="8">
        <v>163</v>
      </c>
      <c r="E17" s="8">
        <f t="shared" si="0"/>
        <v>46</v>
      </c>
    </row>
    <row r="18" spans="2:5" x14ac:dyDescent="0.2">
      <c r="B18" s="8">
        <v>13</v>
      </c>
      <c r="C18" s="8">
        <v>130</v>
      </c>
      <c r="D18" s="8">
        <v>119</v>
      </c>
      <c r="E18" s="8">
        <f t="shared" si="0"/>
        <v>-11</v>
      </c>
    </row>
    <row r="19" spans="2:5" x14ac:dyDescent="0.2">
      <c r="B19" s="8">
        <v>14</v>
      </c>
      <c r="C19" s="8">
        <v>219</v>
      </c>
      <c r="D19" s="8">
        <v>304</v>
      </c>
      <c r="E19" s="8">
        <f t="shared" si="0"/>
        <v>85</v>
      </c>
    </row>
    <row r="20" spans="2:5" x14ac:dyDescent="0.2">
      <c r="B20" s="8">
        <v>15</v>
      </c>
      <c r="C20" s="8">
        <v>152</v>
      </c>
      <c r="D20" s="8">
        <v>211</v>
      </c>
      <c r="E20" s="8">
        <f t="shared" si="0"/>
        <v>59</v>
      </c>
    </row>
    <row r="21" spans="2:5" x14ac:dyDescent="0.2">
      <c r="B21" s="8">
        <v>16</v>
      </c>
      <c r="C21" s="8">
        <v>228</v>
      </c>
      <c r="D21" s="8">
        <v>286</v>
      </c>
      <c r="E21" s="8">
        <f t="shared" si="0"/>
        <v>58</v>
      </c>
    </row>
    <row r="22" spans="2:5" x14ac:dyDescent="0.2">
      <c r="B22" s="8">
        <v>17</v>
      </c>
      <c r="C22" s="8">
        <v>62</v>
      </c>
      <c r="D22" s="8">
        <v>122</v>
      </c>
      <c r="E22" s="8">
        <f t="shared" si="0"/>
        <v>60</v>
      </c>
    </row>
    <row r="23" spans="2:5" x14ac:dyDescent="0.2">
      <c r="B23" s="8">
        <v>18</v>
      </c>
      <c r="C23" s="8">
        <v>393</v>
      </c>
      <c r="D23" s="8">
        <v>443</v>
      </c>
      <c r="E23" s="8">
        <f t="shared" si="0"/>
        <v>50</v>
      </c>
    </row>
    <row r="24" spans="2:5" x14ac:dyDescent="0.2">
      <c r="B24" s="8">
        <v>19</v>
      </c>
      <c r="C24" s="8">
        <v>277</v>
      </c>
      <c r="D24" s="8">
        <v>366</v>
      </c>
      <c r="E24" s="8">
        <f t="shared" si="0"/>
        <v>89</v>
      </c>
    </row>
    <row r="25" spans="2:5" x14ac:dyDescent="0.2">
      <c r="B25" s="8">
        <v>20</v>
      </c>
      <c r="C25" s="8">
        <v>206</v>
      </c>
      <c r="D25" s="8">
        <v>244</v>
      </c>
      <c r="E25" s="8">
        <f t="shared" si="0"/>
        <v>38</v>
      </c>
    </row>
    <row r="26" spans="2:5" x14ac:dyDescent="0.2">
      <c r="B26" s="8">
        <v>21</v>
      </c>
      <c r="C26" s="8">
        <v>229</v>
      </c>
      <c r="D26" s="8">
        <v>241</v>
      </c>
      <c r="E26" s="8">
        <f t="shared" si="0"/>
        <v>12</v>
      </c>
    </row>
    <row r="27" spans="2:5" x14ac:dyDescent="0.2">
      <c r="B27" s="8">
        <v>22</v>
      </c>
      <c r="C27" s="8">
        <v>182</v>
      </c>
      <c r="D27" s="8">
        <v>237</v>
      </c>
      <c r="E27" s="8">
        <f t="shared" si="0"/>
        <v>55</v>
      </c>
    </row>
    <row r="28" spans="2:5" x14ac:dyDescent="0.2">
      <c r="B28" s="8">
        <v>23</v>
      </c>
      <c r="C28" s="8">
        <v>98</v>
      </c>
      <c r="D28" s="8">
        <v>122</v>
      </c>
      <c r="E28" s="8">
        <f t="shared" si="0"/>
        <v>24</v>
      </c>
    </row>
    <row r="29" spans="2:5" x14ac:dyDescent="0.2">
      <c r="B29" s="8">
        <v>24</v>
      </c>
      <c r="C29" s="8">
        <v>125</v>
      </c>
      <c r="D29" s="8">
        <v>129</v>
      </c>
      <c r="E29" s="8">
        <f t="shared" si="0"/>
        <v>4</v>
      </c>
    </row>
    <row r="30" spans="2:5" x14ac:dyDescent="0.2">
      <c r="B30" s="8">
        <v>25</v>
      </c>
      <c r="C30" s="8">
        <v>164</v>
      </c>
      <c r="D30" s="8">
        <v>236</v>
      </c>
      <c r="E30" s="8">
        <f t="shared" si="0"/>
        <v>72</v>
      </c>
    </row>
    <row r="31" spans="2:5" x14ac:dyDescent="0.2">
      <c r="B31" s="8">
        <v>26</v>
      </c>
      <c r="C31" s="8">
        <v>186</v>
      </c>
      <c r="D31" s="8">
        <v>251</v>
      </c>
      <c r="E31" s="8">
        <f t="shared" si="0"/>
        <v>65</v>
      </c>
    </row>
    <row r="32" spans="2:5" x14ac:dyDescent="0.2">
      <c r="B32" s="8">
        <v>27</v>
      </c>
      <c r="C32" s="8">
        <v>235</v>
      </c>
      <c r="D32" s="8">
        <v>283</v>
      </c>
      <c r="E32" s="8">
        <f t="shared" si="0"/>
        <v>48</v>
      </c>
    </row>
    <row r="33" spans="2:5" x14ac:dyDescent="0.2">
      <c r="B33" s="8">
        <v>28</v>
      </c>
      <c r="C33" s="8">
        <v>184</v>
      </c>
      <c r="D33" s="8">
        <v>225</v>
      </c>
      <c r="E33" s="8">
        <f t="shared" si="0"/>
        <v>41</v>
      </c>
    </row>
    <row r="34" spans="2:5" x14ac:dyDescent="0.2">
      <c r="B34" s="8">
        <v>29</v>
      </c>
      <c r="C34" s="8">
        <v>76</v>
      </c>
      <c r="D34" s="8">
        <v>102</v>
      </c>
      <c r="E34" s="8">
        <f t="shared" si="0"/>
        <v>26</v>
      </c>
    </row>
    <row r="35" spans="2:5" x14ac:dyDescent="0.2">
      <c r="B35" s="8">
        <v>30</v>
      </c>
      <c r="C35" s="8">
        <v>126</v>
      </c>
      <c r="D35" s="8">
        <v>180</v>
      </c>
      <c r="E35" s="8">
        <f t="shared" si="0"/>
        <v>54</v>
      </c>
    </row>
    <row r="36" spans="2:5" x14ac:dyDescent="0.2">
      <c r="B36" s="8">
        <v>31</v>
      </c>
      <c r="C36" s="8">
        <v>183</v>
      </c>
      <c r="D36" s="8">
        <v>247</v>
      </c>
      <c r="E36" s="8">
        <f t="shared" si="0"/>
        <v>64</v>
      </c>
    </row>
    <row r="37" spans="2:5" x14ac:dyDescent="0.2">
      <c r="B37" s="8">
        <v>32</v>
      </c>
      <c r="C37" s="8">
        <v>242</v>
      </c>
      <c r="D37" s="8">
        <v>343</v>
      </c>
      <c r="E37" s="8">
        <f t="shared" si="0"/>
        <v>101</v>
      </c>
    </row>
    <row r="38" spans="2:5" x14ac:dyDescent="0.2">
      <c r="B38" s="8">
        <v>33</v>
      </c>
      <c r="C38" s="8">
        <v>207</v>
      </c>
      <c r="D38" s="8">
        <v>283</v>
      </c>
      <c r="E38" s="8">
        <f t="shared" si="0"/>
        <v>76</v>
      </c>
    </row>
    <row r="39" spans="2:5" x14ac:dyDescent="0.2">
      <c r="B39" s="8">
        <v>34</v>
      </c>
      <c r="C39" s="8">
        <v>181</v>
      </c>
      <c r="D39" s="8">
        <v>253</v>
      </c>
      <c r="E39" s="8">
        <f t="shared" si="0"/>
        <v>72</v>
      </c>
    </row>
    <row r="40" spans="2:5" x14ac:dyDescent="0.2">
      <c r="B40" s="8">
        <v>35</v>
      </c>
      <c r="C40" s="8">
        <v>239</v>
      </c>
      <c r="D40" s="8">
        <v>263</v>
      </c>
      <c r="E40" s="8">
        <f t="shared" si="0"/>
        <v>24</v>
      </c>
    </row>
    <row r="41" spans="2:5" x14ac:dyDescent="0.2">
      <c r="B41" s="8">
        <v>36</v>
      </c>
      <c r="C41" s="8">
        <v>216</v>
      </c>
      <c r="D41" s="8">
        <v>291</v>
      </c>
      <c r="E41" s="8">
        <f t="shared" si="0"/>
        <v>75</v>
      </c>
    </row>
    <row r="42" spans="2:5" x14ac:dyDescent="0.2">
      <c r="B42" s="8">
        <v>37</v>
      </c>
      <c r="C42" s="8">
        <v>289</v>
      </c>
      <c r="D42" s="8">
        <v>368</v>
      </c>
      <c r="E42" s="8">
        <f t="shared" si="0"/>
        <v>79</v>
      </c>
    </row>
    <row r="43" spans="2:5" x14ac:dyDescent="0.2">
      <c r="B43" s="8">
        <v>38</v>
      </c>
      <c r="C43" s="8">
        <v>213</v>
      </c>
      <c r="D43" s="8">
        <v>206</v>
      </c>
      <c r="E43" s="8">
        <f t="shared" si="0"/>
        <v>-7</v>
      </c>
    </row>
    <row r="44" spans="2:5" x14ac:dyDescent="0.2">
      <c r="B44" s="8">
        <v>39</v>
      </c>
      <c r="C44" s="8">
        <v>209</v>
      </c>
      <c r="D44" s="8">
        <v>231</v>
      </c>
      <c r="E44" s="8">
        <f t="shared" si="0"/>
        <v>22</v>
      </c>
    </row>
    <row r="45" spans="2:5" x14ac:dyDescent="0.2">
      <c r="B45" s="8">
        <v>40</v>
      </c>
      <c r="C45" s="8">
        <v>376</v>
      </c>
      <c r="D45" s="8">
        <v>389</v>
      </c>
      <c r="E45" s="8">
        <f t="shared" si="0"/>
        <v>13</v>
      </c>
    </row>
    <row r="46" spans="2:5" x14ac:dyDescent="0.2">
      <c r="B46" s="8">
        <v>41</v>
      </c>
      <c r="C46" s="8">
        <v>332</v>
      </c>
      <c r="D46" s="8">
        <v>396</v>
      </c>
      <c r="E46" s="8">
        <f t="shared" si="0"/>
        <v>64</v>
      </c>
    </row>
    <row r="47" spans="2:5" x14ac:dyDescent="0.2">
      <c r="B47" s="8">
        <v>42</v>
      </c>
      <c r="C47" s="8">
        <v>249</v>
      </c>
      <c r="D47" s="8">
        <v>339</v>
      </c>
      <c r="E47" s="8">
        <f t="shared" si="0"/>
        <v>90</v>
      </c>
    </row>
    <row r="48" spans="2:5" x14ac:dyDescent="0.2">
      <c r="B48" s="8">
        <v>43</v>
      </c>
      <c r="C48" s="8">
        <v>228</v>
      </c>
      <c r="D48" s="8">
        <v>286</v>
      </c>
      <c r="E48" s="8">
        <f t="shared" si="0"/>
        <v>58</v>
      </c>
    </row>
    <row r="49" spans="2:5" x14ac:dyDescent="0.2">
      <c r="B49" s="8">
        <v>44</v>
      </c>
      <c r="C49" s="8">
        <v>124</v>
      </c>
      <c r="D49" s="8">
        <v>146</v>
      </c>
      <c r="E49" s="8">
        <f t="shared" si="0"/>
        <v>22</v>
      </c>
    </row>
    <row r="50" spans="2:5" x14ac:dyDescent="0.2">
      <c r="B50" s="8">
        <v>45</v>
      </c>
      <c r="C50" s="8">
        <v>194</v>
      </c>
      <c r="D50" s="8">
        <v>315</v>
      </c>
      <c r="E50" s="8">
        <f t="shared" si="0"/>
        <v>121</v>
      </c>
    </row>
    <row r="51" spans="2:5" x14ac:dyDescent="0.2">
      <c r="B51" s="8">
        <v>46</v>
      </c>
      <c r="C51" s="8">
        <v>157</v>
      </c>
      <c r="D51" s="8">
        <v>183</v>
      </c>
      <c r="E51" s="8">
        <f t="shared" si="0"/>
        <v>26</v>
      </c>
    </row>
    <row r="52" spans="2:5" x14ac:dyDescent="0.2">
      <c r="B52" s="8">
        <v>47</v>
      </c>
      <c r="C52" s="8">
        <v>402</v>
      </c>
      <c r="D52" s="8">
        <v>481</v>
      </c>
      <c r="E52" s="8">
        <f t="shared" si="0"/>
        <v>79</v>
      </c>
    </row>
    <row r="53" spans="2:5" x14ac:dyDescent="0.2">
      <c r="B53" s="8">
        <v>48</v>
      </c>
      <c r="C53" s="8">
        <v>323</v>
      </c>
      <c r="D53" s="8">
        <v>349</v>
      </c>
      <c r="E53" s="8">
        <f t="shared" si="0"/>
        <v>26</v>
      </c>
    </row>
    <row r="54" spans="2:5" x14ac:dyDescent="0.2">
      <c r="B54" s="8">
        <v>49</v>
      </c>
      <c r="C54" s="8">
        <v>181</v>
      </c>
      <c r="D54" s="8">
        <v>225</v>
      </c>
      <c r="E54" s="8">
        <f t="shared" si="0"/>
        <v>44</v>
      </c>
    </row>
    <row r="55" spans="2:5" x14ac:dyDescent="0.2">
      <c r="B55" s="8">
        <v>50</v>
      </c>
      <c r="C55" s="8">
        <v>157</v>
      </c>
      <c r="D55" s="8">
        <v>217</v>
      </c>
      <c r="E55" s="8">
        <f t="shared" si="0"/>
        <v>60</v>
      </c>
    </row>
    <row r="56" spans="2:5" x14ac:dyDescent="0.2">
      <c r="B56" s="8">
        <v>51</v>
      </c>
      <c r="C56" s="8">
        <v>266</v>
      </c>
      <c r="D56" s="8">
        <v>353</v>
      </c>
      <c r="E56" s="8">
        <f t="shared" si="0"/>
        <v>87</v>
      </c>
    </row>
    <row r="57" spans="2:5" x14ac:dyDescent="0.2">
      <c r="B57" s="8">
        <v>52</v>
      </c>
      <c r="C57" s="8">
        <v>268</v>
      </c>
      <c r="D57" s="8">
        <v>314</v>
      </c>
      <c r="E57" s="8">
        <f t="shared" si="0"/>
        <v>46</v>
      </c>
    </row>
    <row r="58" spans="2:5" x14ac:dyDescent="0.2">
      <c r="B58" s="8">
        <v>53</v>
      </c>
      <c r="C58" s="8">
        <v>167</v>
      </c>
      <c r="D58" s="8">
        <v>247</v>
      </c>
      <c r="E58" s="8">
        <f t="shared" si="0"/>
        <v>80</v>
      </c>
    </row>
    <row r="59" spans="2:5" x14ac:dyDescent="0.2">
      <c r="B59" s="8">
        <v>54</v>
      </c>
      <c r="C59" s="8">
        <v>342</v>
      </c>
      <c r="D59" s="8">
        <v>410</v>
      </c>
      <c r="E59" s="8">
        <f t="shared" si="0"/>
        <v>68</v>
      </c>
    </row>
    <row r="60" spans="2:5" x14ac:dyDescent="0.2">
      <c r="B60" s="8">
        <v>55</v>
      </c>
      <c r="C60" s="8">
        <v>349</v>
      </c>
      <c r="D60" s="8">
        <v>395</v>
      </c>
      <c r="E60" s="8">
        <f t="shared" si="0"/>
        <v>46</v>
      </c>
    </row>
    <row r="61" spans="2:5" x14ac:dyDescent="0.2">
      <c r="B61" s="8">
        <v>56</v>
      </c>
      <c r="C61" s="8">
        <v>340</v>
      </c>
      <c r="D61" s="8">
        <v>416</v>
      </c>
      <c r="E61" s="8">
        <f t="shared" si="0"/>
        <v>76</v>
      </c>
    </row>
    <row r="62" spans="2:5" x14ac:dyDescent="0.2">
      <c r="B62" s="8">
        <v>57</v>
      </c>
      <c r="C62" s="8">
        <v>227</v>
      </c>
      <c r="D62" s="8">
        <v>342</v>
      </c>
      <c r="E62" s="8">
        <f t="shared" si="0"/>
        <v>115</v>
      </c>
    </row>
    <row r="63" spans="2:5" x14ac:dyDescent="0.2">
      <c r="B63" s="8">
        <v>58</v>
      </c>
      <c r="C63" s="8">
        <v>409</v>
      </c>
      <c r="D63" s="8">
        <v>446</v>
      </c>
      <c r="E63" s="8">
        <f t="shared" si="0"/>
        <v>37</v>
      </c>
    </row>
    <row r="64" spans="2:5" x14ac:dyDescent="0.2">
      <c r="B64" s="8">
        <v>59</v>
      </c>
      <c r="C64" s="8">
        <v>400</v>
      </c>
      <c r="D64" s="8">
        <v>477</v>
      </c>
      <c r="E64" s="8">
        <f t="shared" si="0"/>
        <v>77</v>
      </c>
    </row>
    <row r="65" spans="2:5" x14ac:dyDescent="0.2">
      <c r="B65" s="8">
        <v>60</v>
      </c>
      <c r="C65" s="8">
        <v>374</v>
      </c>
      <c r="D65" s="8">
        <v>444</v>
      </c>
      <c r="E65" s="8">
        <f t="shared" si="0"/>
        <v>70</v>
      </c>
    </row>
    <row r="66" spans="2:5" x14ac:dyDescent="0.2">
      <c r="B66" s="8">
        <v>61</v>
      </c>
      <c r="C66" s="8">
        <v>255</v>
      </c>
      <c r="D66" s="8">
        <v>351</v>
      </c>
      <c r="E66" s="8">
        <f t="shared" si="0"/>
        <v>96</v>
      </c>
    </row>
    <row r="67" spans="2:5" x14ac:dyDescent="0.2">
      <c r="B67" s="8">
        <v>62</v>
      </c>
      <c r="C67" s="8">
        <v>146</v>
      </c>
      <c r="D67" s="8">
        <v>165</v>
      </c>
      <c r="E67" s="8">
        <f t="shared" si="0"/>
        <v>19</v>
      </c>
    </row>
    <row r="68" spans="2:5" x14ac:dyDescent="0.2">
      <c r="B68" s="8">
        <v>63</v>
      </c>
      <c r="C68" s="8">
        <v>248</v>
      </c>
      <c r="D68" s="8">
        <v>317</v>
      </c>
      <c r="E68" s="8">
        <f t="shared" si="0"/>
        <v>69</v>
      </c>
    </row>
    <row r="69" spans="2:5" x14ac:dyDescent="0.2">
      <c r="B69" s="8">
        <v>64</v>
      </c>
      <c r="C69" s="8">
        <v>198</v>
      </c>
      <c r="D69" s="8">
        <v>250</v>
      </c>
      <c r="E69" s="8">
        <f t="shared" si="0"/>
        <v>52</v>
      </c>
    </row>
    <row r="70" spans="2:5" x14ac:dyDescent="0.2">
      <c r="B70" s="8">
        <v>65</v>
      </c>
      <c r="C70" s="8">
        <v>210</v>
      </c>
      <c r="D70" s="8">
        <v>217</v>
      </c>
      <c r="E70" s="8">
        <f t="shared" si="0"/>
        <v>7</v>
      </c>
    </row>
    <row r="71" spans="2:5" x14ac:dyDescent="0.2">
      <c r="B71" s="8">
        <v>66</v>
      </c>
      <c r="C71" s="8">
        <v>107</v>
      </c>
      <c r="D71" s="8">
        <v>138</v>
      </c>
      <c r="E71" s="8">
        <f t="shared" ref="E71:E100" si="1">D71-C71</f>
        <v>31</v>
      </c>
    </row>
    <row r="72" spans="2:5" x14ac:dyDescent="0.2">
      <c r="B72" s="8">
        <v>67</v>
      </c>
      <c r="C72" s="8">
        <v>239</v>
      </c>
      <c r="D72" s="8">
        <v>302</v>
      </c>
      <c r="E72" s="8">
        <f t="shared" si="1"/>
        <v>63</v>
      </c>
    </row>
    <row r="73" spans="2:5" x14ac:dyDescent="0.2">
      <c r="B73" s="8">
        <v>68</v>
      </c>
      <c r="C73" s="8">
        <v>287</v>
      </c>
      <c r="D73" s="8">
        <v>311</v>
      </c>
      <c r="E73" s="8">
        <f t="shared" si="1"/>
        <v>24</v>
      </c>
    </row>
    <row r="74" spans="2:5" x14ac:dyDescent="0.2">
      <c r="B74" s="8">
        <v>69</v>
      </c>
      <c r="C74" s="8">
        <v>340</v>
      </c>
      <c r="D74" s="8">
        <v>373</v>
      </c>
      <c r="E74" s="8">
        <f t="shared" si="1"/>
        <v>33</v>
      </c>
    </row>
    <row r="75" spans="2:5" x14ac:dyDescent="0.2">
      <c r="B75" s="8">
        <v>70</v>
      </c>
      <c r="C75" s="8">
        <v>155</v>
      </c>
      <c r="D75" s="8">
        <v>196</v>
      </c>
      <c r="E75" s="8">
        <f t="shared" si="1"/>
        <v>41</v>
      </c>
    </row>
    <row r="76" spans="2:5" x14ac:dyDescent="0.2">
      <c r="B76" s="8">
        <v>71</v>
      </c>
      <c r="C76" s="8">
        <v>263</v>
      </c>
      <c r="D76" s="8">
        <v>306</v>
      </c>
      <c r="E76" s="8">
        <f t="shared" si="1"/>
        <v>43</v>
      </c>
    </row>
    <row r="77" spans="2:5" x14ac:dyDescent="0.2">
      <c r="B77" s="8">
        <v>72</v>
      </c>
      <c r="C77" s="8">
        <v>265</v>
      </c>
      <c r="D77" s="8">
        <v>302</v>
      </c>
      <c r="E77" s="8">
        <f t="shared" si="1"/>
        <v>37</v>
      </c>
    </row>
    <row r="78" spans="2:5" x14ac:dyDescent="0.2">
      <c r="B78" s="8">
        <v>73</v>
      </c>
      <c r="C78" s="8">
        <v>249</v>
      </c>
      <c r="D78" s="8">
        <v>278</v>
      </c>
      <c r="E78" s="8">
        <f t="shared" si="1"/>
        <v>29</v>
      </c>
    </row>
    <row r="79" spans="2:5" x14ac:dyDescent="0.2">
      <c r="B79" s="8">
        <v>74</v>
      </c>
      <c r="C79" s="8">
        <v>377</v>
      </c>
      <c r="D79" s="8">
        <v>429</v>
      </c>
      <c r="E79" s="8">
        <f t="shared" si="1"/>
        <v>52</v>
      </c>
    </row>
    <row r="80" spans="2:5" x14ac:dyDescent="0.2">
      <c r="B80" s="8">
        <v>75</v>
      </c>
      <c r="C80" s="8">
        <v>301</v>
      </c>
      <c r="D80" s="8">
        <v>338</v>
      </c>
      <c r="E80" s="8">
        <f t="shared" si="1"/>
        <v>37</v>
      </c>
    </row>
    <row r="81" spans="2:5" x14ac:dyDescent="0.2">
      <c r="B81" s="8">
        <v>76</v>
      </c>
      <c r="C81" s="8">
        <v>242</v>
      </c>
      <c r="D81" s="8">
        <v>261</v>
      </c>
      <c r="E81" s="8">
        <f t="shared" si="1"/>
        <v>19</v>
      </c>
    </row>
    <row r="82" spans="2:5" x14ac:dyDescent="0.2">
      <c r="B82" s="8">
        <v>77</v>
      </c>
      <c r="C82" s="8">
        <v>211</v>
      </c>
      <c r="D82" s="8">
        <v>256</v>
      </c>
      <c r="E82" s="8">
        <f t="shared" si="1"/>
        <v>45</v>
      </c>
    </row>
    <row r="83" spans="2:5" x14ac:dyDescent="0.2">
      <c r="B83" s="8">
        <v>78</v>
      </c>
      <c r="C83" s="8">
        <v>160</v>
      </c>
      <c r="D83" s="8">
        <v>183</v>
      </c>
      <c r="E83" s="8">
        <f t="shared" si="1"/>
        <v>23</v>
      </c>
    </row>
    <row r="84" spans="2:5" x14ac:dyDescent="0.2">
      <c r="B84" s="8">
        <v>79</v>
      </c>
      <c r="C84" s="8">
        <v>218</v>
      </c>
      <c r="D84" s="8">
        <v>274</v>
      </c>
      <c r="E84" s="8">
        <f t="shared" si="1"/>
        <v>56</v>
      </c>
    </row>
    <row r="85" spans="2:5" x14ac:dyDescent="0.2">
      <c r="B85" s="8">
        <v>80</v>
      </c>
      <c r="C85" s="8">
        <v>133</v>
      </c>
      <c r="D85" s="8">
        <v>182</v>
      </c>
      <c r="E85" s="8">
        <f t="shared" si="1"/>
        <v>49</v>
      </c>
    </row>
    <row r="86" spans="2:5" x14ac:dyDescent="0.2">
      <c r="B86" s="8">
        <v>81</v>
      </c>
      <c r="C86" s="8">
        <v>122</v>
      </c>
      <c r="D86" s="8">
        <v>183</v>
      </c>
      <c r="E86" s="8">
        <f t="shared" si="1"/>
        <v>61</v>
      </c>
    </row>
    <row r="87" spans="2:5" x14ac:dyDescent="0.2">
      <c r="B87" s="8">
        <v>82</v>
      </c>
      <c r="C87" s="8">
        <v>236</v>
      </c>
      <c r="D87" s="8">
        <v>309</v>
      </c>
      <c r="E87" s="8">
        <f t="shared" si="1"/>
        <v>73</v>
      </c>
    </row>
    <row r="88" spans="2:5" x14ac:dyDescent="0.2">
      <c r="B88" s="8">
        <v>83</v>
      </c>
      <c r="C88" s="8">
        <v>143</v>
      </c>
      <c r="D88" s="8">
        <v>178</v>
      </c>
      <c r="E88" s="8">
        <f t="shared" si="1"/>
        <v>35</v>
      </c>
    </row>
    <row r="89" spans="2:5" x14ac:dyDescent="0.2">
      <c r="B89" s="8">
        <v>84</v>
      </c>
      <c r="C89" s="8">
        <v>354</v>
      </c>
      <c r="D89" s="8">
        <v>458</v>
      </c>
      <c r="E89" s="8">
        <f t="shared" si="1"/>
        <v>104</v>
      </c>
    </row>
    <row r="90" spans="2:5" x14ac:dyDescent="0.2">
      <c r="B90" s="8">
        <v>85</v>
      </c>
      <c r="C90" s="8">
        <v>214</v>
      </c>
      <c r="D90" s="8">
        <v>234</v>
      </c>
      <c r="E90" s="8">
        <f t="shared" si="1"/>
        <v>20</v>
      </c>
    </row>
    <row r="91" spans="2:5" x14ac:dyDescent="0.2">
      <c r="B91" s="8">
        <v>86</v>
      </c>
      <c r="C91" s="8">
        <v>225</v>
      </c>
      <c r="D91" s="8">
        <v>306</v>
      </c>
      <c r="E91" s="8">
        <f t="shared" si="1"/>
        <v>81</v>
      </c>
    </row>
    <row r="92" spans="2:5" x14ac:dyDescent="0.2">
      <c r="B92" s="8">
        <v>87</v>
      </c>
      <c r="C92" s="8">
        <v>261</v>
      </c>
      <c r="D92" s="8">
        <v>400</v>
      </c>
      <c r="E92" s="8">
        <f t="shared" si="1"/>
        <v>139</v>
      </c>
    </row>
    <row r="93" spans="2:5" x14ac:dyDescent="0.2">
      <c r="B93" s="8">
        <v>88</v>
      </c>
      <c r="C93" s="8">
        <v>277</v>
      </c>
      <c r="D93" s="8">
        <v>337</v>
      </c>
      <c r="E93" s="8">
        <f t="shared" si="1"/>
        <v>60</v>
      </c>
    </row>
    <row r="94" spans="2:5" x14ac:dyDescent="0.2">
      <c r="B94" s="8">
        <v>89</v>
      </c>
      <c r="C94" s="8">
        <v>282</v>
      </c>
      <c r="D94" s="8">
        <v>325</v>
      </c>
      <c r="E94" s="8">
        <f t="shared" si="1"/>
        <v>43</v>
      </c>
    </row>
    <row r="95" spans="2:5" x14ac:dyDescent="0.2">
      <c r="B95" s="8">
        <v>90</v>
      </c>
      <c r="C95" s="8">
        <v>322</v>
      </c>
      <c r="D95" s="8">
        <v>329</v>
      </c>
      <c r="E95" s="8">
        <f t="shared" si="1"/>
        <v>7</v>
      </c>
    </row>
    <row r="96" spans="2:5" x14ac:dyDescent="0.2">
      <c r="B96" s="8">
        <v>91</v>
      </c>
      <c r="C96" s="8">
        <v>326</v>
      </c>
      <c r="D96" s="8">
        <v>369</v>
      </c>
      <c r="E96" s="8">
        <f t="shared" si="1"/>
        <v>43</v>
      </c>
    </row>
    <row r="97" spans="2:5" x14ac:dyDescent="0.2">
      <c r="B97" s="8">
        <v>92</v>
      </c>
      <c r="C97" s="8">
        <v>421</v>
      </c>
      <c r="D97" s="8">
        <v>457</v>
      </c>
      <c r="E97" s="8">
        <f t="shared" si="1"/>
        <v>36</v>
      </c>
    </row>
    <row r="98" spans="2:5" x14ac:dyDescent="0.2">
      <c r="B98" s="8">
        <v>93</v>
      </c>
      <c r="C98" s="8">
        <v>368</v>
      </c>
      <c r="D98" s="8">
        <v>421</v>
      </c>
      <c r="E98" s="8">
        <f t="shared" si="1"/>
        <v>53</v>
      </c>
    </row>
    <row r="99" spans="2:5" x14ac:dyDescent="0.2">
      <c r="B99" s="8">
        <v>94</v>
      </c>
      <c r="C99" s="8">
        <v>279</v>
      </c>
      <c r="D99" s="8">
        <v>282</v>
      </c>
      <c r="E99" s="8">
        <f t="shared" si="1"/>
        <v>3</v>
      </c>
    </row>
    <row r="100" spans="2:5" x14ac:dyDescent="0.2">
      <c r="B100" s="8">
        <v>95</v>
      </c>
      <c r="C100" s="8">
        <v>268</v>
      </c>
      <c r="D100" s="8">
        <v>256</v>
      </c>
      <c r="E100" s="8">
        <f t="shared" si="1"/>
        <v>-12</v>
      </c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4DC0-C63D-4212-AC06-1C9212BF04B2}">
  <sheetPr codeName="Sheet35">
    <tabColor theme="9" tint="0.79998168889431442"/>
  </sheetPr>
  <dimension ref="B1:Q64"/>
  <sheetViews>
    <sheetView showGridLines="0" workbookViewId="0">
      <selection activeCell="G10" sqref="G10"/>
    </sheetView>
  </sheetViews>
  <sheetFormatPr baseColWidth="10" defaultColWidth="8.83203125" defaultRowHeight="15" x14ac:dyDescent="0.2"/>
  <cols>
    <col min="1" max="1" width="2.83203125" customWidth="1"/>
    <col min="2" max="2" width="19.6640625" customWidth="1"/>
    <col min="3" max="3" width="2.83203125" customWidth="1"/>
    <col min="4" max="4" width="17" bestFit="1" customWidth="1"/>
    <col min="6" max="6" width="15.5" bestFit="1" customWidth="1"/>
    <col min="7" max="8" width="14.33203125" customWidth="1"/>
    <col min="10" max="11" width="11.5" customWidth="1"/>
    <col min="13" max="13" width="19.83203125" bestFit="1" customWidth="1"/>
    <col min="14" max="14" width="12" bestFit="1" customWidth="1"/>
    <col min="16" max="16" width="14.33203125" customWidth="1"/>
    <col min="17" max="17" width="11.5" customWidth="1"/>
  </cols>
  <sheetData>
    <row r="1" spans="2:17" ht="25.5" customHeight="1" x14ac:dyDescent="0.25">
      <c r="B1" s="18" t="s">
        <v>173</v>
      </c>
    </row>
    <row r="2" spans="2:17" ht="15" customHeight="1" x14ac:dyDescent="0.2">
      <c r="B2" s="30" t="s">
        <v>174</v>
      </c>
    </row>
    <row r="3" spans="2:17" ht="18" customHeight="1" x14ac:dyDescent="0.2"/>
    <row r="4" spans="2:17" x14ac:dyDescent="0.2">
      <c r="F4" s="3" t="s">
        <v>54</v>
      </c>
      <c r="J4" s="3" t="s">
        <v>54</v>
      </c>
      <c r="M4" s="3" t="s">
        <v>54</v>
      </c>
      <c r="P4" s="3" t="s">
        <v>54</v>
      </c>
    </row>
    <row r="5" spans="2:17" x14ac:dyDescent="0.2">
      <c r="B5" s="7" t="s">
        <v>58</v>
      </c>
      <c r="D5" s="7" t="s">
        <v>59</v>
      </c>
      <c r="F5" s="116" t="s">
        <v>138</v>
      </c>
      <c r="G5" s="116"/>
      <c r="H5" s="116"/>
      <c r="J5" s="116" t="s">
        <v>178</v>
      </c>
      <c r="K5" s="116"/>
      <c r="M5" s="116" t="s">
        <v>140</v>
      </c>
      <c r="N5" s="116"/>
      <c r="P5" s="116" t="s">
        <v>146</v>
      </c>
      <c r="Q5" s="116"/>
    </row>
    <row r="6" spans="2:17" ht="17" x14ac:dyDescent="0.25">
      <c r="B6" s="8">
        <v>90.2</v>
      </c>
      <c r="D6" s="8">
        <v>68.7</v>
      </c>
      <c r="G6" s="17" t="s">
        <v>24</v>
      </c>
      <c r="H6" s="17" t="s">
        <v>26</v>
      </c>
      <c r="J6" s="20" t="s">
        <v>179</v>
      </c>
      <c r="K6" s="72">
        <f>G9-H9</f>
        <v>1.8650659133709979</v>
      </c>
      <c r="M6" s="20" t="s">
        <v>141</v>
      </c>
      <c r="N6" s="77">
        <v>0.9</v>
      </c>
      <c r="P6" s="20" t="s">
        <v>147</v>
      </c>
      <c r="Q6" s="72">
        <f>K6-N12</f>
        <v>-0.39955679893334928</v>
      </c>
    </row>
    <row r="7" spans="2:17" x14ac:dyDescent="0.2">
      <c r="B7" s="8">
        <v>92.8</v>
      </c>
      <c r="D7" s="8">
        <v>80.7</v>
      </c>
      <c r="F7" s="20" t="s">
        <v>175</v>
      </c>
      <c r="G7" s="71">
        <f>COUNT(B6:B41)</f>
        <v>36</v>
      </c>
      <c r="H7" s="71">
        <f>COUNT(D6:D64)</f>
        <v>59</v>
      </c>
      <c r="M7" s="20" t="s">
        <v>142</v>
      </c>
      <c r="N7" s="82">
        <f>1-N6</f>
        <v>9.9999999999999978E-2</v>
      </c>
      <c r="P7" s="20" t="s">
        <v>148</v>
      </c>
      <c r="Q7" s="72">
        <f>K6+N12</f>
        <v>4.1296886256753451</v>
      </c>
    </row>
    <row r="8" spans="2:17" x14ac:dyDescent="0.2">
      <c r="B8" s="8">
        <v>88.7</v>
      </c>
      <c r="D8" s="8">
        <v>74.900000000000006</v>
      </c>
      <c r="F8" s="20" t="s">
        <v>183</v>
      </c>
      <c r="G8" s="71">
        <f>G7-1</f>
        <v>35</v>
      </c>
      <c r="H8" s="71">
        <f>H7-1</f>
        <v>58</v>
      </c>
      <c r="M8" s="20" t="s">
        <v>143</v>
      </c>
      <c r="N8" s="71">
        <f>N7/2</f>
        <v>4.9999999999999989E-2</v>
      </c>
    </row>
    <row r="9" spans="2:17" x14ac:dyDescent="0.2">
      <c r="B9" s="8">
        <v>87.5</v>
      </c>
      <c r="D9" s="8">
        <v>80.7</v>
      </c>
      <c r="F9" s="20" t="s">
        <v>176</v>
      </c>
      <c r="G9" s="72">
        <f>AVERAGE(B6:B41)</f>
        <v>81.327777777777783</v>
      </c>
      <c r="H9" s="72">
        <f>AVERAGE(D6:D64)</f>
        <v>79.462711864406785</v>
      </c>
      <c r="M9" s="20" t="s">
        <v>180</v>
      </c>
      <c r="N9" s="75">
        <f>(G11+H11)^2/(G11^2/G8+H11^2/H8)</f>
        <v>66.234134266561668</v>
      </c>
    </row>
    <row r="10" spans="2:17" ht="17" x14ac:dyDescent="0.2">
      <c r="B10" s="8">
        <v>71.3</v>
      </c>
      <c r="D10" s="8">
        <v>83.3</v>
      </c>
      <c r="F10" s="20" t="s">
        <v>177</v>
      </c>
      <c r="G10" s="75">
        <f>_xlfn.VAR.S(B6:B41)</f>
        <v>44.135206349206364</v>
      </c>
      <c r="H10" s="75">
        <f>_xlfn.VAR.S(D6:D64)</f>
        <v>33.739275277615427</v>
      </c>
      <c r="M10" s="20" t="s">
        <v>155</v>
      </c>
      <c r="N10" s="70">
        <f>_xlfn.T.INV(1-N8,N9)</f>
        <v>1.6682705142276302</v>
      </c>
    </row>
    <row r="11" spans="2:17" ht="17" x14ac:dyDescent="0.2">
      <c r="B11" s="8">
        <v>72.3</v>
      </c>
      <c r="D11" s="8">
        <v>75.400000000000006</v>
      </c>
      <c r="F11" s="20" t="s">
        <v>182</v>
      </c>
      <c r="G11" s="70">
        <f>G10/G8</f>
        <v>1.2610058956916104</v>
      </c>
      <c r="H11" s="70">
        <f>H10/H8</f>
        <v>0.5817116427175073</v>
      </c>
      <c r="M11" s="20" t="s">
        <v>145</v>
      </c>
      <c r="N11" s="75">
        <f>SQRT(G11+H11)</f>
        <v>1.3574673249876468</v>
      </c>
    </row>
    <row r="12" spans="2:17" x14ac:dyDescent="0.2">
      <c r="B12" s="8">
        <v>96.1</v>
      </c>
      <c r="D12" s="8">
        <v>82.1</v>
      </c>
      <c r="M12" s="20" t="s">
        <v>149</v>
      </c>
      <c r="N12" s="75">
        <f>N11*N10</f>
        <v>2.2646227123043472</v>
      </c>
    </row>
    <row r="13" spans="2:17" x14ac:dyDescent="0.2">
      <c r="B13" s="8">
        <v>80.3</v>
      </c>
      <c r="D13" s="8">
        <v>66.900000000000006</v>
      </c>
    </row>
    <row r="14" spans="2:17" x14ac:dyDescent="0.2">
      <c r="B14" s="8">
        <v>79.099999999999994</v>
      </c>
      <c r="D14" s="8">
        <v>76.8</v>
      </c>
    </row>
    <row r="15" spans="2:17" x14ac:dyDescent="0.2">
      <c r="B15" s="8">
        <v>87.5</v>
      </c>
      <c r="D15" s="8">
        <v>72.400000000000006</v>
      </c>
    </row>
    <row r="16" spans="2:17" x14ac:dyDescent="0.2">
      <c r="B16" s="8">
        <v>80.8</v>
      </c>
      <c r="D16" s="8">
        <v>72</v>
      </c>
    </row>
    <row r="17" spans="2:4" x14ac:dyDescent="0.2">
      <c r="B17" s="8">
        <v>88.9</v>
      </c>
      <c r="D17" s="8">
        <v>81</v>
      </c>
    </row>
    <row r="18" spans="2:4" x14ac:dyDescent="0.2">
      <c r="B18" s="8">
        <v>82.3</v>
      </c>
      <c r="D18" s="8">
        <v>76.7</v>
      </c>
    </row>
    <row r="19" spans="2:4" x14ac:dyDescent="0.2">
      <c r="B19" s="8">
        <v>83.4</v>
      </c>
      <c r="D19" s="8">
        <v>77.8</v>
      </c>
    </row>
    <row r="20" spans="2:4" x14ac:dyDescent="0.2">
      <c r="B20" s="8">
        <v>77.8</v>
      </c>
      <c r="D20" s="8">
        <v>62.6</v>
      </c>
    </row>
    <row r="21" spans="2:4" x14ac:dyDescent="0.2">
      <c r="B21" s="8">
        <v>71</v>
      </c>
      <c r="D21" s="8">
        <v>80.2</v>
      </c>
    </row>
    <row r="22" spans="2:4" x14ac:dyDescent="0.2">
      <c r="B22" s="8">
        <v>87.2</v>
      </c>
      <c r="D22" s="8">
        <v>77.8</v>
      </c>
    </row>
    <row r="23" spans="2:4" x14ac:dyDescent="0.2">
      <c r="B23" s="8">
        <v>82.9</v>
      </c>
      <c r="D23" s="8">
        <v>75.099999999999994</v>
      </c>
    </row>
    <row r="24" spans="2:4" x14ac:dyDescent="0.2">
      <c r="B24" s="8">
        <v>75.099999999999994</v>
      </c>
      <c r="D24" s="8">
        <v>82.2</v>
      </c>
    </row>
    <row r="25" spans="2:4" x14ac:dyDescent="0.2">
      <c r="B25" s="8">
        <v>74.900000000000006</v>
      </c>
      <c r="D25" s="8">
        <v>70.5</v>
      </c>
    </row>
    <row r="26" spans="2:4" x14ac:dyDescent="0.2">
      <c r="B26" s="8">
        <v>81.7</v>
      </c>
      <c r="D26" s="8">
        <v>70.8</v>
      </c>
    </row>
    <row r="27" spans="2:4" x14ac:dyDescent="0.2">
      <c r="B27" s="8">
        <v>83.8</v>
      </c>
      <c r="D27" s="8">
        <v>79.5</v>
      </c>
    </row>
    <row r="28" spans="2:4" x14ac:dyDescent="0.2">
      <c r="B28" s="8">
        <v>74.8</v>
      </c>
      <c r="D28" s="8">
        <v>79.599999999999994</v>
      </c>
    </row>
    <row r="29" spans="2:4" x14ac:dyDescent="0.2">
      <c r="B29" s="8">
        <v>82.7</v>
      </c>
      <c r="D29" s="8">
        <v>85.9</v>
      </c>
    </row>
    <row r="30" spans="2:4" x14ac:dyDescent="0.2">
      <c r="B30" s="8">
        <v>84</v>
      </c>
      <c r="D30" s="8">
        <v>76.7</v>
      </c>
    </row>
    <row r="31" spans="2:4" x14ac:dyDescent="0.2">
      <c r="B31" s="8">
        <v>80.099999999999994</v>
      </c>
      <c r="D31" s="8">
        <v>79.900000000000006</v>
      </c>
    </row>
    <row r="32" spans="2:4" x14ac:dyDescent="0.2">
      <c r="B32" s="8">
        <v>79.599999999999994</v>
      </c>
      <c r="D32" s="8">
        <v>86.2</v>
      </c>
    </row>
    <row r="33" spans="2:4" x14ac:dyDescent="0.2">
      <c r="B33" s="8">
        <v>78.900000000000006</v>
      </c>
      <c r="D33" s="8">
        <v>79.2</v>
      </c>
    </row>
    <row r="34" spans="2:4" x14ac:dyDescent="0.2">
      <c r="B34" s="8">
        <v>72</v>
      </c>
      <c r="D34" s="8">
        <v>85.2</v>
      </c>
    </row>
    <row r="35" spans="2:4" x14ac:dyDescent="0.2">
      <c r="B35" s="8">
        <v>74.2</v>
      </c>
      <c r="D35" s="8">
        <v>80.2</v>
      </c>
    </row>
    <row r="36" spans="2:4" x14ac:dyDescent="0.2">
      <c r="B36" s="8">
        <v>71.7</v>
      </c>
      <c r="D36" s="8">
        <v>73.5</v>
      </c>
    </row>
    <row r="37" spans="2:4" x14ac:dyDescent="0.2">
      <c r="B37" s="8">
        <v>87.4</v>
      </c>
      <c r="D37" s="8">
        <v>74.599999999999994</v>
      </c>
    </row>
    <row r="38" spans="2:4" x14ac:dyDescent="0.2">
      <c r="B38" s="8">
        <v>77.400000000000006</v>
      </c>
      <c r="D38" s="8">
        <v>85.1</v>
      </c>
    </row>
    <row r="39" spans="2:4" x14ac:dyDescent="0.2">
      <c r="B39" s="8">
        <v>78.8</v>
      </c>
      <c r="D39" s="8">
        <v>84.6</v>
      </c>
    </row>
    <row r="40" spans="2:4" x14ac:dyDescent="0.2">
      <c r="B40" s="8">
        <v>92.7</v>
      </c>
      <c r="D40" s="8">
        <v>81.400000000000006</v>
      </c>
    </row>
    <row r="41" spans="2:4" x14ac:dyDescent="0.2">
      <c r="B41" s="8">
        <v>77.900000000000006</v>
      </c>
      <c r="D41" s="8">
        <v>88.5</v>
      </c>
    </row>
    <row r="42" spans="2:4" x14ac:dyDescent="0.2">
      <c r="D42" s="8">
        <v>84.9</v>
      </c>
    </row>
    <row r="43" spans="2:4" x14ac:dyDescent="0.2">
      <c r="D43" s="8">
        <v>84.3</v>
      </c>
    </row>
    <row r="44" spans="2:4" x14ac:dyDescent="0.2">
      <c r="D44" s="8">
        <v>78.2</v>
      </c>
    </row>
    <row r="45" spans="2:4" x14ac:dyDescent="0.2">
      <c r="D45" s="8">
        <v>80</v>
      </c>
    </row>
    <row r="46" spans="2:4" x14ac:dyDescent="0.2">
      <c r="D46" s="8">
        <v>78.5</v>
      </c>
    </row>
    <row r="47" spans="2:4" x14ac:dyDescent="0.2">
      <c r="D47" s="8">
        <v>71.8</v>
      </c>
    </row>
    <row r="48" spans="2:4" x14ac:dyDescent="0.2">
      <c r="D48" s="8">
        <v>69.900000000000006</v>
      </c>
    </row>
    <row r="49" spans="4:4" x14ac:dyDescent="0.2">
      <c r="D49" s="8">
        <v>74</v>
      </c>
    </row>
    <row r="50" spans="4:4" x14ac:dyDescent="0.2">
      <c r="D50" s="8">
        <v>84.7</v>
      </c>
    </row>
    <row r="51" spans="4:4" x14ac:dyDescent="0.2">
      <c r="D51" s="8">
        <v>78.2</v>
      </c>
    </row>
    <row r="52" spans="4:4" x14ac:dyDescent="0.2">
      <c r="D52" s="8">
        <v>85</v>
      </c>
    </row>
    <row r="53" spans="4:4" x14ac:dyDescent="0.2">
      <c r="D53" s="8">
        <v>85.3</v>
      </c>
    </row>
    <row r="54" spans="4:4" x14ac:dyDescent="0.2">
      <c r="D54" s="8">
        <v>79.7</v>
      </c>
    </row>
    <row r="55" spans="4:4" x14ac:dyDescent="0.2">
      <c r="D55" s="8">
        <v>78.5</v>
      </c>
    </row>
    <row r="56" spans="4:4" x14ac:dyDescent="0.2">
      <c r="D56" s="8">
        <v>80.7</v>
      </c>
    </row>
    <row r="57" spans="4:4" x14ac:dyDescent="0.2">
      <c r="D57" s="8">
        <v>84.1</v>
      </c>
    </row>
    <row r="58" spans="4:4" x14ac:dyDescent="0.2">
      <c r="D58" s="8">
        <v>84.7</v>
      </c>
    </row>
    <row r="59" spans="4:4" x14ac:dyDescent="0.2">
      <c r="D59" s="8">
        <v>88.8</v>
      </c>
    </row>
    <row r="60" spans="4:4" x14ac:dyDescent="0.2">
      <c r="D60" s="8">
        <v>86.6</v>
      </c>
    </row>
    <row r="61" spans="4:4" x14ac:dyDescent="0.2">
      <c r="D61" s="8">
        <v>86.1</v>
      </c>
    </row>
    <row r="62" spans="4:4" x14ac:dyDescent="0.2">
      <c r="D62" s="8">
        <v>89.9</v>
      </c>
    </row>
    <row r="63" spans="4:4" x14ac:dyDescent="0.2">
      <c r="D63" s="8">
        <v>83.1</v>
      </c>
    </row>
    <row r="64" spans="4:4" x14ac:dyDescent="0.2">
      <c r="D64" s="8">
        <v>82.6</v>
      </c>
    </row>
  </sheetData>
  <mergeCells count="4">
    <mergeCell ref="P5:Q5"/>
    <mergeCell ref="F5:H5"/>
    <mergeCell ref="J5:K5"/>
    <mergeCell ref="M5:N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CD06-FA79-4E0E-8D94-F818CF0B14A5}">
  <sheetPr codeName="Sheet36">
    <tabColor theme="9" tint="0.59999389629810485"/>
  </sheetPr>
  <dimension ref="B1:P100"/>
  <sheetViews>
    <sheetView showGridLines="0" workbookViewId="0">
      <selection activeCell="F10" sqref="F10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0" customWidth="1"/>
    <col min="5" max="5" width="15.5" bestFit="1" customWidth="1"/>
    <col min="6" max="7" width="14.332031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181</v>
      </c>
    </row>
    <row r="2" spans="2:16" ht="15" customHeight="1" x14ac:dyDescent="0.2">
      <c r="B2" s="30" t="s">
        <v>174</v>
      </c>
    </row>
    <row r="3" spans="2:16" ht="18" customHeight="1" x14ac:dyDescent="0.2"/>
    <row r="4" spans="2:16" x14ac:dyDescent="0.2">
      <c r="E4" s="3" t="s">
        <v>53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12</v>
      </c>
      <c r="C5" s="41" t="s">
        <v>23</v>
      </c>
      <c r="E5" s="117" t="s">
        <v>138</v>
      </c>
      <c r="F5" s="117"/>
      <c r="G5" s="117"/>
      <c r="I5" s="116" t="s">
        <v>178</v>
      </c>
      <c r="J5" s="116"/>
      <c r="L5" s="116" t="s">
        <v>140</v>
      </c>
      <c r="M5" s="116"/>
      <c r="O5" s="116" t="s">
        <v>146</v>
      </c>
      <c r="P5" s="116"/>
    </row>
    <row r="6" spans="2:16" ht="17" x14ac:dyDescent="0.25">
      <c r="B6" s="8" t="s">
        <v>13</v>
      </c>
      <c r="C6" s="8">
        <v>276</v>
      </c>
      <c r="F6" s="17" t="s">
        <v>13</v>
      </c>
      <c r="G6" s="17" t="s">
        <v>14</v>
      </c>
      <c r="I6" s="20" t="s">
        <v>179</v>
      </c>
      <c r="J6" s="73">
        <f>F9-G9</f>
        <v>70.528301886792462</v>
      </c>
      <c r="L6" s="20" t="s">
        <v>141</v>
      </c>
      <c r="M6" s="77">
        <v>0.9</v>
      </c>
      <c r="O6" s="20" t="s">
        <v>147</v>
      </c>
      <c r="P6" s="73">
        <f>J6-M12</f>
        <v>40.555836759906974</v>
      </c>
    </row>
    <row r="7" spans="2:16" x14ac:dyDescent="0.2">
      <c r="B7" s="8" t="s">
        <v>14</v>
      </c>
      <c r="C7" s="8">
        <v>410</v>
      </c>
      <c r="E7" s="20" t="s">
        <v>175</v>
      </c>
      <c r="F7" s="71">
        <f>COUNTIFS(B6:B100,"Placed")</f>
        <v>53</v>
      </c>
      <c r="G7" s="71">
        <f>COUNTIFS(B6:B100,"Not Placed")</f>
        <v>42</v>
      </c>
      <c r="L7" s="20" t="s">
        <v>142</v>
      </c>
      <c r="M7" s="82">
        <f>1-M6</f>
        <v>9.9999999999999978E-2</v>
      </c>
      <c r="O7" s="20" t="s">
        <v>148</v>
      </c>
      <c r="P7" s="73">
        <f>J6+M12</f>
        <v>100.50076701367794</v>
      </c>
    </row>
    <row r="8" spans="2:16" x14ac:dyDescent="0.2">
      <c r="B8" s="8" t="s">
        <v>13</v>
      </c>
      <c r="C8" s="8">
        <v>119</v>
      </c>
      <c r="E8" s="20" t="s">
        <v>183</v>
      </c>
      <c r="F8" s="71">
        <f>F7-1</f>
        <v>52</v>
      </c>
      <c r="G8" s="71">
        <f>G7-1</f>
        <v>41</v>
      </c>
      <c r="L8" s="20" t="s">
        <v>143</v>
      </c>
      <c r="M8" s="71">
        <f>M7/2</f>
        <v>4.9999999999999989E-2</v>
      </c>
    </row>
    <row r="9" spans="2:16" x14ac:dyDescent="0.2">
      <c r="B9" s="8" t="s">
        <v>14</v>
      </c>
      <c r="C9" s="8">
        <v>334</v>
      </c>
      <c r="E9" s="20" t="s">
        <v>176</v>
      </c>
      <c r="F9" s="73">
        <f>AVERAGEIFS($C$6:$C$100,$B$6:$B$100,F6)</f>
        <v>320.52830188679246</v>
      </c>
      <c r="G9" s="73">
        <f>AVERAGEIFS($C$6:$C$100,$B$6:$B$100,G6)</f>
        <v>250</v>
      </c>
      <c r="L9" s="20" t="s">
        <v>180</v>
      </c>
      <c r="M9" s="75">
        <f>(F11+G11)^2/(F11^2/F8+G11^2/G8)</f>
        <v>87.464124652300455</v>
      </c>
    </row>
    <row r="10" spans="2:16" ht="17" x14ac:dyDescent="0.2">
      <c r="B10" s="8" t="s">
        <v>14</v>
      </c>
      <c r="C10" s="8">
        <v>252</v>
      </c>
      <c r="E10" s="20" t="s">
        <v>177</v>
      </c>
      <c r="F10" s="74" cm="1">
        <f t="array" ref="F10">_xlfn.VAR.S(IF($B$6:$B$100=F6,$C$6:$C$100))</f>
        <v>7479.7924528301946</v>
      </c>
      <c r="G10" s="74" cm="1">
        <f t="array" ref="G10">_xlfn.VAR.S(IF($B$6:$B$100=G6,$C$6:$C$100))</f>
        <v>7722.8780487804879</v>
      </c>
      <c r="L10" s="20" t="s">
        <v>155</v>
      </c>
      <c r="M10" s="70">
        <f>_xlfn.T.INV(1-M8,M9)</f>
        <v>1.662557349412876</v>
      </c>
    </row>
    <row r="11" spans="2:16" ht="17" x14ac:dyDescent="0.2">
      <c r="B11" s="8" t="s">
        <v>14</v>
      </c>
      <c r="C11" s="8">
        <v>209</v>
      </c>
      <c r="E11" s="20" t="s">
        <v>182</v>
      </c>
      <c r="F11" s="70">
        <f>F10/F7</f>
        <v>141.12815948736215</v>
      </c>
      <c r="G11" s="70">
        <f>G10/G7</f>
        <v>183.8780487804878</v>
      </c>
      <c r="L11" s="20" t="s">
        <v>145</v>
      </c>
      <c r="M11" s="75">
        <f>SQRT(F11+G11)</f>
        <v>18.027928562867391</v>
      </c>
    </row>
    <row r="12" spans="2:16" x14ac:dyDescent="0.2">
      <c r="B12" s="8" t="s">
        <v>13</v>
      </c>
      <c r="C12" s="8">
        <v>462</v>
      </c>
      <c r="L12" s="20" t="s">
        <v>149</v>
      </c>
      <c r="M12" s="75">
        <f>M11*M10</f>
        <v>29.972465126885488</v>
      </c>
    </row>
    <row r="13" spans="2:16" x14ac:dyDescent="0.2">
      <c r="B13" s="8" t="s">
        <v>13</v>
      </c>
      <c r="C13" s="8">
        <v>342</v>
      </c>
    </row>
    <row r="14" spans="2:16" x14ac:dyDescent="0.2">
      <c r="B14" s="8" t="s">
        <v>13</v>
      </c>
      <c r="C14" s="8">
        <v>347</v>
      </c>
    </row>
    <row r="15" spans="2:16" x14ac:dyDescent="0.2">
      <c r="B15" s="8" t="s">
        <v>13</v>
      </c>
      <c r="C15" s="8">
        <v>313</v>
      </c>
    </row>
    <row r="16" spans="2:16" x14ac:dyDescent="0.2">
      <c r="B16" s="8" t="s">
        <v>14</v>
      </c>
      <c r="C16" s="8">
        <v>232</v>
      </c>
    </row>
    <row r="17" spans="2:3" x14ac:dyDescent="0.2">
      <c r="B17" s="8" t="s">
        <v>13</v>
      </c>
      <c r="C17" s="8">
        <v>163</v>
      </c>
    </row>
    <row r="18" spans="2:3" x14ac:dyDescent="0.2">
      <c r="B18" s="8" t="s">
        <v>14</v>
      </c>
      <c r="C18" s="8">
        <v>119</v>
      </c>
    </row>
    <row r="19" spans="2:3" x14ac:dyDescent="0.2">
      <c r="B19" s="8" t="s">
        <v>13</v>
      </c>
      <c r="C19" s="8">
        <v>304</v>
      </c>
    </row>
    <row r="20" spans="2:3" x14ac:dyDescent="0.2">
      <c r="B20" s="8" t="s">
        <v>13</v>
      </c>
      <c r="C20" s="8">
        <v>211</v>
      </c>
    </row>
    <row r="21" spans="2:3" x14ac:dyDescent="0.2">
      <c r="B21" s="8" t="s">
        <v>13</v>
      </c>
      <c r="C21" s="8">
        <v>286</v>
      </c>
    </row>
    <row r="22" spans="2:3" x14ac:dyDescent="0.2">
      <c r="B22" s="8" t="s">
        <v>14</v>
      </c>
      <c r="C22" s="8">
        <v>122</v>
      </c>
    </row>
    <row r="23" spans="2:3" x14ac:dyDescent="0.2">
      <c r="B23" s="8" t="s">
        <v>13</v>
      </c>
      <c r="C23" s="8">
        <v>443</v>
      </c>
    </row>
    <row r="24" spans="2:3" x14ac:dyDescent="0.2">
      <c r="B24" s="8" t="s">
        <v>14</v>
      </c>
      <c r="C24" s="8">
        <v>366</v>
      </c>
    </row>
    <row r="25" spans="2:3" x14ac:dyDescent="0.2">
      <c r="B25" s="8" t="s">
        <v>14</v>
      </c>
      <c r="C25" s="8">
        <v>244</v>
      </c>
    </row>
    <row r="26" spans="2:3" x14ac:dyDescent="0.2">
      <c r="B26" s="8" t="s">
        <v>14</v>
      </c>
      <c r="C26" s="8">
        <v>241</v>
      </c>
    </row>
    <row r="27" spans="2:3" x14ac:dyDescent="0.2">
      <c r="B27" s="8" t="s">
        <v>13</v>
      </c>
      <c r="C27" s="8">
        <v>237</v>
      </c>
    </row>
    <row r="28" spans="2:3" x14ac:dyDescent="0.2">
      <c r="B28" s="8" t="s">
        <v>14</v>
      </c>
      <c r="C28" s="8">
        <v>122</v>
      </c>
    </row>
    <row r="29" spans="2:3" x14ac:dyDescent="0.2">
      <c r="B29" s="8" t="s">
        <v>14</v>
      </c>
      <c r="C29" s="8">
        <v>129</v>
      </c>
    </row>
    <row r="30" spans="2:3" x14ac:dyDescent="0.2">
      <c r="B30" s="8" t="s">
        <v>13</v>
      </c>
      <c r="C30" s="8">
        <v>236</v>
      </c>
    </row>
    <row r="31" spans="2:3" x14ac:dyDescent="0.2">
      <c r="B31" s="8" t="s">
        <v>13</v>
      </c>
      <c r="C31" s="8">
        <v>251</v>
      </c>
    </row>
    <row r="32" spans="2:3" x14ac:dyDescent="0.2">
      <c r="B32" s="8" t="s">
        <v>13</v>
      </c>
      <c r="C32" s="8">
        <v>283</v>
      </c>
    </row>
    <row r="33" spans="2:3" x14ac:dyDescent="0.2">
      <c r="B33" s="8" t="s">
        <v>14</v>
      </c>
      <c r="C33" s="8">
        <v>225</v>
      </c>
    </row>
    <row r="34" spans="2:3" x14ac:dyDescent="0.2">
      <c r="B34" s="8" t="s">
        <v>14</v>
      </c>
      <c r="C34" s="8">
        <v>102</v>
      </c>
    </row>
    <row r="35" spans="2:3" x14ac:dyDescent="0.2">
      <c r="B35" s="8" t="s">
        <v>13</v>
      </c>
      <c r="C35" s="8">
        <v>180</v>
      </c>
    </row>
    <row r="36" spans="2:3" x14ac:dyDescent="0.2">
      <c r="B36" s="8" t="s">
        <v>14</v>
      </c>
      <c r="C36" s="8">
        <v>247</v>
      </c>
    </row>
    <row r="37" spans="2:3" x14ac:dyDescent="0.2">
      <c r="B37" s="8" t="s">
        <v>14</v>
      </c>
      <c r="C37" s="8">
        <v>343</v>
      </c>
    </row>
    <row r="38" spans="2:3" x14ac:dyDescent="0.2">
      <c r="B38" s="8" t="s">
        <v>14</v>
      </c>
      <c r="C38" s="8">
        <v>283</v>
      </c>
    </row>
    <row r="39" spans="2:3" x14ac:dyDescent="0.2">
      <c r="B39" s="8" t="s">
        <v>13</v>
      </c>
      <c r="C39" s="8">
        <v>253</v>
      </c>
    </row>
    <row r="40" spans="2:3" x14ac:dyDescent="0.2">
      <c r="B40" s="8" t="s">
        <v>14</v>
      </c>
      <c r="C40" s="8">
        <v>263</v>
      </c>
    </row>
    <row r="41" spans="2:3" x14ac:dyDescent="0.2">
      <c r="B41" s="8" t="s">
        <v>13</v>
      </c>
      <c r="C41" s="8">
        <v>291</v>
      </c>
    </row>
    <row r="42" spans="2:3" x14ac:dyDescent="0.2">
      <c r="B42" s="8" t="s">
        <v>13</v>
      </c>
      <c r="C42" s="8">
        <v>368</v>
      </c>
    </row>
    <row r="43" spans="2:3" x14ac:dyDescent="0.2">
      <c r="B43" s="8" t="s">
        <v>14</v>
      </c>
      <c r="C43" s="8">
        <v>206</v>
      </c>
    </row>
    <row r="44" spans="2:3" x14ac:dyDescent="0.2">
      <c r="B44" s="8" t="s">
        <v>14</v>
      </c>
      <c r="C44" s="8">
        <v>231</v>
      </c>
    </row>
    <row r="45" spans="2:3" x14ac:dyDescent="0.2">
      <c r="B45" s="8" t="s">
        <v>14</v>
      </c>
      <c r="C45" s="8">
        <v>389</v>
      </c>
    </row>
    <row r="46" spans="2:3" x14ac:dyDescent="0.2">
      <c r="B46" s="8" t="s">
        <v>13</v>
      </c>
      <c r="C46" s="8">
        <v>396</v>
      </c>
    </row>
    <row r="47" spans="2:3" x14ac:dyDescent="0.2">
      <c r="B47" s="8" t="s">
        <v>13</v>
      </c>
      <c r="C47" s="8">
        <v>339</v>
      </c>
    </row>
    <row r="48" spans="2:3" x14ac:dyDescent="0.2">
      <c r="B48" s="8" t="s">
        <v>13</v>
      </c>
      <c r="C48" s="8">
        <v>286</v>
      </c>
    </row>
    <row r="49" spans="2:3" x14ac:dyDescent="0.2">
      <c r="B49" s="8" t="s">
        <v>14</v>
      </c>
      <c r="C49" s="8">
        <v>146</v>
      </c>
    </row>
    <row r="50" spans="2:3" x14ac:dyDescent="0.2">
      <c r="B50" s="8" t="s">
        <v>13</v>
      </c>
      <c r="C50" s="8">
        <v>315</v>
      </c>
    </row>
    <row r="51" spans="2:3" x14ac:dyDescent="0.2">
      <c r="B51" s="8" t="s">
        <v>14</v>
      </c>
      <c r="C51" s="8">
        <v>183</v>
      </c>
    </row>
    <row r="52" spans="2:3" x14ac:dyDescent="0.2">
      <c r="B52" s="8" t="s">
        <v>13</v>
      </c>
      <c r="C52" s="8">
        <v>481</v>
      </c>
    </row>
    <row r="53" spans="2:3" x14ac:dyDescent="0.2">
      <c r="B53" s="8" t="s">
        <v>14</v>
      </c>
      <c r="C53" s="8">
        <v>349</v>
      </c>
    </row>
    <row r="54" spans="2:3" x14ac:dyDescent="0.2">
      <c r="B54" s="8" t="s">
        <v>13</v>
      </c>
      <c r="C54" s="8">
        <v>225</v>
      </c>
    </row>
    <row r="55" spans="2:3" x14ac:dyDescent="0.2">
      <c r="B55" s="8" t="s">
        <v>13</v>
      </c>
      <c r="C55" s="8">
        <v>217</v>
      </c>
    </row>
    <row r="56" spans="2:3" x14ac:dyDescent="0.2">
      <c r="B56" s="8" t="s">
        <v>13</v>
      </c>
      <c r="C56" s="8">
        <v>353</v>
      </c>
    </row>
    <row r="57" spans="2:3" x14ac:dyDescent="0.2">
      <c r="B57" s="8" t="s">
        <v>14</v>
      </c>
      <c r="C57" s="8">
        <v>314</v>
      </c>
    </row>
    <row r="58" spans="2:3" x14ac:dyDescent="0.2">
      <c r="B58" s="8" t="s">
        <v>13</v>
      </c>
      <c r="C58" s="8">
        <v>247</v>
      </c>
    </row>
    <row r="59" spans="2:3" x14ac:dyDescent="0.2">
      <c r="B59" s="8" t="s">
        <v>13</v>
      </c>
      <c r="C59" s="8">
        <v>410</v>
      </c>
    </row>
    <row r="60" spans="2:3" x14ac:dyDescent="0.2">
      <c r="B60" s="8" t="s">
        <v>13</v>
      </c>
      <c r="C60" s="8">
        <v>395</v>
      </c>
    </row>
    <row r="61" spans="2:3" x14ac:dyDescent="0.2">
      <c r="B61" s="8" t="s">
        <v>13</v>
      </c>
      <c r="C61" s="8">
        <v>416</v>
      </c>
    </row>
    <row r="62" spans="2:3" x14ac:dyDescent="0.2">
      <c r="B62" s="8" t="s">
        <v>13</v>
      </c>
      <c r="C62" s="8">
        <v>342</v>
      </c>
    </row>
    <row r="63" spans="2:3" x14ac:dyDescent="0.2">
      <c r="B63" s="8" t="s">
        <v>13</v>
      </c>
      <c r="C63" s="8">
        <v>446</v>
      </c>
    </row>
    <row r="64" spans="2:3" x14ac:dyDescent="0.2">
      <c r="B64" s="8" t="s">
        <v>13</v>
      </c>
      <c r="C64" s="8">
        <v>477</v>
      </c>
    </row>
    <row r="65" spans="2:3" x14ac:dyDescent="0.2">
      <c r="B65" s="8" t="s">
        <v>13</v>
      </c>
      <c r="C65" s="8">
        <v>444</v>
      </c>
    </row>
    <row r="66" spans="2:3" x14ac:dyDescent="0.2">
      <c r="B66" s="8" t="s">
        <v>13</v>
      </c>
      <c r="C66" s="8">
        <v>351</v>
      </c>
    </row>
    <row r="67" spans="2:3" x14ac:dyDescent="0.2">
      <c r="B67" s="8" t="s">
        <v>14</v>
      </c>
      <c r="C67" s="8">
        <v>165</v>
      </c>
    </row>
    <row r="68" spans="2:3" x14ac:dyDescent="0.2">
      <c r="B68" s="8" t="s">
        <v>13</v>
      </c>
      <c r="C68" s="8">
        <v>317</v>
      </c>
    </row>
    <row r="69" spans="2:3" x14ac:dyDescent="0.2">
      <c r="B69" s="8" t="s">
        <v>13</v>
      </c>
      <c r="C69" s="8">
        <v>250</v>
      </c>
    </row>
    <row r="70" spans="2:3" x14ac:dyDescent="0.2">
      <c r="B70" s="8" t="s">
        <v>14</v>
      </c>
      <c r="C70" s="8">
        <v>217</v>
      </c>
    </row>
    <row r="71" spans="2:3" x14ac:dyDescent="0.2">
      <c r="B71" s="8" t="s">
        <v>14</v>
      </c>
      <c r="C71" s="8">
        <v>138</v>
      </c>
    </row>
    <row r="72" spans="2:3" x14ac:dyDescent="0.2">
      <c r="B72" s="8" t="s">
        <v>13</v>
      </c>
      <c r="C72" s="8">
        <v>302</v>
      </c>
    </row>
    <row r="73" spans="2:3" x14ac:dyDescent="0.2">
      <c r="B73" s="8" t="s">
        <v>14</v>
      </c>
      <c r="C73" s="8">
        <v>311</v>
      </c>
    </row>
    <row r="74" spans="2:3" x14ac:dyDescent="0.2">
      <c r="B74" s="8" t="s">
        <v>13</v>
      </c>
      <c r="C74" s="8">
        <v>373</v>
      </c>
    </row>
    <row r="75" spans="2:3" x14ac:dyDescent="0.2">
      <c r="B75" s="8" t="s">
        <v>14</v>
      </c>
      <c r="C75" s="8">
        <v>196</v>
      </c>
    </row>
    <row r="76" spans="2:3" x14ac:dyDescent="0.2">
      <c r="B76" s="8" t="s">
        <v>13</v>
      </c>
      <c r="C76" s="8">
        <v>306</v>
      </c>
    </row>
    <row r="77" spans="2:3" x14ac:dyDescent="0.2">
      <c r="B77" s="8" t="s">
        <v>14</v>
      </c>
      <c r="C77" s="8">
        <v>302</v>
      </c>
    </row>
    <row r="78" spans="2:3" x14ac:dyDescent="0.2">
      <c r="B78" s="8" t="s">
        <v>14</v>
      </c>
      <c r="C78" s="8">
        <v>278</v>
      </c>
    </row>
    <row r="79" spans="2:3" x14ac:dyDescent="0.2">
      <c r="B79" s="8" t="s">
        <v>14</v>
      </c>
      <c r="C79" s="8">
        <v>429</v>
      </c>
    </row>
    <row r="80" spans="2:3" x14ac:dyDescent="0.2">
      <c r="B80" s="8" t="s">
        <v>13</v>
      </c>
      <c r="C80" s="8">
        <v>338</v>
      </c>
    </row>
    <row r="81" spans="2:3" x14ac:dyDescent="0.2">
      <c r="B81" s="8" t="s">
        <v>14</v>
      </c>
      <c r="C81" s="8">
        <v>261</v>
      </c>
    </row>
    <row r="82" spans="2:3" x14ac:dyDescent="0.2">
      <c r="B82" s="8" t="s">
        <v>14</v>
      </c>
      <c r="C82" s="8">
        <v>256</v>
      </c>
    </row>
    <row r="83" spans="2:3" x14ac:dyDescent="0.2">
      <c r="B83" s="8" t="s">
        <v>13</v>
      </c>
      <c r="C83" s="8">
        <v>183</v>
      </c>
    </row>
    <row r="84" spans="2:3" x14ac:dyDescent="0.2">
      <c r="B84" s="8" t="s">
        <v>13</v>
      </c>
      <c r="C84" s="8">
        <v>274</v>
      </c>
    </row>
    <row r="85" spans="2:3" x14ac:dyDescent="0.2">
      <c r="B85" s="8" t="s">
        <v>14</v>
      </c>
      <c r="C85" s="8">
        <v>182</v>
      </c>
    </row>
    <row r="86" spans="2:3" x14ac:dyDescent="0.2">
      <c r="B86" s="8" t="s">
        <v>14</v>
      </c>
      <c r="C86" s="8">
        <v>183</v>
      </c>
    </row>
    <row r="87" spans="2:3" x14ac:dyDescent="0.2">
      <c r="B87" s="8" t="s">
        <v>13</v>
      </c>
      <c r="C87" s="8">
        <v>309</v>
      </c>
    </row>
    <row r="88" spans="2:3" x14ac:dyDescent="0.2">
      <c r="B88" s="8" t="s">
        <v>14</v>
      </c>
      <c r="C88" s="8">
        <v>178</v>
      </c>
    </row>
    <row r="89" spans="2:3" x14ac:dyDescent="0.2">
      <c r="B89" s="8" t="s">
        <v>13</v>
      </c>
      <c r="C89" s="8">
        <v>458</v>
      </c>
    </row>
    <row r="90" spans="2:3" x14ac:dyDescent="0.2">
      <c r="B90" s="8" t="s">
        <v>13</v>
      </c>
      <c r="C90" s="8">
        <v>234</v>
      </c>
    </row>
    <row r="91" spans="2:3" x14ac:dyDescent="0.2">
      <c r="B91" s="8" t="s">
        <v>13</v>
      </c>
      <c r="C91" s="8">
        <v>306</v>
      </c>
    </row>
    <row r="92" spans="2:3" x14ac:dyDescent="0.2">
      <c r="B92" s="8" t="s">
        <v>13</v>
      </c>
      <c r="C92" s="8">
        <v>400</v>
      </c>
    </row>
    <row r="93" spans="2:3" x14ac:dyDescent="0.2">
      <c r="B93" s="8" t="s">
        <v>14</v>
      </c>
      <c r="C93" s="8">
        <v>337</v>
      </c>
    </row>
    <row r="94" spans="2:3" x14ac:dyDescent="0.2">
      <c r="B94" s="8" t="s">
        <v>13</v>
      </c>
      <c r="C94" s="8">
        <v>325</v>
      </c>
    </row>
    <row r="95" spans="2:3" x14ac:dyDescent="0.2">
      <c r="B95" s="8" t="s">
        <v>14</v>
      </c>
      <c r="C95" s="8">
        <v>329</v>
      </c>
    </row>
    <row r="96" spans="2:3" x14ac:dyDescent="0.2">
      <c r="B96" s="8" t="s">
        <v>13</v>
      </c>
      <c r="C96" s="8">
        <v>369</v>
      </c>
    </row>
    <row r="97" spans="2:3" x14ac:dyDescent="0.2">
      <c r="B97" s="8" t="s">
        <v>13</v>
      </c>
      <c r="C97" s="8">
        <v>457</v>
      </c>
    </row>
    <row r="98" spans="2:3" x14ac:dyDescent="0.2">
      <c r="B98" s="8" t="s">
        <v>14</v>
      </c>
      <c r="C98" s="8">
        <v>421</v>
      </c>
    </row>
    <row r="99" spans="2:3" x14ac:dyDescent="0.2">
      <c r="B99" s="8" t="s">
        <v>13</v>
      </c>
      <c r="C99" s="8">
        <v>282</v>
      </c>
    </row>
    <row r="100" spans="2:3" x14ac:dyDescent="0.2">
      <c r="B100" s="8" t="s">
        <v>14</v>
      </c>
      <c r="C100" s="8">
        <v>256</v>
      </c>
    </row>
  </sheetData>
  <mergeCells count="4">
    <mergeCell ref="E5:G5"/>
    <mergeCell ref="I5:J5"/>
    <mergeCell ref="L5:M5"/>
    <mergeCell ref="O5:P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81C1-40FC-4F8D-AAEC-83F20D58236E}">
  <sheetPr codeName="Sheet37">
    <tabColor theme="9" tint="0.79998168889431442"/>
  </sheetPr>
  <dimension ref="B1:P100"/>
  <sheetViews>
    <sheetView showGridLines="0" workbookViewId="0">
      <selection activeCell="M11" sqref="M11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5.5" bestFit="1" customWidth="1"/>
    <col min="6" max="7" width="9.1640625" customWidth="1"/>
    <col min="9" max="10" width="11.5" customWidth="1"/>
    <col min="12" max="12" width="19.83203125" bestFit="1" customWidth="1"/>
    <col min="13" max="13" width="12" bestFit="1" customWidth="1"/>
    <col min="15" max="15" width="14.33203125" customWidth="1"/>
    <col min="16" max="16" width="11.5" customWidth="1"/>
  </cols>
  <sheetData>
    <row r="1" spans="2:16" ht="25.5" customHeight="1" x14ac:dyDescent="0.25">
      <c r="B1" s="18" t="s">
        <v>186</v>
      </c>
    </row>
    <row r="2" spans="2:16" ht="15" customHeight="1" x14ac:dyDescent="0.2">
      <c r="B2" s="30" t="s">
        <v>185</v>
      </c>
    </row>
    <row r="3" spans="2:16" ht="18" customHeight="1" x14ac:dyDescent="0.2"/>
    <row r="4" spans="2:16" x14ac:dyDescent="0.2">
      <c r="E4" s="3" t="s">
        <v>54</v>
      </c>
      <c r="I4" s="3" t="s">
        <v>54</v>
      </c>
      <c r="L4" s="3" t="s">
        <v>54</v>
      </c>
      <c r="O4" s="3" t="s">
        <v>54</v>
      </c>
    </row>
    <row r="5" spans="2:16" x14ac:dyDescent="0.2">
      <c r="B5" s="40" t="s">
        <v>21</v>
      </c>
      <c r="C5" s="41" t="s">
        <v>12</v>
      </c>
      <c r="E5" s="116" t="s">
        <v>138</v>
      </c>
      <c r="F5" s="116"/>
      <c r="G5" s="116"/>
      <c r="I5" s="116" t="s">
        <v>178</v>
      </c>
      <c r="J5" s="116"/>
      <c r="L5" s="116" t="s">
        <v>140</v>
      </c>
      <c r="M5" s="116"/>
      <c r="O5" s="116" t="s">
        <v>146</v>
      </c>
      <c r="P5" s="116"/>
    </row>
    <row r="6" spans="2:16" ht="17" x14ac:dyDescent="0.25">
      <c r="B6" s="8" t="s">
        <v>25</v>
      </c>
      <c r="C6" s="8" t="s">
        <v>13</v>
      </c>
      <c r="F6" s="17" t="s">
        <v>27</v>
      </c>
      <c r="G6" s="17" t="s">
        <v>25</v>
      </c>
      <c r="I6" s="20" t="s">
        <v>306</v>
      </c>
      <c r="J6" s="70">
        <f>F8-G8</f>
        <v>0.23913043478260865</v>
      </c>
      <c r="L6" s="20" t="s">
        <v>141</v>
      </c>
      <c r="M6" s="77">
        <v>0.99</v>
      </c>
      <c r="O6" s="20" t="s">
        <v>147</v>
      </c>
      <c r="P6" s="88">
        <f>J6-M11</f>
        <v>-4.1334137258359216E-2</v>
      </c>
    </row>
    <row r="7" spans="2:16" x14ac:dyDescent="0.2">
      <c r="B7" s="8" t="s">
        <v>25</v>
      </c>
      <c r="C7" s="8" t="s">
        <v>14</v>
      </c>
      <c r="E7" s="20" t="s">
        <v>175</v>
      </c>
      <c r="F7" s="71">
        <f>COUNTIFS($B$6:$B$100,F6)</f>
        <v>23</v>
      </c>
      <c r="G7" s="71">
        <f>COUNTIFS($B$6:$B$100,G6)</f>
        <v>72</v>
      </c>
      <c r="L7" s="20" t="s">
        <v>142</v>
      </c>
      <c r="M7" s="82">
        <f>1-M6</f>
        <v>1.0000000000000009E-2</v>
      </c>
      <c r="O7" s="20" t="s">
        <v>148</v>
      </c>
      <c r="P7" s="88">
        <f>J6+M11</f>
        <v>0.51959500682357651</v>
      </c>
    </row>
    <row r="8" spans="2:16" x14ac:dyDescent="0.2">
      <c r="B8" s="8" t="s">
        <v>27</v>
      </c>
      <c r="C8" s="8" t="s">
        <v>13</v>
      </c>
      <c r="E8" s="20" t="s">
        <v>187</v>
      </c>
      <c r="F8" s="70">
        <f>COUNTIFS($B$6:$B$100,F6,$C$6:$C$100,"Placed")/F7</f>
        <v>0.73913043478260865</v>
      </c>
      <c r="G8" s="70">
        <f>COUNTIFS($B$6:$B$100,G6,$C$6:$C$100,"Placed")/G7</f>
        <v>0.5</v>
      </c>
      <c r="L8" s="20" t="s">
        <v>143</v>
      </c>
      <c r="M8" s="71">
        <f>M7/2</f>
        <v>5.0000000000000044E-3</v>
      </c>
    </row>
    <row r="9" spans="2:16" x14ac:dyDescent="0.2">
      <c r="B9" s="8" t="s">
        <v>25</v>
      </c>
      <c r="C9" s="8" t="s">
        <v>14</v>
      </c>
      <c r="E9" s="20" t="s">
        <v>158</v>
      </c>
      <c r="F9" s="70">
        <f>1-F8</f>
        <v>0.26086956521739135</v>
      </c>
      <c r="G9" s="70">
        <f>1-G8</f>
        <v>0.5</v>
      </c>
      <c r="L9" s="20" t="s">
        <v>151</v>
      </c>
      <c r="M9" s="70">
        <f>_xlfn.NORM.S.INV(1-M8)</f>
        <v>2.5758293035488999</v>
      </c>
    </row>
    <row r="10" spans="2:16" x14ac:dyDescent="0.2">
      <c r="B10" s="8" t="s">
        <v>25</v>
      </c>
      <c r="C10" s="8" t="s">
        <v>14</v>
      </c>
      <c r="E10" s="20"/>
      <c r="F10" s="44"/>
      <c r="G10" s="44"/>
      <c r="L10" s="20" t="s">
        <v>145</v>
      </c>
      <c r="M10" s="70">
        <f>SQRT(SUM(F8*F9/F7,G8*G9/G7))</f>
        <v>0.10888321351673119</v>
      </c>
    </row>
    <row r="11" spans="2:16" x14ac:dyDescent="0.2">
      <c r="B11" s="8" t="s">
        <v>25</v>
      </c>
      <c r="C11" s="8" t="s">
        <v>14</v>
      </c>
      <c r="E11" s="116" t="s">
        <v>162</v>
      </c>
      <c r="F11" s="116"/>
      <c r="G11" s="116"/>
      <c r="L11" s="20" t="s">
        <v>149</v>
      </c>
      <c r="M11" s="70">
        <f>M10*M9</f>
        <v>0.28046457204096786</v>
      </c>
    </row>
    <row r="12" spans="2:16" x14ac:dyDescent="0.2">
      <c r="B12" s="8" t="s">
        <v>25</v>
      </c>
      <c r="C12" s="8" t="s">
        <v>13</v>
      </c>
      <c r="E12" s="20" t="s">
        <v>307</v>
      </c>
      <c r="F12" s="71">
        <f>F8*F7</f>
        <v>17</v>
      </c>
      <c r="G12" s="71">
        <f>G8*G7</f>
        <v>36</v>
      </c>
    </row>
    <row r="13" spans="2:16" x14ac:dyDescent="0.2">
      <c r="B13" s="8" t="s">
        <v>25</v>
      </c>
      <c r="C13" s="8" t="s">
        <v>13</v>
      </c>
      <c r="E13" s="20" t="s">
        <v>164</v>
      </c>
      <c r="F13" s="71">
        <f>F9*F7</f>
        <v>6.0000000000000009</v>
      </c>
      <c r="G13" s="71">
        <f>G9*G7</f>
        <v>36</v>
      </c>
    </row>
    <row r="14" spans="2:16" x14ac:dyDescent="0.2">
      <c r="B14" s="8" t="s">
        <v>25</v>
      </c>
      <c r="C14" s="8" t="s">
        <v>13</v>
      </c>
    </row>
    <row r="15" spans="2:16" x14ac:dyDescent="0.2">
      <c r="B15" s="8" t="s">
        <v>25</v>
      </c>
      <c r="C15" s="8" t="s">
        <v>13</v>
      </c>
    </row>
    <row r="16" spans="2:16" x14ac:dyDescent="0.2">
      <c r="B16" s="8" t="s">
        <v>25</v>
      </c>
      <c r="C16" s="8" t="s">
        <v>14</v>
      </c>
    </row>
    <row r="17" spans="2:3" x14ac:dyDescent="0.2">
      <c r="B17" s="8" t="s">
        <v>25</v>
      </c>
      <c r="C17" s="8" t="s">
        <v>13</v>
      </c>
    </row>
    <row r="18" spans="2:3" x14ac:dyDescent="0.2">
      <c r="B18" s="8" t="s">
        <v>25</v>
      </c>
      <c r="C18" s="8" t="s">
        <v>14</v>
      </c>
    </row>
    <row r="19" spans="2:3" x14ac:dyDescent="0.2">
      <c r="B19" s="8" t="s">
        <v>25</v>
      </c>
      <c r="C19" s="8" t="s">
        <v>13</v>
      </c>
    </row>
    <row r="20" spans="2:3" x14ac:dyDescent="0.2">
      <c r="B20" s="8" t="s">
        <v>25</v>
      </c>
      <c r="C20" s="8" t="s">
        <v>13</v>
      </c>
    </row>
    <row r="21" spans="2:3" x14ac:dyDescent="0.2">
      <c r="B21" s="8" t="s">
        <v>25</v>
      </c>
      <c r="C21" s="8" t="s">
        <v>13</v>
      </c>
    </row>
    <row r="22" spans="2:3" x14ac:dyDescent="0.2">
      <c r="B22" s="8" t="s">
        <v>27</v>
      </c>
      <c r="C22" s="8" t="s">
        <v>14</v>
      </c>
    </row>
    <row r="23" spans="2:3" x14ac:dyDescent="0.2">
      <c r="B23" s="8" t="s">
        <v>25</v>
      </c>
      <c r="C23" s="8" t="s">
        <v>13</v>
      </c>
    </row>
    <row r="24" spans="2:3" x14ac:dyDescent="0.2">
      <c r="B24" s="8" t="s">
        <v>25</v>
      </c>
      <c r="C24" s="8" t="s">
        <v>14</v>
      </c>
    </row>
    <row r="25" spans="2:3" x14ac:dyDescent="0.2">
      <c r="B25" s="8" t="s">
        <v>25</v>
      </c>
      <c r="C25" s="8" t="s">
        <v>14</v>
      </c>
    </row>
    <row r="26" spans="2:3" x14ac:dyDescent="0.2">
      <c r="B26" s="8" t="s">
        <v>25</v>
      </c>
      <c r="C26" s="8" t="s">
        <v>14</v>
      </c>
    </row>
    <row r="27" spans="2:3" x14ac:dyDescent="0.2">
      <c r="B27" s="8" t="s">
        <v>25</v>
      </c>
      <c r="C27" s="8" t="s">
        <v>13</v>
      </c>
    </row>
    <row r="28" spans="2:3" x14ac:dyDescent="0.2">
      <c r="B28" s="8" t="s">
        <v>25</v>
      </c>
      <c r="C28" s="8" t="s">
        <v>14</v>
      </c>
    </row>
    <row r="29" spans="2:3" x14ac:dyDescent="0.2">
      <c r="B29" s="8" t="s">
        <v>25</v>
      </c>
      <c r="C29" s="8" t="s">
        <v>14</v>
      </c>
    </row>
    <row r="30" spans="2:3" x14ac:dyDescent="0.2">
      <c r="B30" s="8" t="s">
        <v>25</v>
      </c>
      <c r="C30" s="8" t="s">
        <v>13</v>
      </c>
    </row>
    <row r="31" spans="2:3" x14ac:dyDescent="0.2">
      <c r="B31" s="8" t="s">
        <v>25</v>
      </c>
      <c r="C31" s="8" t="s">
        <v>13</v>
      </c>
    </row>
    <row r="32" spans="2:3" x14ac:dyDescent="0.2">
      <c r="B32" s="8" t="s">
        <v>25</v>
      </c>
      <c r="C32" s="8" t="s">
        <v>13</v>
      </c>
    </row>
    <row r="33" spans="2:3" x14ac:dyDescent="0.2">
      <c r="B33" s="8" t="s">
        <v>25</v>
      </c>
      <c r="C33" s="8" t="s">
        <v>14</v>
      </c>
    </row>
    <row r="34" spans="2:3" x14ac:dyDescent="0.2">
      <c r="B34" s="8" t="s">
        <v>25</v>
      </c>
      <c r="C34" s="8" t="s">
        <v>14</v>
      </c>
    </row>
    <row r="35" spans="2:3" x14ac:dyDescent="0.2">
      <c r="B35" s="8" t="s">
        <v>25</v>
      </c>
      <c r="C35" s="8" t="s">
        <v>13</v>
      </c>
    </row>
    <row r="36" spans="2:3" x14ac:dyDescent="0.2">
      <c r="B36" s="8" t="s">
        <v>25</v>
      </c>
      <c r="C36" s="8" t="s">
        <v>14</v>
      </c>
    </row>
    <row r="37" spans="2:3" x14ac:dyDescent="0.2">
      <c r="B37" s="8" t="s">
        <v>25</v>
      </c>
      <c r="C37" s="8" t="s">
        <v>14</v>
      </c>
    </row>
    <row r="38" spans="2:3" x14ac:dyDescent="0.2">
      <c r="B38" s="8" t="s">
        <v>25</v>
      </c>
      <c r="C38" s="8" t="s">
        <v>14</v>
      </c>
    </row>
    <row r="39" spans="2:3" x14ac:dyDescent="0.2">
      <c r="B39" s="8" t="s">
        <v>27</v>
      </c>
      <c r="C39" s="8" t="s">
        <v>13</v>
      </c>
    </row>
    <row r="40" spans="2:3" x14ac:dyDescent="0.2">
      <c r="B40" s="8" t="s">
        <v>25</v>
      </c>
      <c r="C40" s="8" t="s">
        <v>14</v>
      </c>
    </row>
    <row r="41" spans="2:3" x14ac:dyDescent="0.2">
      <c r="B41" s="8" t="s">
        <v>25</v>
      </c>
      <c r="C41" s="8" t="s">
        <v>13</v>
      </c>
    </row>
    <row r="42" spans="2:3" x14ac:dyDescent="0.2">
      <c r="B42" s="8" t="s">
        <v>27</v>
      </c>
      <c r="C42" s="8" t="s">
        <v>13</v>
      </c>
    </row>
    <row r="43" spans="2:3" x14ac:dyDescent="0.2">
      <c r="B43" s="8" t="s">
        <v>25</v>
      </c>
      <c r="C43" s="8" t="s">
        <v>14</v>
      </c>
    </row>
    <row r="44" spans="2:3" x14ac:dyDescent="0.2">
      <c r="B44" s="8" t="s">
        <v>25</v>
      </c>
      <c r="C44" s="8" t="s">
        <v>14</v>
      </c>
    </row>
    <row r="45" spans="2:3" x14ac:dyDescent="0.2">
      <c r="B45" s="8" t="s">
        <v>27</v>
      </c>
      <c r="C45" s="8" t="s">
        <v>14</v>
      </c>
    </row>
    <row r="46" spans="2:3" x14ac:dyDescent="0.2">
      <c r="B46" s="8" t="s">
        <v>25</v>
      </c>
      <c r="C46" s="8" t="s">
        <v>13</v>
      </c>
    </row>
    <row r="47" spans="2:3" x14ac:dyDescent="0.2">
      <c r="B47" s="8" t="s">
        <v>27</v>
      </c>
      <c r="C47" s="8" t="s">
        <v>13</v>
      </c>
    </row>
    <row r="48" spans="2:3" x14ac:dyDescent="0.2">
      <c r="B48" s="8" t="s">
        <v>27</v>
      </c>
      <c r="C48" s="8" t="s">
        <v>13</v>
      </c>
    </row>
    <row r="49" spans="2:3" x14ac:dyDescent="0.2">
      <c r="B49" s="8" t="s">
        <v>25</v>
      </c>
      <c r="C49" s="8" t="s">
        <v>14</v>
      </c>
    </row>
    <row r="50" spans="2:3" x14ac:dyDescent="0.2">
      <c r="B50" s="8" t="s">
        <v>25</v>
      </c>
      <c r="C50" s="8" t="s">
        <v>13</v>
      </c>
    </row>
    <row r="51" spans="2:3" x14ac:dyDescent="0.2">
      <c r="B51" s="8" t="s">
        <v>27</v>
      </c>
      <c r="C51" s="8" t="s">
        <v>14</v>
      </c>
    </row>
    <row r="52" spans="2:3" x14ac:dyDescent="0.2">
      <c r="B52" s="8" t="s">
        <v>25</v>
      </c>
      <c r="C52" s="8" t="s">
        <v>13</v>
      </c>
    </row>
    <row r="53" spans="2:3" x14ac:dyDescent="0.2">
      <c r="B53" s="8" t="s">
        <v>25</v>
      </c>
      <c r="C53" s="8" t="s">
        <v>14</v>
      </c>
    </row>
    <row r="54" spans="2:3" x14ac:dyDescent="0.2">
      <c r="B54" s="8" t="s">
        <v>25</v>
      </c>
      <c r="C54" s="8" t="s">
        <v>13</v>
      </c>
    </row>
    <row r="55" spans="2:3" x14ac:dyDescent="0.2">
      <c r="B55" s="8" t="s">
        <v>25</v>
      </c>
      <c r="C55" s="8" t="s">
        <v>13</v>
      </c>
    </row>
    <row r="56" spans="2:3" x14ac:dyDescent="0.2">
      <c r="B56" s="8" t="s">
        <v>27</v>
      </c>
      <c r="C56" s="8" t="s">
        <v>13</v>
      </c>
    </row>
    <row r="57" spans="2:3" x14ac:dyDescent="0.2">
      <c r="B57" s="8" t="s">
        <v>25</v>
      </c>
      <c r="C57" s="8" t="s">
        <v>14</v>
      </c>
    </row>
    <row r="58" spans="2:3" x14ac:dyDescent="0.2">
      <c r="B58" s="8" t="s">
        <v>27</v>
      </c>
      <c r="C58" s="8" t="s">
        <v>13</v>
      </c>
    </row>
    <row r="59" spans="2:3" x14ac:dyDescent="0.2">
      <c r="B59" s="8" t="s">
        <v>27</v>
      </c>
      <c r="C59" s="8" t="s">
        <v>13</v>
      </c>
    </row>
    <row r="60" spans="2:3" x14ac:dyDescent="0.2">
      <c r="B60" s="8" t="s">
        <v>27</v>
      </c>
      <c r="C60" s="8" t="s">
        <v>13</v>
      </c>
    </row>
    <row r="61" spans="2:3" x14ac:dyDescent="0.2">
      <c r="B61" s="8" t="s">
        <v>25</v>
      </c>
      <c r="C61" s="8" t="s">
        <v>13</v>
      </c>
    </row>
    <row r="62" spans="2:3" x14ac:dyDescent="0.2">
      <c r="B62" s="8" t="s">
        <v>27</v>
      </c>
      <c r="C62" s="8" t="s">
        <v>13</v>
      </c>
    </row>
    <row r="63" spans="2:3" x14ac:dyDescent="0.2">
      <c r="B63" s="8" t="s">
        <v>27</v>
      </c>
      <c r="C63" s="8" t="s">
        <v>13</v>
      </c>
    </row>
    <row r="64" spans="2:3" x14ac:dyDescent="0.2">
      <c r="B64" s="8" t="s">
        <v>27</v>
      </c>
      <c r="C64" s="8" t="s">
        <v>13</v>
      </c>
    </row>
    <row r="65" spans="2:3" x14ac:dyDescent="0.2">
      <c r="B65" s="8" t="s">
        <v>25</v>
      </c>
      <c r="C65" s="8" t="s">
        <v>13</v>
      </c>
    </row>
    <row r="66" spans="2:3" x14ac:dyDescent="0.2">
      <c r="B66" s="8" t="s">
        <v>25</v>
      </c>
      <c r="C66" s="8" t="s">
        <v>13</v>
      </c>
    </row>
    <row r="67" spans="2:3" x14ac:dyDescent="0.2">
      <c r="B67" s="8" t="s">
        <v>25</v>
      </c>
      <c r="C67" s="8" t="s">
        <v>14</v>
      </c>
    </row>
    <row r="68" spans="2:3" x14ac:dyDescent="0.2">
      <c r="B68" s="8" t="s">
        <v>25</v>
      </c>
      <c r="C68" s="8" t="s">
        <v>13</v>
      </c>
    </row>
    <row r="69" spans="2:3" x14ac:dyDescent="0.2">
      <c r="B69" s="8" t="s">
        <v>25</v>
      </c>
      <c r="C69" s="8" t="s">
        <v>13</v>
      </c>
    </row>
    <row r="70" spans="2:3" x14ac:dyDescent="0.2">
      <c r="B70" s="8" t="s">
        <v>27</v>
      </c>
      <c r="C70" s="8" t="s">
        <v>14</v>
      </c>
    </row>
    <row r="71" spans="2:3" x14ac:dyDescent="0.2">
      <c r="B71" s="8" t="s">
        <v>27</v>
      </c>
      <c r="C71" s="8" t="s">
        <v>14</v>
      </c>
    </row>
    <row r="72" spans="2:3" x14ac:dyDescent="0.2">
      <c r="B72" s="8" t="s">
        <v>27</v>
      </c>
      <c r="C72" s="8" t="s">
        <v>13</v>
      </c>
    </row>
    <row r="73" spans="2:3" x14ac:dyDescent="0.2">
      <c r="B73" s="8" t="s">
        <v>25</v>
      </c>
      <c r="C73" s="8" t="s">
        <v>14</v>
      </c>
    </row>
    <row r="74" spans="2:3" x14ac:dyDescent="0.2">
      <c r="B74" s="8" t="s">
        <v>27</v>
      </c>
      <c r="C74" s="8" t="s">
        <v>13</v>
      </c>
    </row>
    <row r="75" spans="2:3" x14ac:dyDescent="0.2">
      <c r="B75" s="8" t="s">
        <v>25</v>
      </c>
      <c r="C75" s="8" t="s">
        <v>14</v>
      </c>
    </row>
    <row r="76" spans="2:3" x14ac:dyDescent="0.2">
      <c r="B76" s="8" t="s">
        <v>27</v>
      </c>
      <c r="C76" s="8" t="s">
        <v>13</v>
      </c>
    </row>
    <row r="77" spans="2:3" x14ac:dyDescent="0.2">
      <c r="B77" s="8" t="s">
        <v>27</v>
      </c>
      <c r="C77" s="8" t="s">
        <v>14</v>
      </c>
    </row>
    <row r="78" spans="2:3" x14ac:dyDescent="0.2">
      <c r="B78" s="8" t="s">
        <v>25</v>
      </c>
      <c r="C78" s="8" t="s">
        <v>14</v>
      </c>
    </row>
    <row r="79" spans="2:3" x14ac:dyDescent="0.2">
      <c r="B79" s="8" t="s">
        <v>25</v>
      </c>
      <c r="C79" s="8" t="s">
        <v>14</v>
      </c>
    </row>
    <row r="80" spans="2:3" x14ac:dyDescent="0.2">
      <c r="B80" s="8" t="s">
        <v>25</v>
      </c>
      <c r="C80" s="8" t="s">
        <v>13</v>
      </c>
    </row>
    <row r="81" spans="2:3" x14ac:dyDescent="0.2">
      <c r="B81" s="8" t="s">
        <v>25</v>
      </c>
      <c r="C81" s="8" t="s">
        <v>14</v>
      </c>
    </row>
    <row r="82" spans="2:3" x14ac:dyDescent="0.2">
      <c r="B82" s="8" t="s">
        <v>25</v>
      </c>
      <c r="C82" s="8" t="s">
        <v>14</v>
      </c>
    </row>
    <row r="83" spans="2:3" x14ac:dyDescent="0.2">
      <c r="B83" s="8" t="s">
        <v>25</v>
      </c>
      <c r="C83" s="8" t="s">
        <v>13</v>
      </c>
    </row>
    <row r="84" spans="2:3" x14ac:dyDescent="0.2">
      <c r="B84" s="8" t="s">
        <v>25</v>
      </c>
      <c r="C84" s="8" t="s">
        <v>13</v>
      </c>
    </row>
    <row r="85" spans="2:3" x14ac:dyDescent="0.2">
      <c r="B85" s="8" t="s">
        <v>25</v>
      </c>
      <c r="C85" s="8" t="s">
        <v>14</v>
      </c>
    </row>
    <row r="86" spans="2:3" x14ac:dyDescent="0.2">
      <c r="B86" s="8" t="s">
        <v>25</v>
      </c>
      <c r="C86" s="8" t="s">
        <v>14</v>
      </c>
    </row>
    <row r="87" spans="2:3" x14ac:dyDescent="0.2">
      <c r="B87" s="8" t="s">
        <v>25</v>
      </c>
      <c r="C87" s="8" t="s">
        <v>13</v>
      </c>
    </row>
    <row r="88" spans="2:3" x14ac:dyDescent="0.2">
      <c r="B88" s="8" t="s">
        <v>25</v>
      </c>
      <c r="C88" s="8" t="s">
        <v>14</v>
      </c>
    </row>
    <row r="89" spans="2:3" x14ac:dyDescent="0.2">
      <c r="B89" s="8" t="s">
        <v>25</v>
      </c>
      <c r="C89" s="8" t="s">
        <v>13</v>
      </c>
    </row>
    <row r="90" spans="2:3" x14ac:dyDescent="0.2">
      <c r="B90" s="8" t="s">
        <v>27</v>
      </c>
      <c r="C90" s="8" t="s">
        <v>13</v>
      </c>
    </row>
    <row r="91" spans="2:3" x14ac:dyDescent="0.2">
      <c r="B91" s="8" t="s">
        <v>27</v>
      </c>
      <c r="C91" s="8" t="s">
        <v>13</v>
      </c>
    </row>
    <row r="92" spans="2:3" x14ac:dyDescent="0.2">
      <c r="B92" s="8" t="s">
        <v>25</v>
      </c>
      <c r="C92" s="8" t="s">
        <v>13</v>
      </c>
    </row>
    <row r="93" spans="2:3" x14ac:dyDescent="0.2">
      <c r="B93" s="8" t="s">
        <v>25</v>
      </c>
      <c r="C93" s="8" t="s">
        <v>14</v>
      </c>
    </row>
    <row r="94" spans="2:3" x14ac:dyDescent="0.2">
      <c r="B94" s="8" t="s">
        <v>25</v>
      </c>
      <c r="C94" s="8" t="s">
        <v>13</v>
      </c>
    </row>
    <row r="95" spans="2:3" x14ac:dyDescent="0.2">
      <c r="B95" s="8" t="s">
        <v>25</v>
      </c>
      <c r="C95" s="8" t="s">
        <v>14</v>
      </c>
    </row>
    <row r="96" spans="2:3" x14ac:dyDescent="0.2">
      <c r="B96" s="8" t="s">
        <v>25</v>
      </c>
      <c r="C96" s="8" t="s">
        <v>13</v>
      </c>
    </row>
    <row r="97" spans="2:3" x14ac:dyDescent="0.2">
      <c r="B97" s="8" t="s">
        <v>25</v>
      </c>
      <c r="C97" s="8" t="s">
        <v>13</v>
      </c>
    </row>
    <row r="98" spans="2:3" x14ac:dyDescent="0.2">
      <c r="B98" s="8" t="s">
        <v>25</v>
      </c>
      <c r="C98" s="8" t="s">
        <v>14</v>
      </c>
    </row>
    <row r="99" spans="2:3" x14ac:dyDescent="0.2">
      <c r="B99" s="8" t="s">
        <v>25</v>
      </c>
      <c r="C99" s="8" t="s">
        <v>13</v>
      </c>
    </row>
    <row r="100" spans="2:3" x14ac:dyDescent="0.2">
      <c r="B100" s="8" t="s">
        <v>25</v>
      </c>
      <c r="C100" s="8" t="s">
        <v>14</v>
      </c>
    </row>
  </sheetData>
  <mergeCells count="5">
    <mergeCell ref="E5:G5"/>
    <mergeCell ref="I5:J5"/>
    <mergeCell ref="L5:M5"/>
    <mergeCell ref="O5:P5"/>
    <mergeCell ref="E11:G1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E86B-B6DE-4084-845C-C08C2DC65651}">
  <sheetPr codeName="Sheet38">
    <tabColor theme="7" tint="0.79998168889431442"/>
  </sheetPr>
  <dimension ref="B1:G100"/>
  <sheetViews>
    <sheetView showGridLines="0" workbookViewId="0">
      <selection activeCell="J9" sqref="J9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</cols>
  <sheetData>
    <row r="1" spans="2:7" ht="25.5" customHeight="1" x14ac:dyDescent="0.25">
      <c r="B1" s="18" t="s">
        <v>204</v>
      </c>
    </row>
    <row r="2" spans="2:7" ht="15" customHeight="1" x14ac:dyDescent="0.2">
      <c r="B2" s="30" t="s">
        <v>190</v>
      </c>
    </row>
    <row r="3" spans="2:7" ht="18" customHeight="1" x14ac:dyDescent="0.2"/>
    <row r="4" spans="2:7" x14ac:dyDescent="0.2">
      <c r="D4" s="3"/>
    </row>
    <row r="5" spans="2:7" x14ac:dyDescent="0.2">
      <c r="B5" s="7" t="s">
        <v>23</v>
      </c>
      <c r="D5" s="118" t="s">
        <v>198</v>
      </c>
      <c r="E5" s="118"/>
      <c r="F5" s="118"/>
      <c r="G5" s="118"/>
    </row>
    <row r="6" spans="2:7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</row>
    <row r="7" spans="2:7" x14ac:dyDescent="0.2">
      <c r="B7" s="8">
        <v>410</v>
      </c>
      <c r="D7" s="20" t="s">
        <v>195</v>
      </c>
      <c r="E7" s="89" t="s">
        <v>196</v>
      </c>
      <c r="F7" s="89" t="s">
        <v>332</v>
      </c>
      <c r="G7" s="90">
        <v>300</v>
      </c>
    </row>
    <row r="8" spans="2:7" x14ac:dyDescent="0.2">
      <c r="B8" s="8">
        <v>119</v>
      </c>
      <c r="D8" s="20"/>
      <c r="E8" s="36"/>
      <c r="F8" s="36"/>
      <c r="G8" s="36"/>
    </row>
    <row r="9" spans="2:7" x14ac:dyDescent="0.2">
      <c r="B9" s="8">
        <v>334</v>
      </c>
      <c r="D9" s="20"/>
      <c r="E9" s="37"/>
      <c r="F9" s="37"/>
      <c r="G9" s="37"/>
    </row>
    <row r="10" spans="2:7" x14ac:dyDescent="0.2">
      <c r="B10" s="8">
        <v>252</v>
      </c>
      <c r="D10" s="20"/>
      <c r="E10" s="22"/>
      <c r="F10" s="22"/>
      <c r="G10" s="22"/>
    </row>
    <row r="11" spans="2:7" x14ac:dyDescent="0.2">
      <c r="B11" s="8">
        <v>209</v>
      </c>
      <c r="D11" s="20"/>
      <c r="E11" s="22"/>
      <c r="F11" s="22"/>
      <c r="G11" s="22"/>
    </row>
    <row r="12" spans="2:7" x14ac:dyDescent="0.2">
      <c r="B12" s="8">
        <v>462</v>
      </c>
    </row>
    <row r="13" spans="2:7" x14ac:dyDescent="0.2">
      <c r="B13" s="8">
        <v>342</v>
      </c>
    </row>
    <row r="14" spans="2:7" x14ac:dyDescent="0.2">
      <c r="B14" s="8">
        <v>347</v>
      </c>
    </row>
    <row r="15" spans="2:7" x14ac:dyDescent="0.2">
      <c r="B15" s="8">
        <v>313</v>
      </c>
    </row>
    <row r="16" spans="2:7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1">
    <mergeCell ref="D5:G5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B7B0-2442-423A-AD5C-57F7FB22269B}">
  <sheetPr codeName="Sheet39">
    <tabColor theme="7" tint="0.79998168889431442"/>
  </sheetPr>
  <dimension ref="B1:J100"/>
  <sheetViews>
    <sheetView showGridLines="0" workbookViewId="0">
      <selection activeCell="K6" sqref="K6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</cols>
  <sheetData>
    <row r="1" spans="2:10" ht="25.5" customHeight="1" x14ac:dyDescent="0.25">
      <c r="B1" s="18" t="s">
        <v>204</v>
      </c>
    </row>
    <row r="2" spans="2:10" ht="15" customHeight="1" x14ac:dyDescent="0.2">
      <c r="B2" s="30" t="s">
        <v>191</v>
      </c>
    </row>
    <row r="3" spans="2:10" ht="18" customHeight="1" x14ac:dyDescent="0.2"/>
    <row r="4" spans="2:10" x14ac:dyDescent="0.2">
      <c r="D4" s="3"/>
    </row>
    <row r="5" spans="2:10" x14ac:dyDescent="0.2">
      <c r="B5" s="7" t="s">
        <v>23</v>
      </c>
      <c r="D5" s="118" t="s">
        <v>198</v>
      </c>
      <c r="E5" s="118"/>
      <c r="F5" s="118"/>
      <c r="G5" s="118"/>
      <c r="I5" s="118" t="s">
        <v>200</v>
      </c>
      <c r="J5" s="118"/>
    </row>
    <row r="6" spans="2:10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</row>
    <row r="7" spans="2:10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</row>
    <row r="8" spans="2:10" x14ac:dyDescent="0.2">
      <c r="B8" s="8">
        <v>119</v>
      </c>
      <c r="D8" s="20"/>
      <c r="E8" s="36"/>
      <c r="F8" s="36"/>
      <c r="G8" s="36"/>
    </row>
    <row r="9" spans="2:10" x14ac:dyDescent="0.2">
      <c r="B9" s="8">
        <v>334</v>
      </c>
      <c r="D9" s="20"/>
      <c r="E9" s="37"/>
      <c r="F9" s="37"/>
      <c r="G9" s="37"/>
    </row>
    <row r="10" spans="2:10" x14ac:dyDescent="0.2">
      <c r="B10" s="8">
        <v>252</v>
      </c>
      <c r="D10" s="20"/>
      <c r="E10" s="22"/>
      <c r="F10" s="22"/>
      <c r="G10" s="22"/>
    </row>
    <row r="11" spans="2:10" x14ac:dyDescent="0.2">
      <c r="B11" s="8">
        <v>209</v>
      </c>
      <c r="D11" s="20"/>
      <c r="E11" s="22"/>
      <c r="F11" s="22"/>
      <c r="G11" s="22"/>
    </row>
    <row r="12" spans="2:10" x14ac:dyDescent="0.2">
      <c r="B12" s="8">
        <v>462</v>
      </c>
    </row>
    <row r="13" spans="2:10" x14ac:dyDescent="0.2">
      <c r="B13" s="8">
        <v>342</v>
      </c>
    </row>
    <row r="14" spans="2:10" x14ac:dyDescent="0.2">
      <c r="B14" s="8">
        <v>347</v>
      </c>
    </row>
    <row r="15" spans="2:10" x14ac:dyDescent="0.2">
      <c r="B15" s="8">
        <v>313</v>
      </c>
    </row>
    <row r="16" spans="2:10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2">
    <mergeCell ref="D5:G5"/>
    <mergeCell ref="I5:J5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E470-41A9-44DC-A4DD-9E9CD0C95766}">
  <sheetPr codeName="Sheet40">
    <tabColor theme="7" tint="0.79998168889431442"/>
  </sheetPr>
  <dimension ref="B1:P100"/>
  <sheetViews>
    <sheetView showGridLines="0" workbookViewId="0">
      <selection activeCell="Q7" sqref="Q7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204</v>
      </c>
    </row>
    <row r="2" spans="2:16" ht="15" customHeight="1" x14ac:dyDescent="0.2">
      <c r="B2" s="30" t="s">
        <v>192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18" t="s">
        <v>198</v>
      </c>
      <c r="E5" s="118"/>
      <c r="F5" s="118"/>
      <c r="G5" s="118"/>
      <c r="I5" s="118" t="s">
        <v>200</v>
      </c>
      <c r="J5" s="118"/>
      <c r="L5" s="116" t="s">
        <v>138</v>
      </c>
      <c r="M5" s="116"/>
      <c r="O5" s="116" t="s">
        <v>203</v>
      </c>
      <c r="P5" s="116"/>
    </row>
    <row r="6" spans="2:16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</row>
    <row r="7" spans="2:16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>
        <f>STDEV(B6:B100)</f>
        <v>93.521048765238149</v>
      </c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8D1F-7893-4124-9121-7A8EF918AD3E}">
  <sheetPr codeName="Sheet41">
    <tabColor theme="7" tint="0.79998168889431442"/>
  </sheetPr>
  <dimension ref="B1:P100"/>
  <sheetViews>
    <sheetView showGridLines="0" workbookViewId="0">
      <selection activeCell="P8" sqref="P8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</cols>
  <sheetData>
    <row r="1" spans="2:16" ht="25.5" customHeight="1" x14ac:dyDescent="0.25">
      <c r="B1" s="18" t="s">
        <v>204</v>
      </c>
    </row>
    <row r="2" spans="2:16" ht="15" customHeight="1" x14ac:dyDescent="0.2">
      <c r="B2" s="30" t="s">
        <v>193</v>
      </c>
    </row>
    <row r="3" spans="2:16" ht="18" customHeight="1" x14ac:dyDescent="0.2"/>
    <row r="4" spans="2:16" x14ac:dyDescent="0.2">
      <c r="D4" s="3"/>
      <c r="L4" s="3" t="s">
        <v>54</v>
      </c>
      <c r="O4" s="3" t="s">
        <v>54</v>
      </c>
    </row>
    <row r="5" spans="2:16" x14ac:dyDescent="0.2">
      <c r="B5" s="7" t="s">
        <v>23</v>
      </c>
      <c r="D5" s="118" t="s">
        <v>198</v>
      </c>
      <c r="E5" s="118"/>
      <c r="F5" s="118"/>
      <c r="G5" s="118"/>
      <c r="I5" s="118" t="s">
        <v>200</v>
      </c>
      <c r="J5" s="118"/>
      <c r="L5" s="116" t="s">
        <v>138</v>
      </c>
      <c r="M5" s="116"/>
      <c r="O5" s="116" t="s">
        <v>203</v>
      </c>
      <c r="P5" s="116"/>
    </row>
    <row r="6" spans="2:16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</row>
    <row r="7" spans="2:16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</row>
    <row r="8" spans="2:16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206</v>
      </c>
      <c r="P8" s="70">
        <f>_xlfn.T.DIST(P7,M6,TRUE)*2</f>
        <v>0.26970617191487284</v>
      </c>
    </row>
    <row r="9" spans="2:16" x14ac:dyDescent="0.2">
      <c r="B9" s="8">
        <v>334</v>
      </c>
      <c r="D9" s="20"/>
      <c r="E9" s="37"/>
      <c r="F9" s="37"/>
      <c r="G9" s="37"/>
    </row>
    <row r="10" spans="2:16" x14ac:dyDescent="0.2">
      <c r="B10" s="8">
        <v>252</v>
      </c>
      <c r="D10" s="20"/>
      <c r="E10" s="22"/>
      <c r="F10" s="22"/>
      <c r="G10" s="22"/>
    </row>
    <row r="11" spans="2:16" x14ac:dyDescent="0.2">
      <c r="B11" s="8">
        <v>209</v>
      </c>
      <c r="D11" s="20"/>
      <c r="E11" s="22"/>
      <c r="F11" s="22"/>
      <c r="G11" s="22"/>
    </row>
    <row r="12" spans="2:16" x14ac:dyDescent="0.2">
      <c r="B12" s="8">
        <v>462</v>
      </c>
    </row>
    <row r="13" spans="2:16" x14ac:dyDescent="0.2">
      <c r="B13" s="8">
        <v>342</v>
      </c>
    </row>
    <row r="14" spans="2:16" x14ac:dyDescent="0.2">
      <c r="B14" s="8">
        <v>347</v>
      </c>
    </row>
    <row r="15" spans="2:16" x14ac:dyDescent="0.2">
      <c r="B15" s="8">
        <v>313</v>
      </c>
    </row>
    <row r="16" spans="2:16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1FC3-0CC9-4766-81BC-3731414E5E21}">
  <sheetPr>
    <tabColor theme="7" tint="0.79998168889431442"/>
  </sheetPr>
  <dimension ref="B1:R100"/>
  <sheetViews>
    <sheetView showGridLines="0" workbookViewId="0">
      <selection activeCell="O37" sqref="O37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4" max="4" width="6.5" customWidth="1"/>
    <col min="5" max="6" width="2.83203125" customWidth="1"/>
    <col min="7" max="7" width="9.16406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204</v>
      </c>
    </row>
    <row r="2" spans="2:18" ht="15" customHeight="1" x14ac:dyDescent="0.2">
      <c r="B2" s="30" t="s">
        <v>308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23</v>
      </c>
      <c r="D5" s="118" t="s">
        <v>198</v>
      </c>
      <c r="E5" s="118"/>
      <c r="F5" s="118"/>
      <c r="G5" s="118"/>
      <c r="I5" s="118" t="s">
        <v>200</v>
      </c>
      <c r="J5" s="118"/>
      <c r="L5" s="116" t="s">
        <v>138</v>
      </c>
      <c r="M5" s="116"/>
      <c r="O5" s="116" t="s">
        <v>203</v>
      </c>
      <c r="P5" s="116"/>
      <c r="R5" s="50" t="s">
        <v>202</v>
      </c>
    </row>
    <row r="6" spans="2:18" x14ac:dyDescent="0.2">
      <c r="B6" s="8">
        <v>276</v>
      </c>
      <c r="D6" s="20" t="s">
        <v>194</v>
      </c>
      <c r="E6" s="89" t="s">
        <v>196</v>
      </c>
      <c r="F6" s="89" t="s">
        <v>197</v>
      </c>
      <c r="G6" s="90">
        <v>300</v>
      </c>
      <c r="I6" s="20" t="s">
        <v>142</v>
      </c>
      <c r="J6" s="71">
        <v>0.1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9.5950571497434378</v>
      </c>
      <c r="R6" s="119" t="s">
        <v>333</v>
      </c>
    </row>
    <row r="7" spans="2:18" x14ac:dyDescent="0.2">
      <c r="B7" s="8">
        <v>410</v>
      </c>
      <c r="D7" s="20" t="s">
        <v>195</v>
      </c>
      <c r="E7" s="89" t="s">
        <v>196</v>
      </c>
      <c r="F7" s="89" t="s">
        <v>199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201</v>
      </c>
      <c r="P7" s="91">
        <f>(M7-G6)/P6</f>
        <v>-1.1102207535295614</v>
      </c>
      <c r="R7" s="119"/>
    </row>
    <row r="8" spans="2:18" x14ac:dyDescent="0.2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206</v>
      </c>
      <c r="P8" s="70">
        <f>_xlfn.T.DIST(P7,M6-1,TRUE)*2</f>
        <v>0.26973589884432797</v>
      </c>
      <c r="R8" s="119"/>
    </row>
    <row r="9" spans="2:18" x14ac:dyDescent="0.2">
      <c r="B9" s="8">
        <v>334</v>
      </c>
      <c r="D9" s="20"/>
      <c r="E9" s="37"/>
      <c r="F9" s="37"/>
      <c r="G9" s="37"/>
      <c r="R9" s="119"/>
    </row>
    <row r="10" spans="2:18" x14ac:dyDescent="0.2">
      <c r="B10" s="8">
        <v>252</v>
      </c>
      <c r="D10" s="20"/>
      <c r="E10" s="22"/>
      <c r="F10" s="22"/>
      <c r="G10" s="22"/>
      <c r="R10" s="119"/>
    </row>
    <row r="11" spans="2:18" x14ac:dyDescent="0.2">
      <c r="B11" s="8">
        <v>209</v>
      </c>
      <c r="D11" s="20"/>
      <c r="E11" s="22"/>
      <c r="F11" s="22"/>
      <c r="G11" s="22"/>
      <c r="R11" s="119"/>
    </row>
    <row r="12" spans="2:18" x14ac:dyDescent="0.2">
      <c r="B12" s="8">
        <v>462</v>
      </c>
    </row>
    <row r="13" spans="2:18" x14ac:dyDescent="0.2">
      <c r="B13" s="8">
        <v>342</v>
      </c>
    </row>
    <row r="14" spans="2:18" x14ac:dyDescent="0.2">
      <c r="B14" s="8">
        <v>347</v>
      </c>
    </row>
    <row r="15" spans="2:18" x14ac:dyDescent="0.2">
      <c r="B15" s="8">
        <v>313</v>
      </c>
    </row>
    <row r="16" spans="2:18" x14ac:dyDescent="0.2">
      <c r="B16" s="8">
        <v>232</v>
      </c>
    </row>
    <row r="17" spans="2:2" x14ac:dyDescent="0.2">
      <c r="B17" s="8">
        <v>163</v>
      </c>
    </row>
    <row r="18" spans="2:2" x14ac:dyDescent="0.2">
      <c r="B18" s="8">
        <v>119</v>
      </c>
    </row>
    <row r="19" spans="2:2" x14ac:dyDescent="0.2">
      <c r="B19" s="8">
        <v>304</v>
      </c>
    </row>
    <row r="20" spans="2:2" x14ac:dyDescent="0.2">
      <c r="B20" s="8">
        <v>211</v>
      </c>
    </row>
    <row r="21" spans="2:2" x14ac:dyDescent="0.2">
      <c r="B21" s="8">
        <v>286</v>
      </c>
    </row>
    <row r="22" spans="2:2" x14ac:dyDescent="0.2">
      <c r="B22" s="8">
        <v>122</v>
      </c>
    </row>
    <row r="23" spans="2:2" x14ac:dyDescent="0.2">
      <c r="B23" s="8">
        <v>443</v>
      </c>
    </row>
    <row r="24" spans="2:2" x14ac:dyDescent="0.2">
      <c r="B24" s="8">
        <v>366</v>
      </c>
    </row>
    <row r="25" spans="2:2" x14ac:dyDescent="0.2">
      <c r="B25" s="8">
        <v>244</v>
      </c>
    </row>
    <row r="26" spans="2:2" x14ac:dyDescent="0.2">
      <c r="B26" s="8">
        <v>241</v>
      </c>
    </row>
    <row r="27" spans="2:2" x14ac:dyDescent="0.2">
      <c r="B27" s="8">
        <v>237</v>
      </c>
    </row>
    <row r="28" spans="2:2" x14ac:dyDescent="0.2">
      <c r="B28" s="8">
        <v>122</v>
      </c>
    </row>
    <row r="29" spans="2:2" x14ac:dyDescent="0.2">
      <c r="B29" s="8">
        <v>129</v>
      </c>
    </row>
    <row r="30" spans="2:2" x14ac:dyDescent="0.2">
      <c r="B30" s="8">
        <v>236</v>
      </c>
    </row>
    <row r="31" spans="2:2" x14ac:dyDescent="0.2">
      <c r="B31" s="8">
        <v>251</v>
      </c>
    </row>
    <row r="32" spans="2:2" x14ac:dyDescent="0.2">
      <c r="B32" s="8">
        <v>283</v>
      </c>
    </row>
    <row r="33" spans="2:2" x14ac:dyDescent="0.2">
      <c r="B33" s="8">
        <v>225</v>
      </c>
    </row>
    <row r="34" spans="2:2" x14ac:dyDescent="0.2">
      <c r="B34" s="8">
        <v>102</v>
      </c>
    </row>
    <row r="35" spans="2:2" x14ac:dyDescent="0.2">
      <c r="B35" s="8">
        <v>180</v>
      </c>
    </row>
    <row r="36" spans="2:2" x14ac:dyDescent="0.2">
      <c r="B36" s="8">
        <v>247</v>
      </c>
    </row>
    <row r="37" spans="2:2" x14ac:dyDescent="0.2">
      <c r="B37" s="8">
        <v>343</v>
      </c>
    </row>
    <row r="38" spans="2:2" x14ac:dyDescent="0.2">
      <c r="B38" s="8">
        <v>283</v>
      </c>
    </row>
    <row r="39" spans="2:2" x14ac:dyDescent="0.2">
      <c r="B39" s="8">
        <v>253</v>
      </c>
    </row>
    <row r="40" spans="2:2" x14ac:dyDescent="0.2">
      <c r="B40" s="8">
        <v>263</v>
      </c>
    </row>
    <row r="41" spans="2:2" x14ac:dyDescent="0.2">
      <c r="B41" s="8">
        <v>291</v>
      </c>
    </row>
    <row r="42" spans="2:2" x14ac:dyDescent="0.2">
      <c r="B42" s="8">
        <v>368</v>
      </c>
    </row>
    <row r="43" spans="2:2" x14ac:dyDescent="0.2">
      <c r="B43" s="8">
        <v>206</v>
      </c>
    </row>
    <row r="44" spans="2:2" x14ac:dyDescent="0.2">
      <c r="B44" s="8">
        <v>231</v>
      </c>
    </row>
    <row r="45" spans="2:2" x14ac:dyDescent="0.2">
      <c r="B45" s="8">
        <v>389</v>
      </c>
    </row>
    <row r="46" spans="2:2" x14ac:dyDescent="0.2">
      <c r="B46" s="8">
        <v>396</v>
      </c>
    </row>
    <row r="47" spans="2:2" x14ac:dyDescent="0.2">
      <c r="B47" s="8">
        <v>339</v>
      </c>
    </row>
    <row r="48" spans="2:2" x14ac:dyDescent="0.2">
      <c r="B48" s="8">
        <v>286</v>
      </c>
    </row>
    <row r="49" spans="2:2" x14ac:dyDescent="0.2">
      <c r="B49" s="8">
        <v>146</v>
      </c>
    </row>
    <row r="50" spans="2:2" x14ac:dyDescent="0.2">
      <c r="B50" s="8">
        <v>315</v>
      </c>
    </row>
    <row r="51" spans="2:2" x14ac:dyDescent="0.2">
      <c r="B51" s="8">
        <v>183</v>
      </c>
    </row>
    <row r="52" spans="2:2" x14ac:dyDescent="0.2">
      <c r="B52" s="8">
        <v>481</v>
      </c>
    </row>
    <row r="53" spans="2:2" x14ac:dyDescent="0.2">
      <c r="B53" s="8">
        <v>349</v>
      </c>
    </row>
    <row r="54" spans="2:2" x14ac:dyDescent="0.2">
      <c r="B54" s="8">
        <v>225</v>
      </c>
    </row>
    <row r="55" spans="2:2" x14ac:dyDescent="0.2">
      <c r="B55" s="8">
        <v>217</v>
      </c>
    </row>
    <row r="56" spans="2:2" x14ac:dyDescent="0.2">
      <c r="B56" s="8">
        <v>353</v>
      </c>
    </row>
    <row r="57" spans="2:2" x14ac:dyDescent="0.2">
      <c r="B57" s="8">
        <v>314</v>
      </c>
    </row>
    <row r="58" spans="2:2" x14ac:dyDescent="0.2">
      <c r="B58" s="8">
        <v>247</v>
      </c>
    </row>
    <row r="59" spans="2:2" x14ac:dyDescent="0.2">
      <c r="B59" s="8">
        <v>410</v>
      </c>
    </row>
    <row r="60" spans="2:2" x14ac:dyDescent="0.2">
      <c r="B60" s="8">
        <v>395</v>
      </c>
    </row>
    <row r="61" spans="2:2" x14ac:dyDescent="0.2">
      <c r="B61" s="8">
        <v>416</v>
      </c>
    </row>
    <row r="62" spans="2:2" x14ac:dyDescent="0.2">
      <c r="B62" s="8">
        <v>342</v>
      </c>
    </row>
    <row r="63" spans="2:2" x14ac:dyDescent="0.2">
      <c r="B63" s="8">
        <v>446</v>
      </c>
    </row>
    <row r="64" spans="2:2" x14ac:dyDescent="0.2">
      <c r="B64" s="8">
        <v>477</v>
      </c>
    </row>
    <row r="65" spans="2:2" x14ac:dyDescent="0.2">
      <c r="B65" s="8">
        <v>444</v>
      </c>
    </row>
    <row r="66" spans="2:2" x14ac:dyDescent="0.2">
      <c r="B66" s="8">
        <v>351</v>
      </c>
    </row>
    <row r="67" spans="2:2" x14ac:dyDescent="0.2">
      <c r="B67" s="8">
        <v>165</v>
      </c>
    </row>
    <row r="68" spans="2:2" x14ac:dyDescent="0.2">
      <c r="B68" s="8">
        <v>317</v>
      </c>
    </row>
    <row r="69" spans="2:2" x14ac:dyDescent="0.2">
      <c r="B69" s="8">
        <v>250</v>
      </c>
    </row>
    <row r="70" spans="2:2" x14ac:dyDescent="0.2">
      <c r="B70" s="8">
        <v>217</v>
      </c>
    </row>
    <row r="71" spans="2:2" x14ac:dyDescent="0.2">
      <c r="B71" s="8">
        <v>138</v>
      </c>
    </row>
    <row r="72" spans="2:2" x14ac:dyDescent="0.2">
      <c r="B72" s="8">
        <v>302</v>
      </c>
    </row>
    <row r="73" spans="2:2" x14ac:dyDescent="0.2">
      <c r="B73" s="8">
        <v>311</v>
      </c>
    </row>
    <row r="74" spans="2:2" x14ac:dyDescent="0.2">
      <c r="B74" s="8">
        <v>373</v>
      </c>
    </row>
    <row r="75" spans="2:2" x14ac:dyDescent="0.2">
      <c r="B75" s="8">
        <v>196</v>
      </c>
    </row>
    <row r="76" spans="2:2" x14ac:dyDescent="0.2">
      <c r="B76" s="8">
        <v>306</v>
      </c>
    </row>
    <row r="77" spans="2:2" x14ac:dyDescent="0.2">
      <c r="B77" s="8">
        <v>302</v>
      </c>
    </row>
    <row r="78" spans="2:2" x14ac:dyDescent="0.2">
      <c r="B78" s="8">
        <v>278</v>
      </c>
    </row>
    <row r="79" spans="2:2" x14ac:dyDescent="0.2">
      <c r="B79" s="8">
        <v>429</v>
      </c>
    </row>
    <row r="80" spans="2:2" x14ac:dyDescent="0.2">
      <c r="B80" s="8">
        <v>338</v>
      </c>
    </row>
    <row r="81" spans="2:2" x14ac:dyDescent="0.2">
      <c r="B81" s="8">
        <v>261</v>
      </c>
    </row>
    <row r="82" spans="2:2" x14ac:dyDescent="0.2">
      <c r="B82" s="8">
        <v>256</v>
      </c>
    </row>
    <row r="83" spans="2:2" x14ac:dyDescent="0.2">
      <c r="B83" s="8">
        <v>183</v>
      </c>
    </row>
    <row r="84" spans="2:2" x14ac:dyDescent="0.2">
      <c r="B84" s="8">
        <v>274</v>
      </c>
    </row>
    <row r="85" spans="2:2" x14ac:dyDescent="0.2">
      <c r="B85" s="8">
        <v>182</v>
      </c>
    </row>
    <row r="86" spans="2:2" x14ac:dyDescent="0.2">
      <c r="B86" s="8">
        <v>183</v>
      </c>
    </row>
    <row r="87" spans="2:2" x14ac:dyDescent="0.2">
      <c r="B87" s="8">
        <v>309</v>
      </c>
    </row>
    <row r="88" spans="2:2" x14ac:dyDescent="0.2">
      <c r="B88" s="8">
        <v>178</v>
      </c>
    </row>
    <row r="89" spans="2:2" x14ac:dyDescent="0.2">
      <c r="B89" s="8">
        <v>458</v>
      </c>
    </row>
    <row r="90" spans="2:2" x14ac:dyDescent="0.2">
      <c r="B90" s="8">
        <v>234</v>
      </c>
    </row>
    <row r="91" spans="2:2" x14ac:dyDescent="0.2">
      <c r="B91" s="8">
        <v>306</v>
      </c>
    </row>
    <row r="92" spans="2:2" x14ac:dyDescent="0.2">
      <c r="B92" s="8">
        <v>400</v>
      </c>
    </row>
    <row r="93" spans="2:2" x14ac:dyDescent="0.2">
      <c r="B93" s="8">
        <v>337</v>
      </c>
    </row>
    <row r="94" spans="2:2" x14ac:dyDescent="0.2">
      <c r="B94" s="8">
        <v>325</v>
      </c>
    </row>
    <row r="95" spans="2:2" x14ac:dyDescent="0.2">
      <c r="B95" s="8">
        <v>329</v>
      </c>
    </row>
    <row r="96" spans="2:2" x14ac:dyDescent="0.2">
      <c r="B96" s="8">
        <v>369</v>
      </c>
    </row>
    <row r="97" spans="2:2" x14ac:dyDescent="0.2">
      <c r="B97" s="8">
        <v>457</v>
      </c>
    </row>
    <row r="98" spans="2:2" x14ac:dyDescent="0.2">
      <c r="B98" s="8">
        <v>421</v>
      </c>
    </row>
    <row r="99" spans="2:2" x14ac:dyDescent="0.2">
      <c r="B99" s="8">
        <v>282</v>
      </c>
    </row>
    <row r="100" spans="2:2" x14ac:dyDescent="0.2">
      <c r="B100" s="8">
        <v>256</v>
      </c>
    </row>
  </sheetData>
  <mergeCells count="5">
    <mergeCell ref="D5:G5"/>
    <mergeCell ref="I5:J5"/>
    <mergeCell ref="L5:M5"/>
    <mergeCell ref="O5:P5"/>
    <mergeCell ref="R6:R11"/>
  </mergeCell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3D78-7BE7-4019-9751-28F22D5586EB}">
  <sheetPr codeName="Sheet42">
    <tabColor theme="7" tint="0.59999389629810485"/>
  </sheetPr>
  <dimension ref="B1:R100"/>
  <sheetViews>
    <sheetView showGridLines="0" workbookViewId="0">
      <selection activeCell="M8" sqref="M8"/>
    </sheetView>
  </sheetViews>
  <sheetFormatPr baseColWidth="10" defaultColWidth="8.83203125" defaultRowHeight="15" x14ac:dyDescent="0.2"/>
  <cols>
    <col min="1" max="1" width="2.83203125" customWidth="1"/>
    <col min="2" max="2" width="12.83203125" customWidth="1"/>
    <col min="4" max="4" width="6.5" customWidth="1"/>
    <col min="5" max="6" width="2.83203125" customWidth="1"/>
    <col min="9" max="9" width="11.5" customWidth="1"/>
    <col min="12" max="12" width="12.1640625" customWidth="1"/>
    <col min="13" max="13" width="11.5" customWidth="1"/>
    <col min="15" max="15" width="15.6640625" bestFit="1" customWidth="1"/>
    <col min="18" max="18" width="57.1640625" customWidth="1"/>
  </cols>
  <sheetData>
    <row r="1" spans="2:18" ht="25.5" customHeight="1" x14ac:dyDescent="0.25">
      <c r="B1" s="18" t="s">
        <v>309</v>
      </c>
    </row>
    <row r="2" spans="2:18" ht="15" customHeight="1" x14ac:dyDescent="0.2">
      <c r="B2" s="30" t="s">
        <v>205</v>
      </c>
    </row>
    <row r="3" spans="2:18" ht="18" customHeight="1" x14ac:dyDescent="0.2"/>
    <row r="4" spans="2:18" x14ac:dyDescent="0.2">
      <c r="D4" s="3"/>
      <c r="L4" s="3" t="s">
        <v>54</v>
      </c>
      <c r="O4" s="3" t="s">
        <v>54</v>
      </c>
    </row>
    <row r="5" spans="2:18" x14ac:dyDescent="0.2">
      <c r="B5" s="7" t="s">
        <v>77</v>
      </c>
      <c r="D5" s="118" t="s">
        <v>198</v>
      </c>
      <c r="E5" s="118"/>
      <c r="F5" s="118"/>
      <c r="G5" s="118"/>
      <c r="I5" s="118" t="s">
        <v>200</v>
      </c>
      <c r="J5" s="118"/>
      <c r="L5" s="116" t="s">
        <v>138</v>
      </c>
      <c r="M5" s="116"/>
      <c r="O5" s="116" t="s">
        <v>203</v>
      </c>
      <c r="P5" s="116"/>
      <c r="R5" s="50" t="s">
        <v>202</v>
      </c>
    </row>
    <row r="6" spans="2:18" x14ac:dyDescent="0.2">
      <c r="B6" s="8">
        <v>90.2</v>
      </c>
      <c r="D6" s="20" t="s">
        <v>194</v>
      </c>
      <c r="E6" s="89" t="s">
        <v>196</v>
      </c>
      <c r="F6" s="89" t="s">
        <v>197</v>
      </c>
      <c r="G6" s="90">
        <v>80</v>
      </c>
      <c r="I6" s="20" t="s">
        <v>142</v>
      </c>
      <c r="J6" s="71">
        <v>0.2</v>
      </c>
      <c r="L6" s="20" t="s">
        <v>71</v>
      </c>
      <c r="M6" s="71">
        <f>COUNT(B6:B100)</f>
        <v>95</v>
      </c>
      <c r="O6" s="20" t="s">
        <v>145</v>
      </c>
      <c r="P6" s="75">
        <f>M8/SQRT(M6)</f>
        <v>0.63310867376603175</v>
      </c>
      <c r="R6" s="119" t="s">
        <v>334</v>
      </c>
    </row>
    <row r="7" spans="2:18" x14ac:dyDescent="0.2">
      <c r="B7" s="8">
        <v>92.8</v>
      </c>
      <c r="D7" s="20" t="s">
        <v>195</v>
      </c>
      <c r="E7" s="89" t="s">
        <v>196</v>
      </c>
      <c r="F7" s="89" t="s">
        <v>199</v>
      </c>
      <c r="G7" s="90">
        <v>80</v>
      </c>
      <c r="I7" s="20"/>
      <c r="J7" s="1"/>
      <c r="L7" s="20" t="s">
        <v>46</v>
      </c>
      <c r="M7" s="72">
        <f>AVERAGE(B6:B100)</f>
        <v>80.169473684210516</v>
      </c>
      <c r="O7" s="20" t="s">
        <v>201</v>
      </c>
      <c r="P7" s="91">
        <f>(M7-G6)/P6</f>
        <v>0.26768498242553784</v>
      </c>
      <c r="R7" s="119"/>
    </row>
    <row r="8" spans="2:18" x14ac:dyDescent="0.2">
      <c r="B8" s="8">
        <v>68.7</v>
      </c>
      <c r="D8" s="20"/>
      <c r="E8" s="36"/>
      <c r="F8" s="36"/>
      <c r="G8" s="36"/>
      <c r="L8" s="20" t="s">
        <v>70</v>
      </c>
      <c r="M8" s="75">
        <f>STDEV(B6:B100)</f>
        <v>6.1707800411122609</v>
      </c>
      <c r="O8" s="20" t="s">
        <v>206</v>
      </c>
      <c r="P8" s="70">
        <f>(1-_xlfn.T.DIST(P7,M6,TRUE))*2</f>
        <v>0.78952212727916882</v>
      </c>
      <c r="R8" s="119"/>
    </row>
    <row r="9" spans="2:18" x14ac:dyDescent="0.2">
      <c r="B9" s="8">
        <v>80.7</v>
      </c>
      <c r="D9" s="20"/>
      <c r="E9" s="37"/>
      <c r="F9" s="37"/>
      <c r="G9" s="37"/>
      <c r="R9" s="119"/>
    </row>
    <row r="10" spans="2:18" x14ac:dyDescent="0.2">
      <c r="B10" s="8">
        <v>74.900000000000006</v>
      </c>
      <c r="D10" s="20"/>
      <c r="E10" s="22"/>
      <c r="F10" s="22"/>
      <c r="G10" s="22"/>
      <c r="R10" s="119"/>
    </row>
    <row r="11" spans="2:18" x14ac:dyDescent="0.2">
      <c r="B11" s="8">
        <v>80.7</v>
      </c>
      <c r="D11" s="20"/>
      <c r="E11" s="22"/>
      <c r="F11" s="22"/>
      <c r="G11" s="22"/>
      <c r="R11" s="119"/>
    </row>
    <row r="12" spans="2:18" x14ac:dyDescent="0.2">
      <c r="B12" s="8">
        <v>83.3</v>
      </c>
    </row>
    <row r="13" spans="2:18" x14ac:dyDescent="0.2">
      <c r="B13" s="8">
        <v>88.7</v>
      </c>
    </row>
    <row r="14" spans="2:18" x14ac:dyDescent="0.2">
      <c r="B14" s="8">
        <v>75.400000000000006</v>
      </c>
    </row>
    <row r="15" spans="2:18" x14ac:dyDescent="0.2">
      <c r="B15" s="8">
        <v>82.1</v>
      </c>
    </row>
    <row r="16" spans="2:18" x14ac:dyDescent="0.2">
      <c r="B16" s="8">
        <v>87.5</v>
      </c>
    </row>
    <row r="17" spans="2:2" x14ac:dyDescent="0.2">
      <c r="B17" s="8">
        <v>66.900000000000006</v>
      </c>
    </row>
    <row r="18" spans="2:2" x14ac:dyDescent="0.2">
      <c r="B18" s="8">
        <v>71.3</v>
      </c>
    </row>
    <row r="19" spans="2:2" x14ac:dyDescent="0.2">
      <c r="B19" s="8">
        <v>76.8</v>
      </c>
    </row>
    <row r="20" spans="2:2" x14ac:dyDescent="0.2">
      <c r="B20" s="8">
        <v>72.3</v>
      </c>
    </row>
    <row r="21" spans="2:2" x14ac:dyDescent="0.2">
      <c r="B21" s="8">
        <v>72.400000000000006</v>
      </c>
    </row>
    <row r="22" spans="2:2" x14ac:dyDescent="0.2">
      <c r="B22" s="8">
        <v>72</v>
      </c>
    </row>
    <row r="23" spans="2:2" x14ac:dyDescent="0.2">
      <c r="B23" s="8">
        <v>81</v>
      </c>
    </row>
    <row r="24" spans="2:2" x14ac:dyDescent="0.2">
      <c r="B24" s="8">
        <v>96.1</v>
      </c>
    </row>
    <row r="25" spans="2:2" x14ac:dyDescent="0.2">
      <c r="B25" s="8">
        <v>76.7</v>
      </c>
    </row>
    <row r="26" spans="2:2" x14ac:dyDescent="0.2">
      <c r="B26" s="8">
        <v>80.3</v>
      </c>
    </row>
    <row r="27" spans="2:2" x14ac:dyDescent="0.2">
      <c r="B27" s="8">
        <v>77.8</v>
      </c>
    </row>
    <row r="28" spans="2:2" x14ac:dyDescent="0.2">
      <c r="B28" s="8">
        <v>62.6</v>
      </c>
    </row>
    <row r="29" spans="2:2" x14ac:dyDescent="0.2">
      <c r="B29" s="8">
        <v>80.2</v>
      </c>
    </row>
    <row r="30" spans="2:2" x14ac:dyDescent="0.2">
      <c r="B30" s="8">
        <v>79.099999999999994</v>
      </c>
    </row>
    <row r="31" spans="2:2" x14ac:dyDescent="0.2">
      <c r="B31" s="8">
        <v>77.8</v>
      </c>
    </row>
    <row r="32" spans="2:2" x14ac:dyDescent="0.2">
      <c r="B32" s="8">
        <v>75.099999999999994</v>
      </c>
    </row>
    <row r="33" spans="2:2" x14ac:dyDescent="0.2">
      <c r="B33" s="8">
        <v>82.2</v>
      </c>
    </row>
    <row r="34" spans="2:2" x14ac:dyDescent="0.2">
      <c r="B34" s="8">
        <v>70.5</v>
      </c>
    </row>
    <row r="35" spans="2:2" x14ac:dyDescent="0.2">
      <c r="B35" s="8">
        <v>70.8</v>
      </c>
    </row>
    <row r="36" spans="2:2" x14ac:dyDescent="0.2">
      <c r="B36" s="8">
        <v>87.5</v>
      </c>
    </row>
    <row r="37" spans="2:2" x14ac:dyDescent="0.2">
      <c r="B37" s="8">
        <v>79.5</v>
      </c>
    </row>
    <row r="38" spans="2:2" x14ac:dyDescent="0.2">
      <c r="B38" s="8">
        <v>80.8</v>
      </c>
    </row>
    <row r="39" spans="2:2" x14ac:dyDescent="0.2">
      <c r="B39" s="8">
        <v>79.599999999999994</v>
      </c>
    </row>
    <row r="40" spans="2:2" x14ac:dyDescent="0.2">
      <c r="B40" s="8">
        <v>88.9</v>
      </c>
    </row>
    <row r="41" spans="2:2" x14ac:dyDescent="0.2">
      <c r="B41" s="8">
        <v>85.9</v>
      </c>
    </row>
    <row r="42" spans="2:2" x14ac:dyDescent="0.2">
      <c r="B42" s="8">
        <v>82.3</v>
      </c>
    </row>
    <row r="43" spans="2:2" x14ac:dyDescent="0.2">
      <c r="B43" s="8">
        <v>76.7</v>
      </c>
    </row>
    <row r="44" spans="2:2" x14ac:dyDescent="0.2">
      <c r="B44" s="8">
        <v>79.900000000000006</v>
      </c>
    </row>
    <row r="45" spans="2:2" x14ac:dyDescent="0.2">
      <c r="B45" s="8">
        <v>86.2</v>
      </c>
    </row>
    <row r="46" spans="2:2" x14ac:dyDescent="0.2">
      <c r="B46" s="8">
        <v>79.2</v>
      </c>
    </row>
    <row r="47" spans="2:2" x14ac:dyDescent="0.2">
      <c r="B47" s="8">
        <v>83.4</v>
      </c>
    </row>
    <row r="48" spans="2:2" x14ac:dyDescent="0.2">
      <c r="B48" s="8">
        <v>85.2</v>
      </c>
    </row>
    <row r="49" spans="2:2" x14ac:dyDescent="0.2">
      <c r="B49" s="8">
        <v>77.8</v>
      </c>
    </row>
    <row r="50" spans="2:2" x14ac:dyDescent="0.2">
      <c r="B50" s="8">
        <v>80.2</v>
      </c>
    </row>
    <row r="51" spans="2:2" x14ac:dyDescent="0.2">
      <c r="B51" s="8">
        <v>71</v>
      </c>
    </row>
    <row r="52" spans="2:2" x14ac:dyDescent="0.2">
      <c r="B52" s="8">
        <v>87.2</v>
      </c>
    </row>
    <row r="53" spans="2:2" x14ac:dyDescent="0.2">
      <c r="B53" s="8">
        <v>82.9</v>
      </c>
    </row>
    <row r="54" spans="2:2" x14ac:dyDescent="0.2">
      <c r="B54" s="8">
        <v>73.5</v>
      </c>
    </row>
    <row r="55" spans="2:2" x14ac:dyDescent="0.2">
      <c r="B55" s="8">
        <v>74.599999999999994</v>
      </c>
    </row>
    <row r="56" spans="2:2" x14ac:dyDescent="0.2">
      <c r="B56" s="8">
        <v>75.099999999999994</v>
      </c>
    </row>
    <row r="57" spans="2:2" x14ac:dyDescent="0.2">
      <c r="B57" s="8">
        <v>85.1</v>
      </c>
    </row>
    <row r="58" spans="2:2" x14ac:dyDescent="0.2">
      <c r="B58" s="8">
        <v>74.900000000000006</v>
      </c>
    </row>
    <row r="59" spans="2:2" x14ac:dyDescent="0.2">
      <c r="B59" s="8">
        <v>84.6</v>
      </c>
    </row>
    <row r="60" spans="2:2" x14ac:dyDescent="0.2">
      <c r="B60" s="8">
        <v>81.7</v>
      </c>
    </row>
    <row r="61" spans="2:2" x14ac:dyDescent="0.2">
      <c r="B61" s="8">
        <v>81.400000000000006</v>
      </c>
    </row>
    <row r="62" spans="2:2" x14ac:dyDescent="0.2">
      <c r="B62" s="8">
        <v>83.8</v>
      </c>
    </row>
    <row r="63" spans="2:2" x14ac:dyDescent="0.2">
      <c r="B63" s="8">
        <v>88.5</v>
      </c>
    </row>
    <row r="64" spans="2:2" x14ac:dyDescent="0.2">
      <c r="B64" s="8">
        <v>84.9</v>
      </c>
    </row>
    <row r="65" spans="2:2" x14ac:dyDescent="0.2">
      <c r="B65" s="8">
        <v>84.3</v>
      </c>
    </row>
    <row r="66" spans="2:2" x14ac:dyDescent="0.2">
      <c r="B66" s="8">
        <v>78.2</v>
      </c>
    </row>
    <row r="67" spans="2:2" x14ac:dyDescent="0.2">
      <c r="B67" s="8">
        <v>80</v>
      </c>
    </row>
    <row r="68" spans="2:2" x14ac:dyDescent="0.2">
      <c r="B68" s="8">
        <v>74.8</v>
      </c>
    </row>
    <row r="69" spans="2:2" x14ac:dyDescent="0.2">
      <c r="B69" s="8">
        <v>78.5</v>
      </c>
    </row>
    <row r="70" spans="2:2" x14ac:dyDescent="0.2">
      <c r="B70" s="8">
        <v>71.8</v>
      </c>
    </row>
    <row r="71" spans="2:2" x14ac:dyDescent="0.2">
      <c r="B71" s="8">
        <v>69.900000000000006</v>
      </c>
    </row>
    <row r="72" spans="2:2" x14ac:dyDescent="0.2">
      <c r="B72" s="8">
        <v>82.7</v>
      </c>
    </row>
    <row r="73" spans="2:2" x14ac:dyDescent="0.2">
      <c r="B73" s="8">
        <v>74</v>
      </c>
    </row>
    <row r="74" spans="2:2" x14ac:dyDescent="0.2">
      <c r="B74" s="8">
        <v>84</v>
      </c>
    </row>
    <row r="75" spans="2:2" x14ac:dyDescent="0.2">
      <c r="B75" s="8">
        <v>84.7</v>
      </c>
    </row>
    <row r="76" spans="2:2" x14ac:dyDescent="0.2">
      <c r="B76" s="8">
        <v>78.2</v>
      </c>
    </row>
    <row r="77" spans="2:2" x14ac:dyDescent="0.2">
      <c r="B77" s="8">
        <v>85</v>
      </c>
    </row>
    <row r="78" spans="2:2" x14ac:dyDescent="0.2">
      <c r="B78" s="8">
        <v>80.099999999999994</v>
      </c>
    </row>
    <row r="79" spans="2:2" x14ac:dyDescent="0.2">
      <c r="B79" s="8">
        <v>85.3</v>
      </c>
    </row>
    <row r="80" spans="2:2" x14ac:dyDescent="0.2">
      <c r="B80" s="8">
        <v>79.7</v>
      </c>
    </row>
    <row r="81" spans="2:2" x14ac:dyDescent="0.2">
      <c r="B81" s="8">
        <v>79.599999999999994</v>
      </c>
    </row>
    <row r="82" spans="2:2" x14ac:dyDescent="0.2">
      <c r="B82" s="8">
        <v>78.900000000000006</v>
      </c>
    </row>
    <row r="83" spans="2:2" x14ac:dyDescent="0.2">
      <c r="B83" s="8">
        <v>78.5</v>
      </c>
    </row>
    <row r="84" spans="2:2" x14ac:dyDescent="0.2">
      <c r="B84" s="8">
        <v>72</v>
      </c>
    </row>
    <row r="85" spans="2:2" x14ac:dyDescent="0.2">
      <c r="B85" s="8">
        <v>74.2</v>
      </c>
    </row>
    <row r="86" spans="2:2" x14ac:dyDescent="0.2">
      <c r="B86" s="8">
        <v>71.7</v>
      </c>
    </row>
    <row r="87" spans="2:2" x14ac:dyDescent="0.2">
      <c r="B87" s="8">
        <v>80.7</v>
      </c>
    </row>
    <row r="88" spans="2:2" x14ac:dyDescent="0.2">
      <c r="B88" s="8">
        <v>84.1</v>
      </c>
    </row>
    <row r="89" spans="2:2" x14ac:dyDescent="0.2">
      <c r="B89" s="8">
        <v>87.4</v>
      </c>
    </row>
    <row r="90" spans="2:2" x14ac:dyDescent="0.2">
      <c r="B90" s="8">
        <v>77.400000000000006</v>
      </c>
    </row>
    <row r="91" spans="2:2" x14ac:dyDescent="0.2">
      <c r="B91" s="8">
        <v>84.7</v>
      </c>
    </row>
    <row r="92" spans="2:2" x14ac:dyDescent="0.2">
      <c r="B92" s="8">
        <v>78.8</v>
      </c>
    </row>
    <row r="93" spans="2:2" x14ac:dyDescent="0.2">
      <c r="B93" s="8">
        <v>92.7</v>
      </c>
    </row>
    <row r="94" spans="2:2" x14ac:dyDescent="0.2">
      <c r="B94" s="8">
        <v>88.8</v>
      </c>
    </row>
    <row r="95" spans="2:2" x14ac:dyDescent="0.2">
      <c r="B95" s="8">
        <v>86.6</v>
      </c>
    </row>
    <row r="96" spans="2:2" x14ac:dyDescent="0.2">
      <c r="B96" s="8">
        <v>77.900000000000006</v>
      </c>
    </row>
    <row r="97" spans="2:2" x14ac:dyDescent="0.2">
      <c r="B97" s="8">
        <v>86.1</v>
      </c>
    </row>
    <row r="98" spans="2:2" x14ac:dyDescent="0.2">
      <c r="B98" s="8">
        <v>89.9</v>
      </c>
    </row>
    <row r="99" spans="2:2" x14ac:dyDescent="0.2">
      <c r="B99" s="8">
        <v>83.1</v>
      </c>
    </row>
    <row r="100" spans="2:2" x14ac:dyDescent="0.2">
      <c r="B100" s="8">
        <v>82.6</v>
      </c>
    </row>
  </sheetData>
  <mergeCells count="5">
    <mergeCell ref="L5:M5"/>
    <mergeCell ref="D5:G5"/>
    <mergeCell ref="I5:J5"/>
    <mergeCell ref="O5:P5"/>
    <mergeCell ref="R6:R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FA12EC-BCF3-4B5D-9E88-F612CBF7E477}">
          <x14:formula1>
            <xm:f>Conclusion!$F$6:$F$7</xm:f>
          </x14:formula1>
          <xm:sqref>F6:F7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1E04-65D7-4D1D-9945-E8519C173177}">
  <sheetPr codeName="Sheet43">
    <tabColor theme="7" tint="0.79998168889431442"/>
  </sheetPr>
  <dimension ref="B1:V100"/>
  <sheetViews>
    <sheetView showGridLines="0" workbookViewId="0">
      <selection activeCell="N9" sqref="N9"/>
    </sheetView>
  </sheetViews>
  <sheetFormatPr baseColWidth="10" defaultColWidth="8.83203125" defaultRowHeight="15" x14ac:dyDescent="0.2"/>
  <cols>
    <col min="1" max="1" width="2.83203125" customWidth="1"/>
    <col min="2" max="2" width="19.33203125" bestFit="1" customWidth="1"/>
    <col min="3" max="3" width="10.33203125" bestFit="1" customWidth="1"/>
    <col min="5" max="5" width="6.5" customWidth="1"/>
    <col min="6" max="7" width="2.83203125" customWidth="1"/>
    <col min="10" max="10" width="11.5" customWidth="1"/>
    <col min="13" max="13" width="12.1640625" customWidth="1"/>
    <col min="14" max="14" width="11.5" customWidth="1"/>
    <col min="16" max="16" width="15.6640625" bestFit="1" customWidth="1"/>
    <col min="19" max="19" width="59" customWidth="1"/>
    <col min="21" max="22" width="0" hidden="1" customWidth="1"/>
  </cols>
  <sheetData>
    <row r="1" spans="2:22" ht="25.5" customHeight="1" x14ac:dyDescent="0.25">
      <c r="B1" s="18" t="s">
        <v>312</v>
      </c>
    </row>
    <row r="2" spans="2:22" ht="15" customHeight="1" x14ac:dyDescent="0.2">
      <c r="B2" s="30" t="s">
        <v>210</v>
      </c>
    </row>
    <row r="3" spans="2:22" ht="18" customHeight="1" x14ac:dyDescent="0.2"/>
    <row r="4" spans="2:22" x14ac:dyDescent="0.2">
      <c r="E4" s="3"/>
      <c r="M4" s="3" t="s">
        <v>54</v>
      </c>
      <c r="P4" s="3" t="s">
        <v>54</v>
      </c>
    </row>
    <row r="5" spans="2:22" x14ac:dyDescent="0.2">
      <c r="B5" s="40" t="s">
        <v>23</v>
      </c>
      <c r="C5" s="41" t="s">
        <v>12</v>
      </c>
      <c r="E5" s="118" t="s">
        <v>198</v>
      </c>
      <c r="F5" s="118"/>
      <c r="G5" s="118"/>
      <c r="H5" s="118"/>
      <c r="J5" s="118" t="s">
        <v>200</v>
      </c>
      <c r="K5" s="118"/>
      <c r="M5" s="116" t="s">
        <v>138</v>
      </c>
      <c r="N5" s="116"/>
      <c r="P5" s="116" t="s">
        <v>203</v>
      </c>
      <c r="Q5" s="116"/>
      <c r="S5" s="50" t="s">
        <v>202</v>
      </c>
      <c r="U5" s="92" t="s">
        <v>208</v>
      </c>
      <c r="V5" t="s">
        <v>209</v>
      </c>
    </row>
    <row r="6" spans="2:22" x14ac:dyDescent="0.2">
      <c r="B6" s="51">
        <v>276</v>
      </c>
      <c r="C6" s="51" t="s">
        <v>13</v>
      </c>
      <c r="E6" s="20" t="s">
        <v>194</v>
      </c>
      <c r="F6" s="89" t="s">
        <v>196</v>
      </c>
      <c r="G6" s="89" t="s">
        <v>208</v>
      </c>
      <c r="H6" s="90">
        <v>300</v>
      </c>
      <c r="J6" s="20" t="s">
        <v>142</v>
      </c>
      <c r="K6" s="71">
        <v>0.15</v>
      </c>
      <c r="M6" s="20" t="s">
        <v>71</v>
      </c>
      <c r="N6" s="71">
        <f>COUNTIFS(C6:C100,"Placed")</f>
        <v>53</v>
      </c>
      <c r="P6" s="20" t="s">
        <v>145</v>
      </c>
      <c r="Q6" s="75">
        <f>N8/SQRT(N6)</f>
        <v>11.879737349258281</v>
      </c>
      <c r="S6" s="120" t="s">
        <v>335</v>
      </c>
      <c r="U6" s="92" t="s">
        <v>310</v>
      </c>
      <c r="V6" t="s">
        <v>311</v>
      </c>
    </row>
    <row r="7" spans="2:22" x14ac:dyDescent="0.2">
      <c r="B7" s="8">
        <v>410</v>
      </c>
      <c r="C7" s="8" t="s">
        <v>14</v>
      </c>
      <c r="E7" s="20" t="s">
        <v>195</v>
      </c>
      <c r="F7" s="89" t="s">
        <v>196</v>
      </c>
      <c r="G7" s="89" t="s">
        <v>209</v>
      </c>
      <c r="H7" s="90">
        <v>300</v>
      </c>
      <c r="J7" s="20"/>
      <c r="K7" s="1"/>
      <c r="M7" s="20" t="s">
        <v>46</v>
      </c>
      <c r="N7" s="72">
        <f>AVERAGEIFS($B$6:$B$100,$C$6:$C$100,"Placed")</f>
        <v>320.52830188679246</v>
      </c>
      <c r="P7" s="20" t="s">
        <v>201</v>
      </c>
      <c r="Q7" s="91">
        <f>(N7-H6)/Q6</f>
        <v>1.728009743251955</v>
      </c>
      <c r="S7" s="120"/>
    </row>
    <row r="8" spans="2:22" x14ac:dyDescent="0.2">
      <c r="B8" s="8">
        <v>119</v>
      </c>
      <c r="C8" s="8" t="s">
        <v>13</v>
      </c>
      <c r="E8" s="20"/>
      <c r="F8" s="36"/>
      <c r="G8" s="36"/>
      <c r="H8" s="36"/>
      <c r="M8" s="20" t="s">
        <v>70</v>
      </c>
      <c r="N8" s="75" cm="1">
        <f t="array" ref="N8">_xlfn.STDEV.S(IF($C$6:$C$100="Placed",B6:B100))</f>
        <v>86.485793358390339</v>
      </c>
      <c r="P8" s="20" t="s">
        <v>206</v>
      </c>
      <c r="Q8" s="70">
        <f>_xlfn.T.DIST.RT(Q7,N6)</f>
        <v>4.4904773165032809E-2</v>
      </c>
      <c r="S8" s="120"/>
    </row>
    <row r="9" spans="2:22" x14ac:dyDescent="0.2">
      <c r="B9" s="8">
        <v>334</v>
      </c>
      <c r="C9" s="8" t="s">
        <v>14</v>
      </c>
      <c r="E9" s="20"/>
      <c r="F9" s="37"/>
      <c r="G9" s="37"/>
      <c r="H9" s="37"/>
      <c r="S9" s="120"/>
    </row>
    <row r="10" spans="2:22" x14ac:dyDescent="0.2">
      <c r="B10" s="8">
        <v>252</v>
      </c>
      <c r="C10" s="8" t="s">
        <v>14</v>
      </c>
      <c r="E10" s="20"/>
      <c r="F10" s="22"/>
      <c r="G10" s="22"/>
      <c r="H10" s="22"/>
      <c r="S10" s="120"/>
    </row>
    <row r="11" spans="2:22" x14ac:dyDescent="0.2">
      <c r="B11" s="8">
        <v>209</v>
      </c>
      <c r="C11" s="8" t="s">
        <v>14</v>
      </c>
      <c r="E11" s="20"/>
      <c r="F11" s="22"/>
      <c r="G11" s="22"/>
      <c r="H11" s="22"/>
      <c r="S11" s="120"/>
    </row>
    <row r="12" spans="2:22" x14ac:dyDescent="0.2">
      <c r="B12" s="8">
        <v>462</v>
      </c>
      <c r="C12" s="8" t="s">
        <v>13</v>
      </c>
    </row>
    <row r="13" spans="2:22" x14ac:dyDescent="0.2">
      <c r="B13" s="8">
        <v>342</v>
      </c>
      <c r="C13" s="8" t="s">
        <v>13</v>
      </c>
    </row>
    <row r="14" spans="2:22" x14ac:dyDescent="0.2">
      <c r="B14" s="8">
        <v>347</v>
      </c>
      <c r="C14" s="8" t="s">
        <v>13</v>
      </c>
    </row>
    <row r="15" spans="2:22" x14ac:dyDescent="0.2">
      <c r="B15" s="8">
        <v>313</v>
      </c>
      <c r="C15" s="8" t="s">
        <v>13</v>
      </c>
    </row>
    <row r="16" spans="2:22" x14ac:dyDescent="0.2">
      <c r="B16" s="8">
        <v>232</v>
      </c>
      <c r="C16" s="8" t="s">
        <v>14</v>
      </c>
    </row>
    <row r="17" spans="2:3" x14ac:dyDescent="0.2">
      <c r="B17" s="8">
        <v>163</v>
      </c>
      <c r="C17" s="8" t="s">
        <v>13</v>
      </c>
    </row>
    <row r="18" spans="2:3" x14ac:dyDescent="0.2">
      <c r="B18" s="8">
        <v>119</v>
      </c>
      <c r="C18" s="8" t="s">
        <v>14</v>
      </c>
    </row>
    <row r="19" spans="2:3" x14ac:dyDescent="0.2">
      <c r="B19" s="8">
        <v>304</v>
      </c>
      <c r="C19" s="8" t="s">
        <v>13</v>
      </c>
    </row>
    <row r="20" spans="2:3" x14ac:dyDescent="0.2">
      <c r="B20" s="8">
        <v>211</v>
      </c>
      <c r="C20" s="8" t="s">
        <v>13</v>
      </c>
    </row>
    <row r="21" spans="2:3" x14ac:dyDescent="0.2">
      <c r="B21" s="8">
        <v>286</v>
      </c>
      <c r="C21" s="8" t="s">
        <v>13</v>
      </c>
    </row>
    <row r="22" spans="2:3" x14ac:dyDescent="0.2">
      <c r="B22" s="8">
        <v>122</v>
      </c>
      <c r="C22" s="8" t="s">
        <v>14</v>
      </c>
    </row>
    <row r="23" spans="2:3" x14ac:dyDescent="0.2">
      <c r="B23" s="8">
        <v>443</v>
      </c>
      <c r="C23" s="8" t="s">
        <v>13</v>
      </c>
    </row>
    <row r="24" spans="2:3" x14ac:dyDescent="0.2">
      <c r="B24" s="8">
        <v>366</v>
      </c>
      <c r="C24" s="8" t="s">
        <v>14</v>
      </c>
    </row>
    <row r="25" spans="2:3" x14ac:dyDescent="0.2">
      <c r="B25" s="8">
        <v>244</v>
      </c>
      <c r="C25" s="8" t="s">
        <v>14</v>
      </c>
    </row>
    <row r="26" spans="2:3" x14ac:dyDescent="0.2">
      <c r="B26" s="8">
        <v>241</v>
      </c>
      <c r="C26" s="8" t="s">
        <v>14</v>
      </c>
    </row>
    <row r="27" spans="2:3" x14ac:dyDescent="0.2">
      <c r="B27" s="8">
        <v>237</v>
      </c>
      <c r="C27" s="8" t="s">
        <v>13</v>
      </c>
    </row>
    <row r="28" spans="2:3" x14ac:dyDescent="0.2">
      <c r="B28" s="8">
        <v>122</v>
      </c>
      <c r="C28" s="8" t="s">
        <v>14</v>
      </c>
    </row>
    <row r="29" spans="2:3" x14ac:dyDescent="0.2">
      <c r="B29" s="8">
        <v>129</v>
      </c>
      <c r="C29" s="8" t="s">
        <v>14</v>
      </c>
    </row>
    <row r="30" spans="2:3" x14ac:dyDescent="0.2">
      <c r="B30" s="8">
        <v>236</v>
      </c>
      <c r="C30" s="8" t="s">
        <v>13</v>
      </c>
    </row>
    <row r="31" spans="2:3" x14ac:dyDescent="0.2">
      <c r="B31" s="8">
        <v>251</v>
      </c>
      <c r="C31" s="8" t="s">
        <v>13</v>
      </c>
    </row>
    <row r="32" spans="2:3" x14ac:dyDescent="0.2">
      <c r="B32" s="8">
        <v>283</v>
      </c>
      <c r="C32" s="8" t="s">
        <v>13</v>
      </c>
    </row>
    <row r="33" spans="2:3" x14ac:dyDescent="0.2">
      <c r="B33" s="8">
        <v>225</v>
      </c>
      <c r="C33" s="8" t="s">
        <v>14</v>
      </c>
    </row>
    <row r="34" spans="2:3" x14ac:dyDescent="0.2">
      <c r="B34" s="8">
        <v>102</v>
      </c>
      <c r="C34" s="8" t="s">
        <v>14</v>
      </c>
    </row>
    <row r="35" spans="2:3" x14ac:dyDescent="0.2">
      <c r="B35" s="8">
        <v>180</v>
      </c>
      <c r="C35" s="8" t="s">
        <v>13</v>
      </c>
    </row>
    <row r="36" spans="2:3" x14ac:dyDescent="0.2">
      <c r="B36" s="8">
        <v>247</v>
      </c>
      <c r="C36" s="8" t="s">
        <v>14</v>
      </c>
    </row>
    <row r="37" spans="2:3" x14ac:dyDescent="0.2">
      <c r="B37" s="8">
        <v>343</v>
      </c>
      <c r="C37" s="8" t="s">
        <v>14</v>
      </c>
    </row>
    <row r="38" spans="2:3" x14ac:dyDescent="0.2">
      <c r="B38" s="8">
        <v>283</v>
      </c>
      <c r="C38" s="8" t="s">
        <v>14</v>
      </c>
    </row>
    <row r="39" spans="2:3" x14ac:dyDescent="0.2">
      <c r="B39" s="8">
        <v>253</v>
      </c>
      <c r="C39" s="8" t="s">
        <v>13</v>
      </c>
    </row>
    <row r="40" spans="2:3" x14ac:dyDescent="0.2">
      <c r="B40" s="8">
        <v>263</v>
      </c>
      <c r="C40" s="8" t="s">
        <v>14</v>
      </c>
    </row>
    <row r="41" spans="2:3" x14ac:dyDescent="0.2">
      <c r="B41" s="8">
        <v>291</v>
      </c>
      <c r="C41" s="8" t="s">
        <v>13</v>
      </c>
    </row>
    <row r="42" spans="2:3" x14ac:dyDescent="0.2">
      <c r="B42" s="8">
        <v>368</v>
      </c>
      <c r="C42" s="8" t="s">
        <v>13</v>
      </c>
    </row>
    <row r="43" spans="2:3" x14ac:dyDescent="0.2">
      <c r="B43" s="8">
        <v>206</v>
      </c>
      <c r="C43" s="8" t="s">
        <v>14</v>
      </c>
    </row>
    <row r="44" spans="2:3" x14ac:dyDescent="0.2">
      <c r="B44" s="8">
        <v>231</v>
      </c>
      <c r="C44" s="8" t="s">
        <v>14</v>
      </c>
    </row>
    <row r="45" spans="2:3" x14ac:dyDescent="0.2">
      <c r="B45" s="8">
        <v>389</v>
      </c>
      <c r="C45" s="8" t="s">
        <v>14</v>
      </c>
    </row>
    <row r="46" spans="2:3" x14ac:dyDescent="0.2">
      <c r="B46" s="8">
        <v>396</v>
      </c>
      <c r="C46" s="8" t="s">
        <v>13</v>
      </c>
    </row>
    <row r="47" spans="2:3" x14ac:dyDescent="0.2">
      <c r="B47" s="8">
        <v>339</v>
      </c>
      <c r="C47" s="8" t="s">
        <v>13</v>
      </c>
    </row>
    <row r="48" spans="2:3" x14ac:dyDescent="0.2">
      <c r="B48" s="8">
        <v>286</v>
      </c>
      <c r="C48" s="8" t="s">
        <v>13</v>
      </c>
    </row>
    <row r="49" spans="2:3" x14ac:dyDescent="0.2">
      <c r="B49" s="8">
        <v>146</v>
      </c>
      <c r="C49" s="8" t="s">
        <v>14</v>
      </c>
    </row>
    <row r="50" spans="2:3" x14ac:dyDescent="0.2">
      <c r="B50" s="8">
        <v>315</v>
      </c>
      <c r="C50" s="8" t="s">
        <v>13</v>
      </c>
    </row>
    <row r="51" spans="2:3" x14ac:dyDescent="0.2">
      <c r="B51" s="8">
        <v>183</v>
      </c>
      <c r="C51" s="8" t="s">
        <v>14</v>
      </c>
    </row>
    <row r="52" spans="2:3" x14ac:dyDescent="0.2">
      <c r="B52" s="8">
        <v>481</v>
      </c>
      <c r="C52" s="8" t="s">
        <v>13</v>
      </c>
    </row>
    <row r="53" spans="2:3" x14ac:dyDescent="0.2">
      <c r="B53" s="8">
        <v>349</v>
      </c>
      <c r="C53" s="8" t="s">
        <v>14</v>
      </c>
    </row>
    <row r="54" spans="2:3" x14ac:dyDescent="0.2">
      <c r="B54" s="8">
        <v>225</v>
      </c>
      <c r="C54" s="8" t="s">
        <v>13</v>
      </c>
    </row>
    <row r="55" spans="2:3" x14ac:dyDescent="0.2">
      <c r="B55" s="8">
        <v>217</v>
      </c>
      <c r="C55" s="8" t="s">
        <v>13</v>
      </c>
    </row>
    <row r="56" spans="2:3" x14ac:dyDescent="0.2">
      <c r="B56" s="8">
        <v>353</v>
      </c>
      <c r="C56" s="8" t="s">
        <v>13</v>
      </c>
    </row>
    <row r="57" spans="2:3" x14ac:dyDescent="0.2">
      <c r="B57" s="8">
        <v>314</v>
      </c>
      <c r="C57" s="8" t="s">
        <v>14</v>
      </c>
    </row>
    <row r="58" spans="2:3" x14ac:dyDescent="0.2">
      <c r="B58" s="8">
        <v>247</v>
      </c>
      <c r="C58" s="8" t="s">
        <v>13</v>
      </c>
    </row>
    <row r="59" spans="2:3" x14ac:dyDescent="0.2">
      <c r="B59" s="8">
        <v>410</v>
      </c>
      <c r="C59" s="8" t="s">
        <v>13</v>
      </c>
    </row>
    <row r="60" spans="2:3" x14ac:dyDescent="0.2">
      <c r="B60" s="8">
        <v>395</v>
      </c>
      <c r="C60" s="8" t="s">
        <v>13</v>
      </c>
    </row>
    <row r="61" spans="2:3" x14ac:dyDescent="0.2">
      <c r="B61" s="8">
        <v>416</v>
      </c>
      <c r="C61" s="8" t="s">
        <v>13</v>
      </c>
    </row>
    <row r="62" spans="2:3" x14ac:dyDescent="0.2">
      <c r="B62" s="8">
        <v>342</v>
      </c>
      <c r="C62" s="8" t="s">
        <v>13</v>
      </c>
    </row>
    <row r="63" spans="2:3" x14ac:dyDescent="0.2">
      <c r="B63" s="8">
        <v>446</v>
      </c>
      <c r="C63" s="8" t="s">
        <v>13</v>
      </c>
    </row>
    <row r="64" spans="2:3" x14ac:dyDescent="0.2">
      <c r="B64" s="8">
        <v>477</v>
      </c>
      <c r="C64" s="8" t="s">
        <v>13</v>
      </c>
    </row>
    <row r="65" spans="2:3" x14ac:dyDescent="0.2">
      <c r="B65" s="8">
        <v>444</v>
      </c>
      <c r="C65" s="8" t="s">
        <v>13</v>
      </c>
    </row>
    <row r="66" spans="2:3" x14ac:dyDescent="0.2">
      <c r="B66" s="8">
        <v>351</v>
      </c>
      <c r="C66" s="8" t="s">
        <v>13</v>
      </c>
    </row>
    <row r="67" spans="2:3" x14ac:dyDescent="0.2">
      <c r="B67" s="8">
        <v>165</v>
      </c>
      <c r="C67" s="8" t="s">
        <v>14</v>
      </c>
    </row>
    <row r="68" spans="2:3" x14ac:dyDescent="0.2">
      <c r="B68" s="8">
        <v>317</v>
      </c>
      <c r="C68" s="8" t="s">
        <v>13</v>
      </c>
    </row>
    <row r="69" spans="2:3" x14ac:dyDescent="0.2">
      <c r="B69" s="8">
        <v>250</v>
      </c>
      <c r="C69" s="8" t="s">
        <v>13</v>
      </c>
    </row>
    <row r="70" spans="2:3" x14ac:dyDescent="0.2">
      <c r="B70" s="8">
        <v>217</v>
      </c>
      <c r="C70" s="8" t="s">
        <v>14</v>
      </c>
    </row>
    <row r="71" spans="2:3" x14ac:dyDescent="0.2">
      <c r="B71" s="8">
        <v>138</v>
      </c>
      <c r="C71" s="8" t="s">
        <v>14</v>
      </c>
    </row>
    <row r="72" spans="2:3" x14ac:dyDescent="0.2">
      <c r="B72" s="8">
        <v>302</v>
      </c>
      <c r="C72" s="8" t="s">
        <v>13</v>
      </c>
    </row>
    <row r="73" spans="2:3" x14ac:dyDescent="0.2">
      <c r="B73" s="8">
        <v>311</v>
      </c>
      <c r="C73" s="8" t="s">
        <v>14</v>
      </c>
    </row>
    <row r="74" spans="2:3" x14ac:dyDescent="0.2">
      <c r="B74" s="8">
        <v>373</v>
      </c>
      <c r="C74" s="8" t="s">
        <v>13</v>
      </c>
    </row>
    <row r="75" spans="2:3" x14ac:dyDescent="0.2">
      <c r="B75" s="8">
        <v>196</v>
      </c>
      <c r="C75" s="8" t="s">
        <v>14</v>
      </c>
    </row>
    <row r="76" spans="2:3" x14ac:dyDescent="0.2">
      <c r="B76" s="8">
        <v>306</v>
      </c>
      <c r="C76" s="8" t="s">
        <v>13</v>
      </c>
    </row>
    <row r="77" spans="2:3" x14ac:dyDescent="0.2">
      <c r="B77" s="8">
        <v>302</v>
      </c>
      <c r="C77" s="8" t="s">
        <v>14</v>
      </c>
    </row>
    <row r="78" spans="2:3" x14ac:dyDescent="0.2">
      <c r="B78" s="8">
        <v>278</v>
      </c>
      <c r="C78" s="8" t="s">
        <v>14</v>
      </c>
    </row>
    <row r="79" spans="2:3" x14ac:dyDescent="0.2">
      <c r="B79" s="8">
        <v>429</v>
      </c>
      <c r="C79" s="8" t="s">
        <v>14</v>
      </c>
    </row>
    <row r="80" spans="2:3" x14ac:dyDescent="0.2">
      <c r="B80" s="8">
        <v>338</v>
      </c>
      <c r="C80" s="8" t="s">
        <v>13</v>
      </c>
    </row>
    <row r="81" spans="2:3" x14ac:dyDescent="0.2">
      <c r="B81" s="8">
        <v>261</v>
      </c>
      <c r="C81" s="8" t="s">
        <v>14</v>
      </c>
    </row>
    <row r="82" spans="2:3" x14ac:dyDescent="0.2">
      <c r="B82" s="8">
        <v>256</v>
      </c>
      <c r="C82" s="8" t="s">
        <v>14</v>
      </c>
    </row>
    <row r="83" spans="2:3" x14ac:dyDescent="0.2">
      <c r="B83" s="8">
        <v>183</v>
      </c>
      <c r="C83" s="8" t="s">
        <v>13</v>
      </c>
    </row>
    <row r="84" spans="2:3" x14ac:dyDescent="0.2">
      <c r="B84" s="8">
        <v>274</v>
      </c>
      <c r="C84" s="8" t="s">
        <v>13</v>
      </c>
    </row>
    <row r="85" spans="2:3" x14ac:dyDescent="0.2">
      <c r="B85" s="8">
        <v>182</v>
      </c>
      <c r="C85" s="8" t="s">
        <v>14</v>
      </c>
    </row>
    <row r="86" spans="2:3" x14ac:dyDescent="0.2">
      <c r="B86" s="8">
        <v>183</v>
      </c>
      <c r="C86" s="8" t="s">
        <v>14</v>
      </c>
    </row>
    <row r="87" spans="2:3" x14ac:dyDescent="0.2">
      <c r="B87" s="8">
        <v>309</v>
      </c>
      <c r="C87" s="8" t="s">
        <v>13</v>
      </c>
    </row>
    <row r="88" spans="2:3" x14ac:dyDescent="0.2">
      <c r="B88" s="8">
        <v>178</v>
      </c>
      <c r="C88" s="8" t="s">
        <v>14</v>
      </c>
    </row>
    <row r="89" spans="2:3" x14ac:dyDescent="0.2">
      <c r="B89" s="8">
        <v>458</v>
      </c>
      <c r="C89" s="8" t="s">
        <v>13</v>
      </c>
    </row>
    <row r="90" spans="2:3" x14ac:dyDescent="0.2">
      <c r="B90" s="8">
        <v>234</v>
      </c>
      <c r="C90" s="8" t="s">
        <v>13</v>
      </c>
    </row>
    <row r="91" spans="2:3" x14ac:dyDescent="0.2">
      <c r="B91" s="8">
        <v>306</v>
      </c>
      <c r="C91" s="8" t="s">
        <v>13</v>
      </c>
    </row>
    <row r="92" spans="2:3" x14ac:dyDescent="0.2">
      <c r="B92" s="8">
        <v>400</v>
      </c>
      <c r="C92" s="8" t="s">
        <v>13</v>
      </c>
    </row>
    <row r="93" spans="2:3" x14ac:dyDescent="0.2">
      <c r="B93" s="8">
        <v>337</v>
      </c>
      <c r="C93" s="8" t="s">
        <v>14</v>
      </c>
    </row>
    <row r="94" spans="2:3" x14ac:dyDescent="0.2">
      <c r="B94" s="8">
        <v>325</v>
      </c>
      <c r="C94" s="8" t="s">
        <v>13</v>
      </c>
    </row>
    <row r="95" spans="2:3" x14ac:dyDescent="0.2">
      <c r="B95" s="8">
        <v>329</v>
      </c>
      <c r="C95" s="8" t="s">
        <v>14</v>
      </c>
    </row>
    <row r="96" spans="2:3" x14ac:dyDescent="0.2">
      <c r="B96" s="8">
        <v>369</v>
      </c>
      <c r="C96" s="8" t="s">
        <v>13</v>
      </c>
    </row>
    <row r="97" spans="2:3" x14ac:dyDescent="0.2">
      <c r="B97" s="8">
        <v>457</v>
      </c>
      <c r="C97" s="8" t="s">
        <v>13</v>
      </c>
    </row>
    <row r="98" spans="2:3" x14ac:dyDescent="0.2">
      <c r="B98" s="8">
        <v>421</v>
      </c>
      <c r="C98" s="8" t="s">
        <v>14</v>
      </c>
    </row>
    <row r="99" spans="2:3" x14ac:dyDescent="0.2">
      <c r="B99" s="8">
        <v>282</v>
      </c>
      <c r="C99" s="8" t="s">
        <v>13</v>
      </c>
    </row>
    <row r="100" spans="2:3" x14ac:dyDescent="0.2">
      <c r="B100" s="8">
        <v>256</v>
      </c>
      <c r="C100" s="8" t="s">
        <v>14</v>
      </c>
    </row>
  </sheetData>
  <mergeCells count="5">
    <mergeCell ref="M5:N5"/>
    <mergeCell ref="E5:H5"/>
    <mergeCell ref="J5:K5"/>
    <mergeCell ref="P5:Q5"/>
    <mergeCell ref="S6:S11"/>
  </mergeCells>
  <dataValidations count="2">
    <dataValidation type="list" allowBlank="1" showInputMessage="1" showErrorMessage="1" sqref="G6" xr:uid="{0EA8714A-0B9D-4055-A7A6-5F99DE8281F8}">
      <formula1>$U$5:$U$6</formula1>
    </dataValidation>
    <dataValidation type="list" allowBlank="1" showInputMessage="1" showErrorMessage="1" sqref="G7" xr:uid="{D9F0612E-42D0-4244-A7B0-66921AECED67}">
      <formula1>$V$5:$V$6</formula1>
    </dataValidation>
  </dataValidations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5303-E801-47D0-B7E5-F40CA5CE77A8}">
  <sheetPr codeName="Sheet45">
    <tabColor theme="7" tint="0.59999389629810485"/>
  </sheetPr>
  <dimension ref="B1:V58"/>
  <sheetViews>
    <sheetView showGridLines="0" workbookViewId="0">
      <selection activeCell="P6" sqref="P6"/>
    </sheetView>
  </sheetViews>
  <sheetFormatPr baseColWidth="10" defaultColWidth="8.83203125" defaultRowHeight="15" x14ac:dyDescent="0.2"/>
  <cols>
    <col min="1" max="1" width="2.83203125" customWidth="1"/>
    <col min="2" max="2" width="13.1640625" bestFit="1" customWidth="1"/>
    <col min="4" max="4" width="13.5" customWidth="1"/>
    <col min="5" max="5" width="11.5" customWidth="1"/>
    <col min="7" max="7" width="6.5" customWidth="1"/>
    <col min="8" max="9" width="2.83203125" customWidth="1"/>
    <col min="10" max="10" width="9.1640625" bestFit="1" customWidth="1"/>
    <col min="12" max="12" width="11.5" customWidth="1"/>
    <col min="15" max="15" width="15.6640625" bestFit="1" customWidth="1"/>
    <col min="16" max="16" width="10.1640625" bestFit="1" customWidth="1"/>
    <col min="18" max="18" width="60.6640625" customWidth="1"/>
    <col min="21" max="22" width="9.1640625" hidden="1" customWidth="1"/>
  </cols>
  <sheetData>
    <row r="1" spans="2:22" ht="25.5" customHeight="1" x14ac:dyDescent="0.25">
      <c r="B1" s="18" t="s">
        <v>213</v>
      </c>
    </row>
    <row r="2" spans="2:22" ht="15" customHeight="1" x14ac:dyDescent="0.2">
      <c r="B2" s="30" t="s">
        <v>210</v>
      </c>
    </row>
    <row r="3" spans="2:22" ht="18" customHeight="1" x14ac:dyDescent="0.2"/>
    <row r="4" spans="2:22" x14ac:dyDescent="0.2">
      <c r="D4" s="3" t="s">
        <v>54</v>
      </c>
      <c r="G4" s="3"/>
      <c r="O4" s="3" t="s">
        <v>54</v>
      </c>
    </row>
    <row r="5" spans="2:22" x14ac:dyDescent="0.2">
      <c r="B5" s="7" t="s">
        <v>35</v>
      </c>
      <c r="D5" s="116" t="s">
        <v>138</v>
      </c>
      <c r="E5" s="116"/>
      <c r="G5" s="118" t="s">
        <v>198</v>
      </c>
      <c r="H5" s="118"/>
      <c r="I5" s="118"/>
      <c r="J5" s="118"/>
      <c r="L5" s="118" t="s">
        <v>200</v>
      </c>
      <c r="M5" s="118"/>
      <c r="O5" s="116" t="s">
        <v>203</v>
      </c>
      <c r="P5" s="116"/>
      <c r="R5" s="50" t="s">
        <v>202</v>
      </c>
      <c r="U5" t="s">
        <v>197</v>
      </c>
      <c r="V5" s="92" t="s">
        <v>199</v>
      </c>
    </row>
    <row r="6" spans="2:22" x14ac:dyDescent="0.2">
      <c r="B6" s="53">
        <v>111000</v>
      </c>
      <c r="D6" s="20" t="s">
        <v>71</v>
      </c>
      <c r="E6" s="71">
        <f>COUNT(B6:B58)</f>
        <v>53</v>
      </c>
      <c r="G6" s="20" t="s">
        <v>194</v>
      </c>
      <c r="H6" s="89" t="s">
        <v>212</v>
      </c>
      <c r="I6" s="89" t="s">
        <v>208</v>
      </c>
      <c r="J6" s="108">
        <v>0.5</v>
      </c>
      <c r="L6" s="20" t="s">
        <v>142</v>
      </c>
      <c r="M6" s="71">
        <v>0.05</v>
      </c>
      <c r="O6" s="20" t="s">
        <v>145</v>
      </c>
      <c r="P6" s="93">
        <f>SQRT(E7*E8/E6)</f>
        <v>6.5872243431592162E-2</v>
      </c>
      <c r="R6" s="119" t="s">
        <v>336</v>
      </c>
      <c r="U6" t="s">
        <v>208</v>
      </c>
      <c r="V6" s="92" t="s">
        <v>209</v>
      </c>
    </row>
    <row r="7" spans="2:22" x14ac:dyDescent="0.2">
      <c r="B7" s="53">
        <v>107000</v>
      </c>
      <c r="D7" s="20" t="s">
        <v>157</v>
      </c>
      <c r="E7" s="87">
        <f>COUNTIFS(B6:B58,"&gt;="&amp;100000)/E6</f>
        <v>0.64150943396226412</v>
      </c>
      <c r="G7" s="20" t="s">
        <v>195</v>
      </c>
      <c r="H7" s="89" t="s">
        <v>212</v>
      </c>
      <c r="I7" s="89" t="s">
        <v>209</v>
      </c>
      <c r="J7" s="108">
        <v>0.5</v>
      </c>
      <c r="L7" s="20"/>
      <c r="M7" s="1"/>
      <c r="O7" s="20" t="s">
        <v>211</v>
      </c>
      <c r="P7" s="91">
        <f>(E7-J6)/P6</f>
        <v>2.14824069426481</v>
      </c>
      <c r="R7" s="119"/>
      <c r="U7" t="s">
        <v>310</v>
      </c>
      <c r="V7" t="s">
        <v>311</v>
      </c>
    </row>
    <row r="8" spans="2:22" x14ac:dyDescent="0.2">
      <c r="B8" s="53">
        <v>109000</v>
      </c>
      <c r="D8" s="20" t="s">
        <v>158</v>
      </c>
      <c r="E8" s="87">
        <f>1-E7</f>
        <v>0.35849056603773588</v>
      </c>
      <c r="G8" s="20"/>
      <c r="H8" s="36"/>
      <c r="I8" s="36"/>
      <c r="J8" s="36"/>
      <c r="O8" s="20" t="s">
        <v>206</v>
      </c>
      <c r="P8" s="70">
        <f>1-_xlfn.NORM.S.DIST(P7,TRUE)</f>
        <v>1.5847319730759257E-2</v>
      </c>
      <c r="R8" s="119"/>
    </row>
    <row r="9" spans="2:22" x14ac:dyDescent="0.2">
      <c r="B9" s="53">
        <v>148000</v>
      </c>
      <c r="G9" s="20"/>
      <c r="H9" s="37"/>
      <c r="I9" s="37"/>
      <c r="J9" s="37"/>
      <c r="R9" s="119"/>
    </row>
    <row r="10" spans="2:22" x14ac:dyDescent="0.2">
      <c r="B10" s="53">
        <v>255500</v>
      </c>
      <c r="D10" s="116" t="s">
        <v>162</v>
      </c>
      <c r="E10" s="116"/>
      <c r="G10" s="20"/>
      <c r="H10" s="22"/>
      <c r="I10" s="22"/>
      <c r="J10" s="22"/>
      <c r="R10" s="119"/>
    </row>
    <row r="11" spans="2:22" x14ac:dyDescent="0.2">
      <c r="B11" s="53">
        <v>103500</v>
      </c>
      <c r="D11" s="20" t="s">
        <v>163</v>
      </c>
      <c r="E11" s="71">
        <f>E7*E6</f>
        <v>34</v>
      </c>
      <c r="G11" s="20"/>
      <c r="H11" s="22"/>
      <c r="I11" s="22"/>
      <c r="J11" s="22"/>
      <c r="R11" s="119"/>
    </row>
    <row r="12" spans="2:22" x14ac:dyDescent="0.2">
      <c r="B12" s="53">
        <v>114500</v>
      </c>
      <c r="D12" s="20" t="s">
        <v>164</v>
      </c>
      <c r="E12" s="71">
        <f>E8*E6</f>
        <v>19</v>
      </c>
    </row>
    <row r="13" spans="2:22" x14ac:dyDescent="0.2">
      <c r="B13" s="53">
        <v>124000</v>
      </c>
    </row>
    <row r="14" spans="2:22" x14ac:dyDescent="0.2">
      <c r="B14" s="53">
        <v>132500</v>
      </c>
    </row>
    <row r="15" spans="2:22" x14ac:dyDescent="0.2">
      <c r="B15" s="53">
        <v>99000</v>
      </c>
    </row>
    <row r="16" spans="2:22" x14ac:dyDescent="0.2">
      <c r="B16" s="53">
        <v>124000</v>
      </c>
    </row>
    <row r="17" spans="2:2" x14ac:dyDescent="0.2">
      <c r="B17" s="53">
        <v>82000</v>
      </c>
    </row>
    <row r="18" spans="2:2" x14ac:dyDescent="0.2">
      <c r="B18" s="53">
        <v>185000</v>
      </c>
    </row>
    <row r="19" spans="2:2" x14ac:dyDescent="0.2">
      <c r="B19" s="53">
        <v>89500</v>
      </c>
    </row>
    <row r="20" spans="2:2" x14ac:dyDescent="0.2">
      <c r="B20" s="53">
        <v>91500</v>
      </c>
    </row>
    <row r="21" spans="2:2" x14ac:dyDescent="0.2">
      <c r="B21" s="53">
        <v>113500</v>
      </c>
    </row>
    <row r="22" spans="2:2" x14ac:dyDescent="0.2">
      <c r="B22" s="53">
        <v>99000</v>
      </c>
    </row>
    <row r="23" spans="2:2" x14ac:dyDescent="0.2">
      <c r="B23" s="53">
        <v>75500</v>
      </c>
    </row>
    <row r="24" spans="2:2" x14ac:dyDescent="0.2">
      <c r="B24" s="53">
        <v>86000</v>
      </c>
    </row>
    <row r="25" spans="2:2" x14ac:dyDescent="0.2">
      <c r="B25" s="53">
        <v>156500</v>
      </c>
    </row>
    <row r="26" spans="2:2" x14ac:dyDescent="0.2">
      <c r="B26" s="53">
        <v>99500</v>
      </c>
    </row>
    <row r="27" spans="2:2" x14ac:dyDescent="0.2">
      <c r="B27" s="53">
        <v>148000</v>
      </c>
    </row>
    <row r="28" spans="2:2" x14ac:dyDescent="0.2">
      <c r="B28" s="53">
        <v>82000</v>
      </c>
    </row>
    <row r="29" spans="2:2" x14ac:dyDescent="0.2">
      <c r="B29" s="53">
        <v>103500</v>
      </c>
    </row>
    <row r="30" spans="2:2" x14ac:dyDescent="0.2">
      <c r="B30" s="53">
        <v>205500</v>
      </c>
    </row>
    <row r="31" spans="2:2" x14ac:dyDescent="0.2">
      <c r="B31" s="53">
        <v>103500</v>
      </c>
    </row>
    <row r="32" spans="2:2" x14ac:dyDescent="0.2">
      <c r="B32" s="53">
        <v>340000</v>
      </c>
    </row>
    <row r="33" spans="2:2" x14ac:dyDescent="0.2">
      <c r="B33" s="53">
        <v>103500</v>
      </c>
    </row>
    <row r="34" spans="2:2" x14ac:dyDescent="0.2">
      <c r="B34" s="53">
        <v>99500</v>
      </c>
    </row>
    <row r="35" spans="2:2" x14ac:dyDescent="0.2">
      <c r="B35" s="53">
        <v>103000</v>
      </c>
    </row>
    <row r="36" spans="2:2" x14ac:dyDescent="0.2">
      <c r="B36" s="53">
        <v>103500</v>
      </c>
    </row>
    <row r="37" spans="2:2" x14ac:dyDescent="0.2">
      <c r="B37" s="53">
        <v>165000</v>
      </c>
    </row>
    <row r="38" spans="2:2" x14ac:dyDescent="0.2">
      <c r="B38" s="53">
        <v>124500</v>
      </c>
    </row>
    <row r="39" spans="2:2" x14ac:dyDescent="0.2">
      <c r="B39" s="53">
        <v>103500</v>
      </c>
    </row>
    <row r="40" spans="2:2" x14ac:dyDescent="0.2">
      <c r="B40" s="53">
        <v>82500</v>
      </c>
    </row>
    <row r="41" spans="2:2" x14ac:dyDescent="0.2">
      <c r="B41" s="53">
        <v>93000</v>
      </c>
    </row>
    <row r="42" spans="2:2" x14ac:dyDescent="0.2">
      <c r="B42" s="53">
        <v>168000</v>
      </c>
    </row>
    <row r="43" spans="2:2" x14ac:dyDescent="0.2">
      <c r="B43" s="53">
        <v>96000</v>
      </c>
    </row>
    <row r="44" spans="2:2" x14ac:dyDescent="0.2">
      <c r="B44" s="53">
        <v>80000</v>
      </c>
    </row>
    <row r="45" spans="2:2" x14ac:dyDescent="0.2">
      <c r="B45" s="53">
        <v>124500</v>
      </c>
    </row>
    <row r="46" spans="2:2" x14ac:dyDescent="0.2">
      <c r="B46" s="53">
        <v>99000</v>
      </c>
    </row>
    <row r="47" spans="2:2" x14ac:dyDescent="0.2">
      <c r="B47" s="53">
        <v>124000</v>
      </c>
    </row>
    <row r="48" spans="2:2" x14ac:dyDescent="0.2">
      <c r="B48" s="53">
        <v>91500</v>
      </c>
    </row>
    <row r="49" spans="2:2" x14ac:dyDescent="0.2">
      <c r="B49" s="53">
        <v>144500</v>
      </c>
    </row>
    <row r="50" spans="2:2" x14ac:dyDescent="0.2">
      <c r="B50" s="53">
        <v>114500</v>
      </c>
    </row>
    <row r="51" spans="2:2" x14ac:dyDescent="0.2">
      <c r="B51" s="53">
        <v>104500</v>
      </c>
    </row>
    <row r="52" spans="2:2" x14ac:dyDescent="0.2">
      <c r="B52" s="53">
        <v>124000</v>
      </c>
    </row>
    <row r="53" spans="2:2" x14ac:dyDescent="0.2">
      <c r="B53" s="53">
        <v>113000</v>
      </c>
    </row>
    <row r="54" spans="2:2" x14ac:dyDescent="0.2">
      <c r="B54" s="53">
        <v>78000</v>
      </c>
    </row>
    <row r="55" spans="2:2" x14ac:dyDescent="0.2">
      <c r="B55" s="53">
        <v>109000</v>
      </c>
    </row>
    <row r="56" spans="2:2" x14ac:dyDescent="0.2">
      <c r="B56" s="53">
        <v>99500</v>
      </c>
    </row>
    <row r="57" spans="2:2" x14ac:dyDescent="0.2">
      <c r="B57" s="53">
        <v>107000</v>
      </c>
    </row>
    <row r="58" spans="2:2" x14ac:dyDescent="0.2">
      <c r="B58" s="53">
        <v>84000</v>
      </c>
    </row>
  </sheetData>
  <mergeCells count="6">
    <mergeCell ref="D5:E5"/>
    <mergeCell ref="G5:J5"/>
    <mergeCell ref="L5:M5"/>
    <mergeCell ref="O5:P5"/>
    <mergeCell ref="R6:R11"/>
    <mergeCell ref="D10:E10"/>
  </mergeCells>
  <dataValidations count="2">
    <dataValidation type="list" allowBlank="1" showInputMessage="1" showErrorMessage="1" sqref="I6" xr:uid="{2D256431-193E-4E41-B852-380DAD55F07E}">
      <formula1>$U$5:$U$7</formula1>
    </dataValidation>
    <dataValidation type="list" allowBlank="1" showInputMessage="1" showErrorMessage="1" sqref="I7" xr:uid="{EE0B3F31-4628-407D-AE5C-832FA452A00F}">
      <formula1>$V$5:$V$7</formula1>
    </dataValidation>
  </dataValidations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BAFD-FDE3-4F5E-A143-E2DFD6E90F93}">
  <sheetPr codeName="Sheet46">
    <tabColor theme="7" tint="0.59999389629810485"/>
  </sheetPr>
  <dimension ref="B1:X100"/>
  <sheetViews>
    <sheetView showGridLines="0" topLeftCell="E1" workbookViewId="0">
      <selection activeCell="U6" sqref="U6:U11"/>
    </sheetView>
  </sheetViews>
  <sheetFormatPr baseColWidth="10" defaultColWidth="8.83203125" defaultRowHeight="15" x14ac:dyDescent="0.2"/>
  <cols>
    <col min="1" max="1" width="2.83203125" customWidth="1"/>
    <col min="2" max="2" width="11.5" customWidth="1"/>
    <col min="3" max="3" width="21.5" customWidth="1"/>
    <col min="4" max="4" width="20" customWidth="1"/>
    <col min="5" max="5" width="11.5" customWidth="1"/>
    <col min="7" max="7" width="6.5" customWidth="1"/>
    <col min="8" max="8" width="5.5" bestFit="1" customWidth="1"/>
    <col min="9" max="9" width="2.83203125" customWidth="1"/>
    <col min="12" max="12" width="11.5" customWidth="1"/>
    <col min="15" max="15" width="12.1640625" customWidth="1"/>
    <col min="16" max="16" width="11.5" customWidth="1"/>
    <col min="18" max="18" width="15.6640625" bestFit="1" customWidth="1"/>
    <col min="21" max="21" width="57.1640625" customWidth="1"/>
    <col min="23" max="24" width="0" hidden="1" customWidth="1"/>
  </cols>
  <sheetData>
    <row r="1" spans="2:24" ht="25.5" customHeight="1" x14ac:dyDescent="0.25">
      <c r="B1" s="18" t="s">
        <v>313</v>
      </c>
    </row>
    <row r="2" spans="2:24" ht="15" customHeight="1" x14ac:dyDescent="0.2">
      <c r="B2" s="30" t="s">
        <v>214</v>
      </c>
    </row>
    <row r="3" spans="2:24" ht="18" customHeight="1" x14ac:dyDescent="0.2"/>
    <row r="4" spans="2:24" x14ac:dyDescent="0.2">
      <c r="G4" s="3"/>
      <c r="O4" s="3" t="s">
        <v>54</v>
      </c>
      <c r="R4" s="3" t="s">
        <v>54</v>
      </c>
    </row>
    <row r="5" spans="2:24" x14ac:dyDescent="0.2">
      <c r="B5" s="40" t="s">
        <v>20</v>
      </c>
      <c r="C5" s="43" t="s">
        <v>22</v>
      </c>
      <c r="D5" s="43" t="s">
        <v>23</v>
      </c>
      <c r="E5" s="41" t="s">
        <v>171</v>
      </c>
      <c r="G5" s="118" t="s">
        <v>198</v>
      </c>
      <c r="H5" s="118"/>
      <c r="I5" s="118"/>
      <c r="J5" s="118"/>
      <c r="L5" s="118" t="s">
        <v>200</v>
      </c>
      <c r="M5" s="118"/>
      <c r="O5" s="116" t="s">
        <v>138</v>
      </c>
      <c r="P5" s="116"/>
      <c r="R5" s="116" t="s">
        <v>203</v>
      </c>
      <c r="S5" s="116"/>
      <c r="U5" s="50" t="s">
        <v>202</v>
      </c>
      <c r="W5" t="s">
        <v>197</v>
      </c>
      <c r="X5" s="92" t="s">
        <v>199</v>
      </c>
    </row>
    <row r="6" spans="2:24" ht="17" x14ac:dyDescent="0.25">
      <c r="B6" s="8">
        <v>1</v>
      </c>
      <c r="C6" s="8">
        <v>252</v>
      </c>
      <c r="D6" s="8">
        <v>276</v>
      </c>
      <c r="E6" s="8">
        <f>D6-C6</f>
        <v>24</v>
      </c>
      <c r="G6" s="20" t="s">
        <v>194</v>
      </c>
      <c r="H6" s="89" t="s">
        <v>215</v>
      </c>
      <c r="I6" s="89" t="s">
        <v>310</v>
      </c>
      <c r="J6" s="90">
        <v>50</v>
      </c>
      <c r="L6" s="20" t="s">
        <v>142</v>
      </c>
      <c r="M6" s="71">
        <f>1-0.98</f>
        <v>2.0000000000000018E-2</v>
      </c>
      <c r="O6" s="20" t="s">
        <v>71</v>
      </c>
      <c r="P6" s="71">
        <f>COUNT(E6:E100)</f>
        <v>95</v>
      </c>
      <c r="R6" s="20" t="s">
        <v>145</v>
      </c>
      <c r="S6" s="75">
        <f>P8/SQRT(P6)</f>
        <v>3.0425395986393706</v>
      </c>
      <c r="U6" s="119" t="s">
        <v>337</v>
      </c>
      <c r="W6" t="s">
        <v>208</v>
      </c>
      <c r="X6" s="92" t="s">
        <v>209</v>
      </c>
    </row>
    <row r="7" spans="2:24" ht="17" x14ac:dyDescent="0.25">
      <c r="B7" s="8">
        <v>2</v>
      </c>
      <c r="C7" s="8">
        <v>423</v>
      </c>
      <c r="D7" s="8">
        <v>410</v>
      </c>
      <c r="E7" s="8">
        <f t="shared" ref="E7:E70" si="0">D7-C7</f>
        <v>-13</v>
      </c>
      <c r="G7" s="20" t="s">
        <v>195</v>
      </c>
      <c r="H7" s="89" t="s">
        <v>215</v>
      </c>
      <c r="I7" s="89" t="s">
        <v>311</v>
      </c>
      <c r="J7" s="90">
        <v>50</v>
      </c>
      <c r="L7" s="20"/>
      <c r="M7" s="1"/>
      <c r="O7" s="20" t="s">
        <v>46</v>
      </c>
      <c r="P7" s="72">
        <f>AVERAGE(E6:E100)</f>
        <v>49.442105263157892</v>
      </c>
      <c r="R7" s="20" t="s">
        <v>201</v>
      </c>
      <c r="S7" s="91">
        <f>(P7-J6)/S6</f>
        <v>-0.18336482361366796</v>
      </c>
      <c r="U7" s="119"/>
      <c r="W7" t="s">
        <v>310</v>
      </c>
      <c r="X7" t="s">
        <v>311</v>
      </c>
    </row>
    <row r="8" spans="2:24" x14ac:dyDescent="0.2">
      <c r="B8" s="8">
        <v>3</v>
      </c>
      <c r="C8" s="8">
        <v>101</v>
      </c>
      <c r="D8" s="8">
        <v>119</v>
      </c>
      <c r="E8" s="8">
        <f t="shared" si="0"/>
        <v>18</v>
      </c>
      <c r="G8" s="20"/>
      <c r="H8" s="36"/>
      <c r="I8" s="36"/>
      <c r="J8" s="36"/>
      <c r="O8" s="20" t="s">
        <v>70</v>
      </c>
      <c r="P8" s="75">
        <f>_xlfn.STDEV.S(E6:E100)</f>
        <v>29.655007753875548</v>
      </c>
      <c r="R8" s="20" t="s">
        <v>206</v>
      </c>
      <c r="S8" s="70">
        <f>_xlfn.T.DIST(S7,P6-1,TRUE)</f>
        <v>0.42745335670268647</v>
      </c>
      <c r="U8" s="119"/>
    </row>
    <row r="9" spans="2:24" x14ac:dyDescent="0.2">
      <c r="B9" s="8">
        <v>4</v>
      </c>
      <c r="C9" s="8">
        <v>288</v>
      </c>
      <c r="D9" s="8">
        <v>334</v>
      </c>
      <c r="E9" s="8">
        <f t="shared" si="0"/>
        <v>46</v>
      </c>
      <c r="G9" s="20"/>
      <c r="H9" s="37"/>
      <c r="I9" s="37"/>
      <c r="J9" s="37"/>
      <c r="U9" s="119"/>
    </row>
    <row r="10" spans="2:24" x14ac:dyDescent="0.2">
      <c r="B10" s="8">
        <v>5</v>
      </c>
      <c r="C10" s="8">
        <v>248</v>
      </c>
      <c r="D10" s="8">
        <v>252</v>
      </c>
      <c r="E10" s="8">
        <f t="shared" si="0"/>
        <v>4</v>
      </c>
      <c r="G10" s="20"/>
      <c r="H10" s="22"/>
      <c r="I10" s="22"/>
      <c r="J10" s="22"/>
      <c r="U10" s="119"/>
    </row>
    <row r="11" spans="2:24" x14ac:dyDescent="0.2">
      <c r="B11" s="8">
        <v>6</v>
      </c>
      <c r="C11" s="8">
        <v>145</v>
      </c>
      <c r="D11" s="8">
        <v>209</v>
      </c>
      <c r="E11" s="8">
        <f t="shared" si="0"/>
        <v>64</v>
      </c>
      <c r="G11" s="20"/>
      <c r="H11" s="22"/>
      <c r="I11" s="22"/>
      <c r="J11" s="22"/>
      <c r="U11" s="119"/>
    </row>
    <row r="12" spans="2:24" x14ac:dyDescent="0.2">
      <c r="B12" s="8">
        <v>7</v>
      </c>
      <c r="C12" s="8">
        <v>401</v>
      </c>
      <c r="D12" s="8">
        <v>462</v>
      </c>
      <c r="E12" s="8">
        <f t="shared" si="0"/>
        <v>61</v>
      </c>
    </row>
    <row r="13" spans="2:24" x14ac:dyDescent="0.2">
      <c r="B13" s="8">
        <v>8</v>
      </c>
      <c r="C13" s="8">
        <v>287</v>
      </c>
      <c r="D13" s="8">
        <v>342</v>
      </c>
      <c r="E13" s="8">
        <f t="shared" si="0"/>
        <v>55</v>
      </c>
    </row>
    <row r="14" spans="2:24" x14ac:dyDescent="0.2">
      <c r="B14" s="8">
        <v>9</v>
      </c>
      <c r="C14" s="8">
        <v>275</v>
      </c>
      <c r="D14" s="8">
        <v>347</v>
      </c>
      <c r="E14" s="8">
        <f t="shared" si="0"/>
        <v>72</v>
      </c>
    </row>
    <row r="15" spans="2:24" x14ac:dyDescent="0.2">
      <c r="B15" s="8">
        <v>10</v>
      </c>
      <c r="C15" s="8">
        <v>254</v>
      </c>
      <c r="D15" s="8">
        <v>313</v>
      </c>
      <c r="E15" s="8">
        <f t="shared" si="0"/>
        <v>59</v>
      </c>
    </row>
    <row r="16" spans="2:24" x14ac:dyDescent="0.2">
      <c r="B16" s="8">
        <v>11</v>
      </c>
      <c r="C16" s="8">
        <v>182</v>
      </c>
      <c r="D16" s="8">
        <v>232</v>
      </c>
      <c r="E16" s="8">
        <f t="shared" si="0"/>
        <v>50</v>
      </c>
    </row>
    <row r="17" spans="2:5" x14ac:dyDescent="0.2">
      <c r="B17" s="8">
        <v>12</v>
      </c>
      <c r="C17" s="8">
        <v>117</v>
      </c>
      <c r="D17" s="8">
        <v>163</v>
      </c>
      <c r="E17" s="8">
        <f t="shared" si="0"/>
        <v>46</v>
      </c>
    </row>
    <row r="18" spans="2:5" x14ac:dyDescent="0.2">
      <c r="B18" s="8">
        <v>13</v>
      </c>
      <c r="C18" s="8">
        <v>130</v>
      </c>
      <c r="D18" s="8">
        <v>119</v>
      </c>
      <c r="E18" s="8">
        <f t="shared" si="0"/>
        <v>-11</v>
      </c>
    </row>
    <row r="19" spans="2:5" x14ac:dyDescent="0.2">
      <c r="B19" s="8">
        <v>14</v>
      </c>
      <c r="C19" s="8">
        <v>219</v>
      </c>
      <c r="D19" s="8">
        <v>304</v>
      </c>
      <c r="E19" s="8">
        <f t="shared" si="0"/>
        <v>85</v>
      </c>
    </row>
    <row r="20" spans="2:5" x14ac:dyDescent="0.2">
      <c r="B20" s="8">
        <v>15</v>
      </c>
      <c r="C20" s="8">
        <v>152</v>
      </c>
      <c r="D20" s="8">
        <v>211</v>
      </c>
      <c r="E20" s="8">
        <f t="shared" si="0"/>
        <v>59</v>
      </c>
    </row>
    <row r="21" spans="2:5" x14ac:dyDescent="0.2">
      <c r="B21" s="8">
        <v>16</v>
      </c>
      <c r="C21" s="8">
        <v>228</v>
      </c>
      <c r="D21" s="8">
        <v>286</v>
      </c>
      <c r="E21" s="8">
        <f t="shared" si="0"/>
        <v>58</v>
      </c>
    </row>
    <row r="22" spans="2:5" x14ac:dyDescent="0.2">
      <c r="B22" s="8">
        <v>17</v>
      </c>
      <c r="C22" s="8">
        <v>62</v>
      </c>
      <c r="D22" s="8">
        <v>122</v>
      </c>
      <c r="E22" s="8">
        <f t="shared" si="0"/>
        <v>60</v>
      </c>
    </row>
    <row r="23" spans="2:5" x14ac:dyDescent="0.2">
      <c r="B23" s="8">
        <v>18</v>
      </c>
      <c r="C23" s="8">
        <v>393</v>
      </c>
      <c r="D23" s="8">
        <v>443</v>
      </c>
      <c r="E23" s="8">
        <f t="shared" si="0"/>
        <v>50</v>
      </c>
    </row>
    <row r="24" spans="2:5" x14ac:dyDescent="0.2">
      <c r="B24" s="8">
        <v>19</v>
      </c>
      <c r="C24" s="8">
        <v>277</v>
      </c>
      <c r="D24" s="8">
        <v>366</v>
      </c>
      <c r="E24" s="8">
        <f t="shared" si="0"/>
        <v>89</v>
      </c>
    </row>
    <row r="25" spans="2:5" x14ac:dyDescent="0.2">
      <c r="B25" s="8">
        <v>20</v>
      </c>
      <c r="C25" s="8">
        <v>206</v>
      </c>
      <c r="D25" s="8">
        <v>244</v>
      </c>
      <c r="E25" s="8">
        <f t="shared" si="0"/>
        <v>38</v>
      </c>
    </row>
    <row r="26" spans="2:5" x14ac:dyDescent="0.2">
      <c r="B26" s="8">
        <v>21</v>
      </c>
      <c r="C26" s="8">
        <v>229</v>
      </c>
      <c r="D26" s="8">
        <v>241</v>
      </c>
      <c r="E26" s="8">
        <f t="shared" si="0"/>
        <v>12</v>
      </c>
    </row>
    <row r="27" spans="2:5" x14ac:dyDescent="0.2">
      <c r="B27" s="8">
        <v>22</v>
      </c>
      <c r="C27" s="8">
        <v>182</v>
      </c>
      <c r="D27" s="8">
        <v>237</v>
      </c>
      <c r="E27" s="8">
        <f t="shared" si="0"/>
        <v>55</v>
      </c>
    </row>
    <row r="28" spans="2:5" x14ac:dyDescent="0.2">
      <c r="B28" s="8">
        <v>23</v>
      </c>
      <c r="C28" s="8">
        <v>98</v>
      </c>
      <c r="D28" s="8">
        <v>122</v>
      </c>
      <c r="E28" s="8">
        <f t="shared" si="0"/>
        <v>24</v>
      </c>
    </row>
    <row r="29" spans="2:5" x14ac:dyDescent="0.2">
      <c r="B29" s="8">
        <v>24</v>
      </c>
      <c r="C29" s="8">
        <v>125</v>
      </c>
      <c r="D29" s="8">
        <v>129</v>
      </c>
      <c r="E29" s="8">
        <f t="shared" si="0"/>
        <v>4</v>
      </c>
    </row>
    <row r="30" spans="2:5" x14ac:dyDescent="0.2">
      <c r="B30" s="8">
        <v>25</v>
      </c>
      <c r="C30" s="8">
        <v>164</v>
      </c>
      <c r="D30" s="8">
        <v>236</v>
      </c>
      <c r="E30" s="8">
        <f t="shared" si="0"/>
        <v>72</v>
      </c>
    </row>
    <row r="31" spans="2:5" x14ac:dyDescent="0.2">
      <c r="B31" s="8">
        <v>26</v>
      </c>
      <c r="C31" s="8">
        <v>186</v>
      </c>
      <c r="D31" s="8">
        <v>251</v>
      </c>
      <c r="E31" s="8">
        <f t="shared" si="0"/>
        <v>65</v>
      </c>
    </row>
    <row r="32" spans="2:5" x14ac:dyDescent="0.2">
      <c r="B32" s="8">
        <v>27</v>
      </c>
      <c r="C32" s="8">
        <v>235</v>
      </c>
      <c r="D32" s="8">
        <v>283</v>
      </c>
      <c r="E32" s="8">
        <f t="shared" si="0"/>
        <v>48</v>
      </c>
    </row>
    <row r="33" spans="2:5" x14ac:dyDescent="0.2">
      <c r="B33" s="8">
        <v>28</v>
      </c>
      <c r="C33" s="8">
        <v>184</v>
      </c>
      <c r="D33" s="8">
        <v>225</v>
      </c>
      <c r="E33" s="8">
        <f t="shared" si="0"/>
        <v>41</v>
      </c>
    </row>
    <row r="34" spans="2:5" x14ac:dyDescent="0.2">
      <c r="B34" s="8">
        <v>29</v>
      </c>
      <c r="C34" s="8">
        <v>76</v>
      </c>
      <c r="D34" s="8">
        <v>102</v>
      </c>
      <c r="E34" s="8">
        <f t="shared" si="0"/>
        <v>26</v>
      </c>
    </row>
    <row r="35" spans="2:5" x14ac:dyDescent="0.2">
      <c r="B35" s="8">
        <v>30</v>
      </c>
      <c r="C35" s="8">
        <v>126</v>
      </c>
      <c r="D35" s="8">
        <v>180</v>
      </c>
      <c r="E35" s="8">
        <f t="shared" si="0"/>
        <v>54</v>
      </c>
    </row>
    <row r="36" spans="2:5" x14ac:dyDescent="0.2">
      <c r="B36" s="8">
        <v>31</v>
      </c>
      <c r="C36" s="8">
        <v>183</v>
      </c>
      <c r="D36" s="8">
        <v>247</v>
      </c>
      <c r="E36" s="8">
        <f t="shared" si="0"/>
        <v>64</v>
      </c>
    </row>
    <row r="37" spans="2:5" x14ac:dyDescent="0.2">
      <c r="B37" s="8">
        <v>32</v>
      </c>
      <c r="C37" s="8">
        <v>242</v>
      </c>
      <c r="D37" s="8">
        <v>343</v>
      </c>
      <c r="E37" s="8">
        <f t="shared" si="0"/>
        <v>101</v>
      </c>
    </row>
    <row r="38" spans="2:5" x14ac:dyDescent="0.2">
      <c r="B38" s="8">
        <v>33</v>
      </c>
      <c r="C38" s="8">
        <v>207</v>
      </c>
      <c r="D38" s="8">
        <v>283</v>
      </c>
      <c r="E38" s="8">
        <f t="shared" si="0"/>
        <v>76</v>
      </c>
    </row>
    <row r="39" spans="2:5" x14ac:dyDescent="0.2">
      <c r="B39" s="8">
        <v>34</v>
      </c>
      <c r="C39" s="8">
        <v>181</v>
      </c>
      <c r="D39" s="8">
        <v>253</v>
      </c>
      <c r="E39" s="8">
        <f t="shared" si="0"/>
        <v>72</v>
      </c>
    </row>
    <row r="40" spans="2:5" x14ac:dyDescent="0.2">
      <c r="B40" s="8">
        <v>35</v>
      </c>
      <c r="C40" s="8">
        <v>239</v>
      </c>
      <c r="D40" s="8">
        <v>263</v>
      </c>
      <c r="E40" s="8">
        <f t="shared" si="0"/>
        <v>24</v>
      </c>
    </row>
    <row r="41" spans="2:5" x14ac:dyDescent="0.2">
      <c r="B41" s="8">
        <v>36</v>
      </c>
      <c r="C41" s="8">
        <v>216</v>
      </c>
      <c r="D41" s="8">
        <v>291</v>
      </c>
      <c r="E41" s="8">
        <f t="shared" si="0"/>
        <v>75</v>
      </c>
    </row>
    <row r="42" spans="2:5" x14ac:dyDescent="0.2">
      <c r="B42" s="8">
        <v>37</v>
      </c>
      <c r="C42" s="8">
        <v>289</v>
      </c>
      <c r="D42" s="8">
        <v>368</v>
      </c>
      <c r="E42" s="8">
        <f t="shared" si="0"/>
        <v>79</v>
      </c>
    </row>
    <row r="43" spans="2:5" x14ac:dyDescent="0.2">
      <c r="B43" s="8">
        <v>38</v>
      </c>
      <c r="C43" s="8">
        <v>213</v>
      </c>
      <c r="D43" s="8">
        <v>206</v>
      </c>
      <c r="E43" s="8">
        <f t="shared" si="0"/>
        <v>-7</v>
      </c>
    </row>
    <row r="44" spans="2:5" x14ac:dyDescent="0.2">
      <c r="B44" s="8">
        <v>39</v>
      </c>
      <c r="C44" s="8">
        <v>209</v>
      </c>
      <c r="D44" s="8">
        <v>231</v>
      </c>
      <c r="E44" s="8">
        <f t="shared" si="0"/>
        <v>22</v>
      </c>
    </row>
    <row r="45" spans="2:5" x14ac:dyDescent="0.2">
      <c r="B45" s="8">
        <v>40</v>
      </c>
      <c r="C45" s="8">
        <v>376</v>
      </c>
      <c r="D45" s="8">
        <v>389</v>
      </c>
      <c r="E45" s="8">
        <f t="shared" si="0"/>
        <v>13</v>
      </c>
    </row>
    <row r="46" spans="2:5" x14ac:dyDescent="0.2">
      <c r="B46" s="8">
        <v>41</v>
      </c>
      <c r="C46" s="8">
        <v>332</v>
      </c>
      <c r="D46" s="8">
        <v>396</v>
      </c>
      <c r="E46" s="8">
        <f t="shared" si="0"/>
        <v>64</v>
      </c>
    </row>
    <row r="47" spans="2:5" x14ac:dyDescent="0.2">
      <c r="B47" s="8">
        <v>42</v>
      </c>
      <c r="C47" s="8">
        <v>249</v>
      </c>
      <c r="D47" s="8">
        <v>339</v>
      </c>
      <c r="E47" s="8">
        <f t="shared" si="0"/>
        <v>90</v>
      </c>
    </row>
    <row r="48" spans="2:5" x14ac:dyDescent="0.2">
      <c r="B48" s="8">
        <v>43</v>
      </c>
      <c r="C48" s="8">
        <v>228</v>
      </c>
      <c r="D48" s="8">
        <v>286</v>
      </c>
      <c r="E48" s="8">
        <f t="shared" si="0"/>
        <v>58</v>
      </c>
    </row>
    <row r="49" spans="2:5" x14ac:dyDescent="0.2">
      <c r="B49" s="8">
        <v>44</v>
      </c>
      <c r="C49" s="8">
        <v>124</v>
      </c>
      <c r="D49" s="8">
        <v>146</v>
      </c>
      <c r="E49" s="8">
        <f t="shared" si="0"/>
        <v>22</v>
      </c>
    </row>
    <row r="50" spans="2:5" x14ac:dyDescent="0.2">
      <c r="B50" s="8">
        <v>45</v>
      </c>
      <c r="C50" s="8">
        <v>194</v>
      </c>
      <c r="D50" s="8">
        <v>315</v>
      </c>
      <c r="E50" s="8">
        <f t="shared" si="0"/>
        <v>121</v>
      </c>
    </row>
    <row r="51" spans="2:5" x14ac:dyDescent="0.2">
      <c r="B51" s="8">
        <v>46</v>
      </c>
      <c r="C51" s="8">
        <v>157</v>
      </c>
      <c r="D51" s="8">
        <v>183</v>
      </c>
      <c r="E51" s="8">
        <f t="shared" si="0"/>
        <v>26</v>
      </c>
    </row>
    <row r="52" spans="2:5" x14ac:dyDescent="0.2">
      <c r="B52" s="8">
        <v>47</v>
      </c>
      <c r="C52" s="8">
        <v>402</v>
      </c>
      <c r="D52" s="8">
        <v>481</v>
      </c>
      <c r="E52" s="8">
        <f t="shared" si="0"/>
        <v>79</v>
      </c>
    </row>
    <row r="53" spans="2:5" x14ac:dyDescent="0.2">
      <c r="B53" s="8">
        <v>48</v>
      </c>
      <c r="C53" s="8">
        <v>323</v>
      </c>
      <c r="D53" s="8">
        <v>349</v>
      </c>
      <c r="E53" s="8">
        <f t="shared" si="0"/>
        <v>26</v>
      </c>
    </row>
    <row r="54" spans="2:5" x14ac:dyDescent="0.2">
      <c r="B54" s="8">
        <v>49</v>
      </c>
      <c r="C54" s="8">
        <v>181</v>
      </c>
      <c r="D54" s="8">
        <v>225</v>
      </c>
      <c r="E54" s="8">
        <f t="shared" si="0"/>
        <v>44</v>
      </c>
    </row>
    <row r="55" spans="2:5" x14ac:dyDescent="0.2">
      <c r="B55" s="8">
        <v>50</v>
      </c>
      <c r="C55" s="8">
        <v>157</v>
      </c>
      <c r="D55" s="8">
        <v>217</v>
      </c>
      <c r="E55" s="8">
        <f t="shared" si="0"/>
        <v>60</v>
      </c>
    </row>
    <row r="56" spans="2:5" x14ac:dyDescent="0.2">
      <c r="B56" s="8">
        <v>51</v>
      </c>
      <c r="C56" s="8">
        <v>266</v>
      </c>
      <c r="D56" s="8">
        <v>353</v>
      </c>
      <c r="E56" s="8">
        <f t="shared" si="0"/>
        <v>87</v>
      </c>
    </row>
    <row r="57" spans="2:5" x14ac:dyDescent="0.2">
      <c r="B57" s="8">
        <v>52</v>
      </c>
      <c r="C57" s="8">
        <v>268</v>
      </c>
      <c r="D57" s="8">
        <v>314</v>
      </c>
      <c r="E57" s="8">
        <f t="shared" si="0"/>
        <v>46</v>
      </c>
    </row>
    <row r="58" spans="2:5" x14ac:dyDescent="0.2">
      <c r="B58" s="8">
        <v>53</v>
      </c>
      <c r="C58" s="8">
        <v>167</v>
      </c>
      <c r="D58" s="8">
        <v>247</v>
      </c>
      <c r="E58" s="8">
        <f t="shared" si="0"/>
        <v>80</v>
      </c>
    </row>
    <row r="59" spans="2:5" x14ac:dyDescent="0.2">
      <c r="B59" s="8">
        <v>54</v>
      </c>
      <c r="C59" s="8">
        <v>342</v>
      </c>
      <c r="D59" s="8">
        <v>410</v>
      </c>
      <c r="E59" s="8">
        <f t="shared" si="0"/>
        <v>68</v>
      </c>
    </row>
    <row r="60" spans="2:5" x14ac:dyDescent="0.2">
      <c r="B60" s="8">
        <v>55</v>
      </c>
      <c r="C60" s="8">
        <v>349</v>
      </c>
      <c r="D60" s="8">
        <v>395</v>
      </c>
      <c r="E60" s="8">
        <f t="shared" si="0"/>
        <v>46</v>
      </c>
    </row>
    <row r="61" spans="2:5" x14ac:dyDescent="0.2">
      <c r="B61" s="8">
        <v>56</v>
      </c>
      <c r="C61" s="8">
        <v>340</v>
      </c>
      <c r="D61" s="8">
        <v>416</v>
      </c>
      <c r="E61" s="8">
        <f t="shared" si="0"/>
        <v>76</v>
      </c>
    </row>
    <row r="62" spans="2:5" x14ac:dyDescent="0.2">
      <c r="B62" s="8">
        <v>57</v>
      </c>
      <c r="C62" s="8">
        <v>227</v>
      </c>
      <c r="D62" s="8">
        <v>342</v>
      </c>
      <c r="E62" s="8">
        <f t="shared" si="0"/>
        <v>115</v>
      </c>
    </row>
    <row r="63" spans="2:5" x14ac:dyDescent="0.2">
      <c r="B63" s="8">
        <v>58</v>
      </c>
      <c r="C63" s="8">
        <v>409</v>
      </c>
      <c r="D63" s="8">
        <v>446</v>
      </c>
      <c r="E63" s="8">
        <f t="shared" si="0"/>
        <v>37</v>
      </c>
    </row>
    <row r="64" spans="2:5" x14ac:dyDescent="0.2">
      <c r="B64" s="8">
        <v>59</v>
      </c>
      <c r="C64" s="8">
        <v>400</v>
      </c>
      <c r="D64" s="8">
        <v>477</v>
      </c>
      <c r="E64" s="8">
        <f t="shared" si="0"/>
        <v>77</v>
      </c>
    </row>
    <row r="65" spans="2:5" x14ac:dyDescent="0.2">
      <c r="B65" s="8">
        <v>60</v>
      </c>
      <c r="C65" s="8">
        <v>374</v>
      </c>
      <c r="D65" s="8">
        <v>444</v>
      </c>
      <c r="E65" s="8">
        <f t="shared" si="0"/>
        <v>70</v>
      </c>
    </row>
    <row r="66" spans="2:5" x14ac:dyDescent="0.2">
      <c r="B66" s="8">
        <v>61</v>
      </c>
      <c r="C66" s="8">
        <v>255</v>
      </c>
      <c r="D66" s="8">
        <v>351</v>
      </c>
      <c r="E66" s="8">
        <f t="shared" si="0"/>
        <v>96</v>
      </c>
    </row>
    <row r="67" spans="2:5" x14ac:dyDescent="0.2">
      <c r="B67" s="8">
        <v>62</v>
      </c>
      <c r="C67" s="8">
        <v>146</v>
      </c>
      <c r="D67" s="8">
        <v>165</v>
      </c>
      <c r="E67" s="8">
        <f t="shared" si="0"/>
        <v>19</v>
      </c>
    </row>
    <row r="68" spans="2:5" x14ac:dyDescent="0.2">
      <c r="B68" s="8">
        <v>63</v>
      </c>
      <c r="C68" s="8">
        <v>248</v>
      </c>
      <c r="D68" s="8">
        <v>317</v>
      </c>
      <c r="E68" s="8">
        <f t="shared" si="0"/>
        <v>69</v>
      </c>
    </row>
    <row r="69" spans="2:5" x14ac:dyDescent="0.2">
      <c r="B69" s="8">
        <v>64</v>
      </c>
      <c r="C69" s="8">
        <v>198</v>
      </c>
      <c r="D69" s="8">
        <v>250</v>
      </c>
      <c r="E69" s="8">
        <f t="shared" si="0"/>
        <v>52</v>
      </c>
    </row>
    <row r="70" spans="2:5" x14ac:dyDescent="0.2">
      <c r="B70" s="8">
        <v>65</v>
      </c>
      <c r="C70" s="8">
        <v>210</v>
      </c>
      <c r="D70" s="8">
        <v>217</v>
      </c>
      <c r="E70" s="8">
        <f t="shared" si="0"/>
        <v>7</v>
      </c>
    </row>
    <row r="71" spans="2:5" x14ac:dyDescent="0.2">
      <c r="B71" s="8">
        <v>66</v>
      </c>
      <c r="C71" s="8">
        <v>107</v>
      </c>
      <c r="D71" s="8">
        <v>138</v>
      </c>
      <c r="E71" s="8">
        <f t="shared" ref="E71:E100" si="1">D71-C71</f>
        <v>31</v>
      </c>
    </row>
    <row r="72" spans="2:5" x14ac:dyDescent="0.2">
      <c r="B72" s="8">
        <v>67</v>
      </c>
      <c r="C72" s="8">
        <v>239</v>
      </c>
      <c r="D72" s="8">
        <v>302</v>
      </c>
      <c r="E72" s="8">
        <f t="shared" si="1"/>
        <v>63</v>
      </c>
    </row>
    <row r="73" spans="2:5" x14ac:dyDescent="0.2">
      <c r="B73" s="8">
        <v>68</v>
      </c>
      <c r="C73" s="8">
        <v>287</v>
      </c>
      <c r="D73" s="8">
        <v>311</v>
      </c>
      <c r="E73" s="8">
        <f t="shared" si="1"/>
        <v>24</v>
      </c>
    </row>
    <row r="74" spans="2:5" x14ac:dyDescent="0.2">
      <c r="B74" s="8">
        <v>69</v>
      </c>
      <c r="C74" s="8">
        <v>340</v>
      </c>
      <c r="D74" s="8">
        <v>373</v>
      </c>
      <c r="E74" s="8">
        <f t="shared" si="1"/>
        <v>33</v>
      </c>
    </row>
    <row r="75" spans="2:5" x14ac:dyDescent="0.2">
      <c r="B75" s="8">
        <v>70</v>
      </c>
      <c r="C75" s="8">
        <v>155</v>
      </c>
      <c r="D75" s="8">
        <v>196</v>
      </c>
      <c r="E75" s="8">
        <f t="shared" si="1"/>
        <v>41</v>
      </c>
    </row>
    <row r="76" spans="2:5" x14ac:dyDescent="0.2">
      <c r="B76" s="8">
        <v>71</v>
      </c>
      <c r="C76" s="8">
        <v>263</v>
      </c>
      <c r="D76" s="8">
        <v>306</v>
      </c>
      <c r="E76" s="8">
        <f t="shared" si="1"/>
        <v>43</v>
      </c>
    </row>
    <row r="77" spans="2:5" x14ac:dyDescent="0.2">
      <c r="B77" s="8">
        <v>72</v>
      </c>
      <c r="C77" s="8">
        <v>265</v>
      </c>
      <c r="D77" s="8">
        <v>302</v>
      </c>
      <c r="E77" s="8">
        <f t="shared" si="1"/>
        <v>37</v>
      </c>
    </row>
    <row r="78" spans="2:5" x14ac:dyDescent="0.2">
      <c r="B78" s="8">
        <v>73</v>
      </c>
      <c r="C78" s="8">
        <v>249</v>
      </c>
      <c r="D78" s="8">
        <v>278</v>
      </c>
      <c r="E78" s="8">
        <f t="shared" si="1"/>
        <v>29</v>
      </c>
    </row>
    <row r="79" spans="2:5" x14ac:dyDescent="0.2">
      <c r="B79" s="8">
        <v>74</v>
      </c>
      <c r="C79" s="8">
        <v>377</v>
      </c>
      <c r="D79" s="8">
        <v>429</v>
      </c>
      <c r="E79" s="8">
        <f t="shared" si="1"/>
        <v>52</v>
      </c>
    </row>
    <row r="80" spans="2:5" x14ac:dyDescent="0.2">
      <c r="B80" s="8">
        <v>75</v>
      </c>
      <c r="C80" s="8">
        <v>301</v>
      </c>
      <c r="D80" s="8">
        <v>338</v>
      </c>
      <c r="E80" s="8">
        <f t="shared" si="1"/>
        <v>37</v>
      </c>
    </row>
    <row r="81" spans="2:5" x14ac:dyDescent="0.2">
      <c r="B81" s="8">
        <v>76</v>
      </c>
      <c r="C81" s="8">
        <v>242</v>
      </c>
      <c r="D81" s="8">
        <v>261</v>
      </c>
      <c r="E81" s="8">
        <f t="shared" si="1"/>
        <v>19</v>
      </c>
    </row>
    <row r="82" spans="2:5" x14ac:dyDescent="0.2">
      <c r="B82" s="8">
        <v>77</v>
      </c>
      <c r="C82" s="8">
        <v>211</v>
      </c>
      <c r="D82" s="8">
        <v>256</v>
      </c>
      <c r="E82" s="8">
        <f t="shared" si="1"/>
        <v>45</v>
      </c>
    </row>
    <row r="83" spans="2:5" x14ac:dyDescent="0.2">
      <c r="B83" s="8">
        <v>78</v>
      </c>
      <c r="C83" s="8">
        <v>160</v>
      </c>
      <c r="D83" s="8">
        <v>183</v>
      </c>
      <c r="E83" s="8">
        <f t="shared" si="1"/>
        <v>23</v>
      </c>
    </row>
    <row r="84" spans="2:5" x14ac:dyDescent="0.2">
      <c r="B84" s="8">
        <v>79</v>
      </c>
      <c r="C84" s="8">
        <v>218</v>
      </c>
      <c r="D84" s="8">
        <v>274</v>
      </c>
      <c r="E84" s="8">
        <f t="shared" si="1"/>
        <v>56</v>
      </c>
    </row>
    <row r="85" spans="2:5" x14ac:dyDescent="0.2">
      <c r="B85" s="8">
        <v>80</v>
      </c>
      <c r="C85" s="8">
        <v>133</v>
      </c>
      <c r="D85" s="8">
        <v>182</v>
      </c>
      <c r="E85" s="8">
        <f t="shared" si="1"/>
        <v>49</v>
      </c>
    </row>
    <row r="86" spans="2:5" x14ac:dyDescent="0.2">
      <c r="B86" s="8">
        <v>81</v>
      </c>
      <c r="C86" s="8">
        <v>122</v>
      </c>
      <c r="D86" s="8">
        <v>183</v>
      </c>
      <c r="E86" s="8">
        <f t="shared" si="1"/>
        <v>61</v>
      </c>
    </row>
    <row r="87" spans="2:5" x14ac:dyDescent="0.2">
      <c r="B87" s="8">
        <v>82</v>
      </c>
      <c r="C87" s="8">
        <v>236</v>
      </c>
      <c r="D87" s="8">
        <v>309</v>
      </c>
      <c r="E87" s="8">
        <f t="shared" si="1"/>
        <v>73</v>
      </c>
    </row>
    <row r="88" spans="2:5" x14ac:dyDescent="0.2">
      <c r="B88" s="8">
        <v>83</v>
      </c>
      <c r="C88" s="8">
        <v>143</v>
      </c>
      <c r="D88" s="8">
        <v>178</v>
      </c>
      <c r="E88" s="8">
        <f t="shared" si="1"/>
        <v>35</v>
      </c>
    </row>
    <row r="89" spans="2:5" x14ac:dyDescent="0.2">
      <c r="B89" s="8">
        <v>84</v>
      </c>
      <c r="C89" s="8">
        <v>354</v>
      </c>
      <c r="D89" s="8">
        <v>458</v>
      </c>
      <c r="E89" s="8">
        <f t="shared" si="1"/>
        <v>104</v>
      </c>
    </row>
    <row r="90" spans="2:5" x14ac:dyDescent="0.2">
      <c r="B90" s="8">
        <v>85</v>
      </c>
      <c r="C90" s="8">
        <v>214</v>
      </c>
      <c r="D90" s="8">
        <v>234</v>
      </c>
      <c r="E90" s="8">
        <f t="shared" si="1"/>
        <v>20</v>
      </c>
    </row>
    <row r="91" spans="2:5" x14ac:dyDescent="0.2">
      <c r="B91" s="8">
        <v>86</v>
      </c>
      <c r="C91" s="8">
        <v>225</v>
      </c>
      <c r="D91" s="8">
        <v>306</v>
      </c>
      <c r="E91" s="8">
        <f t="shared" si="1"/>
        <v>81</v>
      </c>
    </row>
    <row r="92" spans="2:5" x14ac:dyDescent="0.2">
      <c r="B92" s="8">
        <v>87</v>
      </c>
      <c r="C92" s="8">
        <v>261</v>
      </c>
      <c r="D92" s="8">
        <v>400</v>
      </c>
      <c r="E92" s="8">
        <f t="shared" si="1"/>
        <v>139</v>
      </c>
    </row>
    <row r="93" spans="2:5" x14ac:dyDescent="0.2">
      <c r="B93" s="8">
        <v>88</v>
      </c>
      <c r="C93" s="8">
        <v>277</v>
      </c>
      <c r="D93" s="8">
        <v>337</v>
      </c>
      <c r="E93" s="8">
        <f t="shared" si="1"/>
        <v>60</v>
      </c>
    </row>
    <row r="94" spans="2:5" x14ac:dyDescent="0.2">
      <c r="B94" s="8">
        <v>89</v>
      </c>
      <c r="C94" s="8">
        <v>282</v>
      </c>
      <c r="D94" s="8">
        <v>325</v>
      </c>
      <c r="E94" s="8">
        <f t="shared" si="1"/>
        <v>43</v>
      </c>
    </row>
    <row r="95" spans="2:5" x14ac:dyDescent="0.2">
      <c r="B95" s="8">
        <v>90</v>
      </c>
      <c r="C95" s="8">
        <v>322</v>
      </c>
      <c r="D95" s="8">
        <v>329</v>
      </c>
      <c r="E95" s="8">
        <f t="shared" si="1"/>
        <v>7</v>
      </c>
    </row>
    <row r="96" spans="2:5" x14ac:dyDescent="0.2">
      <c r="B96" s="8">
        <v>91</v>
      </c>
      <c r="C96" s="8">
        <v>326</v>
      </c>
      <c r="D96" s="8">
        <v>369</v>
      </c>
      <c r="E96" s="8">
        <f t="shared" si="1"/>
        <v>43</v>
      </c>
    </row>
    <row r="97" spans="2:5" x14ac:dyDescent="0.2">
      <c r="B97" s="8">
        <v>92</v>
      </c>
      <c r="C97" s="8">
        <v>421</v>
      </c>
      <c r="D97" s="8">
        <v>457</v>
      </c>
      <c r="E97" s="8">
        <f t="shared" si="1"/>
        <v>36</v>
      </c>
    </row>
    <row r="98" spans="2:5" x14ac:dyDescent="0.2">
      <c r="B98" s="8">
        <v>93</v>
      </c>
      <c r="C98" s="8">
        <v>368</v>
      </c>
      <c r="D98" s="8">
        <v>421</v>
      </c>
      <c r="E98" s="8">
        <f t="shared" si="1"/>
        <v>53</v>
      </c>
    </row>
    <row r="99" spans="2:5" x14ac:dyDescent="0.2">
      <c r="B99" s="8">
        <v>94</v>
      </c>
      <c r="C99" s="8">
        <v>279</v>
      </c>
      <c r="D99" s="8">
        <v>282</v>
      </c>
      <c r="E99" s="8">
        <f t="shared" si="1"/>
        <v>3</v>
      </c>
    </row>
    <row r="100" spans="2:5" x14ac:dyDescent="0.2">
      <c r="B100" s="8">
        <v>95</v>
      </c>
      <c r="C100" s="8">
        <v>268</v>
      </c>
      <c r="D100" s="8">
        <v>256</v>
      </c>
      <c r="E100" s="8">
        <f t="shared" si="1"/>
        <v>-12</v>
      </c>
    </row>
  </sheetData>
  <mergeCells count="5">
    <mergeCell ref="O5:P5"/>
    <mergeCell ref="G5:J5"/>
    <mergeCell ref="L5:M5"/>
    <mergeCell ref="R5:S5"/>
    <mergeCell ref="U6:U11"/>
  </mergeCells>
  <dataValidations count="2">
    <dataValidation type="list" allowBlank="1" showInputMessage="1" showErrorMessage="1" sqref="I6" xr:uid="{B0131BD9-AE3C-428A-B166-B3EB67CBD5D9}">
      <formula1>$W$5:$W$7</formula1>
    </dataValidation>
    <dataValidation type="list" allowBlank="1" showInputMessage="1" showErrorMessage="1" sqref="I7" xr:uid="{7BDFF30B-D467-42C2-B9ED-F433BABB5E6A}">
      <formula1>$X$5:$X$7</formula1>
    </dataValidation>
  </dataValidation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C53D-5752-4175-8D2F-8217894F78FB}">
  <sheetPr codeName="Sheet47">
    <tabColor theme="7" tint="0.59999389629810485"/>
  </sheetPr>
  <dimension ref="B1:Z58"/>
  <sheetViews>
    <sheetView showGridLines="0" topLeftCell="C1" workbookViewId="0">
      <selection activeCell="U9" sqref="U9"/>
    </sheetView>
  </sheetViews>
  <sheetFormatPr baseColWidth="10" defaultColWidth="8.83203125" defaultRowHeight="15" x14ac:dyDescent="0.2"/>
  <cols>
    <col min="1" max="1" width="2.83203125" customWidth="1"/>
    <col min="2" max="2" width="15.6640625" bestFit="1" customWidth="1"/>
    <col min="3" max="3" width="12.6640625" bestFit="1" customWidth="1"/>
    <col min="5" max="5" width="15.5" bestFit="1" customWidth="1"/>
    <col min="6" max="7" width="14.33203125" customWidth="1"/>
    <col min="9" max="10" width="11.5" customWidth="1"/>
    <col min="12" max="12" width="6.5" customWidth="1"/>
    <col min="13" max="13" width="5.5" bestFit="1" customWidth="1"/>
    <col min="14" max="14" width="2.83203125" customWidth="1"/>
    <col min="15" max="15" width="9.1640625" customWidth="1"/>
    <col min="17" max="17" width="11.5" customWidth="1"/>
    <col min="20" max="20" width="21.1640625" bestFit="1" customWidth="1"/>
    <col min="21" max="21" width="17.83203125" bestFit="1" customWidth="1"/>
    <col min="23" max="23" width="57.1640625" customWidth="1"/>
    <col min="25" max="26" width="0" hidden="1" customWidth="1"/>
  </cols>
  <sheetData>
    <row r="1" spans="2:26" ht="25.5" customHeight="1" x14ac:dyDescent="0.25">
      <c r="B1" s="18" t="s">
        <v>217</v>
      </c>
    </row>
    <row r="2" spans="2:26" ht="15" customHeight="1" x14ac:dyDescent="0.2">
      <c r="B2" s="30" t="s">
        <v>216</v>
      </c>
    </row>
    <row r="3" spans="2:26" ht="18" customHeight="1" x14ac:dyDescent="0.2"/>
    <row r="4" spans="2:26" x14ac:dyDescent="0.2">
      <c r="E4" s="3" t="s">
        <v>53</v>
      </c>
      <c r="I4" s="3" t="s">
        <v>54</v>
      </c>
      <c r="L4" s="3"/>
      <c r="T4" s="3" t="s">
        <v>54</v>
      </c>
    </row>
    <row r="5" spans="2:26" x14ac:dyDescent="0.2">
      <c r="B5" s="43" t="s">
        <v>21</v>
      </c>
      <c r="C5" s="41" t="s">
        <v>35</v>
      </c>
      <c r="E5" s="117" t="s">
        <v>138</v>
      </c>
      <c r="F5" s="117"/>
      <c r="G5" s="117"/>
      <c r="I5" s="116" t="s">
        <v>178</v>
      </c>
      <c r="J5" s="116"/>
      <c r="L5" s="118" t="s">
        <v>198</v>
      </c>
      <c r="M5" s="118"/>
      <c r="N5" s="118"/>
      <c r="O5" s="118"/>
      <c r="Q5" s="118" t="s">
        <v>200</v>
      </c>
      <c r="R5" s="118"/>
      <c r="T5" s="116" t="s">
        <v>203</v>
      </c>
      <c r="U5" s="116"/>
      <c r="W5" s="50" t="s">
        <v>202</v>
      </c>
    </row>
    <row r="6" spans="2:26" ht="17" x14ac:dyDescent="0.25">
      <c r="B6" s="51" t="s">
        <v>25</v>
      </c>
      <c r="C6" s="52">
        <v>111000</v>
      </c>
      <c r="F6" s="17" t="s">
        <v>27</v>
      </c>
      <c r="G6" s="17" t="s">
        <v>25</v>
      </c>
      <c r="I6" s="20" t="s">
        <v>179</v>
      </c>
      <c r="J6" s="80">
        <f>F9-G9</f>
        <v>7744.2810457516316</v>
      </c>
      <c r="L6" s="20" t="s">
        <v>194</v>
      </c>
      <c r="M6" s="89" t="s">
        <v>215</v>
      </c>
      <c r="N6" s="89" t="s">
        <v>208</v>
      </c>
      <c r="O6" s="90">
        <v>0</v>
      </c>
      <c r="Q6" s="20" t="s">
        <v>142</v>
      </c>
      <c r="R6" s="71">
        <f>1-0.99</f>
        <v>1.0000000000000009E-2</v>
      </c>
      <c r="T6" s="20" t="s">
        <v>145</v>
      </c>
      <c r="U6" s="80">
        <f>SQRT(SUM(F11:G11))</f>
        <v>15739.713009442165</v>
      </c>
      <c r="W6" s="119" t="s">
        <v>338</v>
      </c>
      <c r="Y6" s="94" t="s">
        <v>197</v>
      </c>
      <c r="Z6" s="92" t="s">
        <v>199</v>
      </c>
    </row>
    <row r="7" spans="2:26" ht="17" x14ac:dyDescent="0.25">
      <c r="B7" s="8" t="s">
        <v>27</v>
      </c>
      <c r="C7" s="12">
        <v>107000</v>
      </c>
      <c r="E7" s="20" t="s">
        <v>175</v>
      </c>
      <c r="F7" s="71">
        <f>COUNTIFS($B$6:$B$58,F6)</f>
        <v>17</v>
      </c>
      <c r="G7" s="71">
        <f>COUNTIFS($B$6:$B$58,G6)</f>
        <v>36</v>
      </c>
      <c r="L7" s="20" t="s">
        <v>195</v>
      </c>
      <c r="M7" s="89" t="s">
        <v>215</v>
      </c>
      <c r="N7" s="89" t="s">
        <v>209</v>
      </c>
      <c r="O7" s="90">
        <v>0</v>
      </c>
      <c r="Q7" s="20"/>
      <c r="R7" s="1"/>
      <c r="T7" s="20" t="s">
        <v>201</v>
      </c>
      <c r="U7" s="91">
        <f>(J6-O6)/U6</f>
        <v>0.49202174404996341</v>
      </c>
      <c r="W7" s="119"/>
      <c r="Y7" s="92" t="s">
        <v>310</v>
      </c>
      <c r="Z7" t="s">
        <v>311</v>
      </c>
    </row>
    <row r="8" spans="2:26" x14ac:dyDescent="0.2">
      <c r="B8" s="8" t="s">
        <v>25</v>
      </c>
      <c r="C8" s="12">
        <v>109000</v>
      </c>
      <c r="E8" s="20" t="s">
        <v>183</v>
      </c>
      <c r="F8" s="71">
        <f>F7-1</f>
        <v>16</v>
      </c>
      <c r="G8" s="71">
        <f>G7-1</f>
        <v>35</v>
      </c>
      <c r="L8" s="20"/>
      <c r="M8" s="36"/>
      <c r="N8" s="36"/>
      <c r="O8" s="36"/>
      <c r="T8" s="20" t="s">
        <v>180</v>
      </c>
      <c r="U8" s="75">
        <f>(SUM(F11:G11)^2/SUM(F11^2/F8,G11^2/G8))</f>
        <v>22.429970730290126</v>
      </c>
      <c r="W8" s="119"/>
      <c r="Y8" s="92" t="s">
        <v>208</v>
      </c>
      <c r="Z8" t="s">
        <v>209</v>
      </c>
    </row>
    <row r="9" spans="2:26" x14ac:dyDescent="0.2">
      <c r="B9" s="8" t="s">
        <v>25</v>
      </c>
      <c r="C9" s="12">
        <v>148000</v>
      </c>
      <c r="E9" s="20" t="s">
        <v>176</v>
      </c>
      <c r="F9" s="80">
        <f>AVERAGEIFS($C$6:$C$58,$B$6:$B$58,F6)</f>
        <v>124647.05882352941</v>
      </c>
      <c r="G9" s="80">
        <f>AVERAGEIFS($C$6:$C$58,$B$6:$B$58,G6)</f>
        <v>116902.77777777778</v>
      </c>
      <c r="L9" s="20"/>
      <c r="M9" s="37"/>
      <c r="N9" s="37"/>
      <c r="O9" s="37"/>
      <c r="T9" s="20" t="s">
        <v>206</v>
      </c>
      <c r="U9" s="70">
        <f>_xlfn.T.DIST.RT(U7,U8)</f>
        <v>0.31378889492074447</v>
      </c>
      <c r="W9" s="119"/>
    </row>
    <row r="10" spans="2:26" ht="17" x14ac:dyDescent="0.2">
      <c r="B10" s="8" t="s">
        <v>25</v>
      </c>
      <c r="C10" s="12">
        <v>255500</v>
      </c>
      <c r="E10" s="20" t="s">
        <v>177</v>
      </c>
      <c r="F10" s="74" cm="1">
        <f t="array" ref="F10">VAR(IF(B6:$B$58="Yes",$C$6:$C$58))</f>
        <v>3526773897.0588226</v>
      </c>
      <c r="G10" s="74" cm="1">
        <f t="array" ref="G10">VAR(IF($B6:C$58="No",$C$6:$C$58))</f>
        <v>1450125992.0634923</v>
      </c>
      <c r="L10" s="20"/>
      <c r="M10" s="22"/>
      <c r="N10" s="22"/>
      <c r="O10" s="22"/>
      <c r="W10" s="119"/>
    </row>
    <row r="11" spans="2:26" ht="17" x14ac:dyDescent="0.2">
      <c r="B11" s="8" t="s">
        <v>25</v>
      </c>
      <c r="C11" s="12">
        <v>103500</v>
      </c>
      <c r="E11" s="20" t="s">
        <v>182</v>
      </c>
      <c r="F11" s="74">
        <f>F10/F7</f>
        <v>207457288.06228369</v>
      </c>
      <c r="G11" s="74">
        <f>G10/G7</f>
        <v>40281277.557319231</v>
      </c>
      <c r="L11" s="20"/>
      <c r="M11" s="22"/>
      <c r="N11" s="22"/>
      <c r="O11" s="22"/>
      <c r="W11" s="119"/>
    </row>
    <row r="12" spans="2:26" x14ac:dyDescent="0.2">
      <c r="B12" s="8" t="s">
        <v>25</v>
      </c>
      <c r="C12" s="12">
        <v>114500</v>
      </c>
    </row>
    <row r="13" spans="2:26" x14ac:dyDescent="0.2">
      <c r="B13" s="8" t="s">
        <v>25</v>
      </c>
      <c r="C13" s="12">
        <v>124000</v>
      </c>
    </row>
    <row r="14" spans="2:26" x14ac:dyDescent="0.2">
      <c r="B14" s="8" t="s">
        <v>25</v>
      </c>
      <c r="C14" s="12">
        <v>132500</v>
      </c>
    </row>
    <row r="15" spans="2:26" x14ac:dyDescent="0.2">
      <c r="B15" s="8" t="s">
        <v>25</v>
      </c>
      <c r="C15" s="12">
        <v>99000</v>
      </c>
    </row>
    <row r="16" spans="2:26" x14ac:dyDescent="0.2">
      <c r="B16" s="8" t="s">
        <v>25</v>
      </c>
      <c r="C16" s="12">
        <v>124000</v>
      </c>
    </row>
    <row r="17" spans="2:3" x14ac:dyDescent="0.2">
      <c r="B17" s="8" t="s">
        <v>25</v>
      </c>
      <c r="C17" s="12">
        <v>82000</v>
      </c>
    </row>
    <row r="18" spans="2:3" x14ac:dyDescent="0.2">
      <c r="B18" s="8" t="s">
        <v>25</v>
      </c>
      <c r="C18" s="12">
        <v>185000</v>
      </c>
    </row>
    <row r="19" spans="2:3" x14ac:dyDescent="0.2">
      <c r="B19" s="8" t="s">
        <v>25</v>
      </c>
      <c r="C19" s="12">
        <v>89500</v>
      </c>
    </row>
    <row r="20" spans="2:3" x14ac:dyDescent="0.2">
      <c r="B20" s="8" t="s">
        <v>25</v>
      </c>
      <c r="C20" s="12">
        <v>91500</v>
      </c>
    </row>
    <row r="21" spans="2:3" x14ac:dyDescent="0.2">
      <c r="B21" s="8" t="s">
        <v>25</v>
      </c>
      <c r="C21" s="12">
        <v>113500</v>
      </c>
    </row>
    <row r="22" spans="2:3" x14ac:dyDescent="0.2">
      <c r="B22" s="8" t="s">
        <v>27</v>
      </c>
      <c r="C22" s="12">
        <v>99000</v>
      </c>
    </row>
    <row r="23" spans="2:3" x14ac:dyDescent="0.2">
      <c r="B23" s="8" t="s">
        <v>25</v>
      </c>
      <c r="C23" s="12">
        <v>75500</v>
      </c>
    </row>
    <row r="24" spans="2:3" x14ac:dyDescent="0.2">
      <c r="B24" s="8" t="s">
        <v>27</v>
      </c>
      <c r="C24" s="12">
        <v>86000</v>
      </c>
    </row>
    <row r="25" spans="2:3" x14ac:dyDescent="0.2">
      <c r="B25" s="8" t="s">
        <v>25</v>
      </c>
      <c r="C25" s="12">
        <v>156500</v>
      </c>
    </row>
    <row r="26" spans="2:3" x14ac:dyDescent="0.2">
      <c r="B26" s="8" t="s">
        <v>27</v>
      </c>
      <c r="C26" s="12">
        <v>99500</v>
      </c>
    </row>
    <row r="27" spans="2:3" x14ac:dyDescent="0.2">
      <c r="B27" s="8" t="s">
        <v>27</v>
      </c>
      <c r="C27" s="12">
        <v>148000</v>
      </c>
    </row>
    <row r="28" spans="2:3" x14ac:dyDescent="0.2">
      <c r="B28" s="8" t="s">
        <v>25</v>
      </c>
      <c r="C28" s="12">
        <v>82000</v>
      </c>
    </row>
    <row r="29" spans="2:3" x14ac:dyDescent="0.2">
      <c r="B29" s="8" t="s">
        <v>25</v>
      </c>
      <c r="C29" s="12">
        <v>103500</v>
      </c>
    </row>
    <row r="30" spans="2:3" x14ac:dyDescent="0.2">
      <c r="B30" s="8" t="s">
        <v>25</v>
      </c>
      <c r="C30" s="12">
        <v>205500</v>
      </c>
    </row>
    <row r="31" spans="2:3" x14ac:dyDescent="0.2">
      <c r="B31" s="8" t="s">
        <v>25</v>
      </c>
      <c r="C31" s="12">
        <v>103500</v>
      </c>
    </row>
    <row r="32" spans="2:3" x14ac:dyDescent="0.2">
      <c r="B32" s="8" t="s">
        <v>27</v>
      </c>
      <c r="C32" s="12">
        <v>340000</v>
      </c>
    </row>
    <row r="33" spans="2:3" x14ac:dyDescent="0.2">
      <c r="B33" s="8" t="s">
        <v>27</v>
      </c>
      <c r="C33" s="12">
        <v>103500</v>
      </c>
    </row>
    <row r="34" spans="2:3" x14ac:dyDescent="0.2">
      <c r="B34" s="8" t="s">
        <v>27</v>
      </c>
      <c r="C34" s="12">
        <v>99500</v>
      </c>
    </row>
    <row r="35" spans="2:3" x14ac:dyDescent="0.2">
      <c r="B35" s="8" t="s">
        <v>27</v>
      </c>
      <c r="C35" s="12">
        <v>103000</v>
      </c>
    </row>
    <row r="36" spans="2:3" x14ac:dyDescent="0.2">
      <c r="B36" s="8" t="s">
        <v>25</v>
      </c>
      <c r="C36" s="12">
        <v>103500</v>
      </c>
    </row>
    <row r="37" spans="2:3" x14ac:dyDescent="0.2">
      <c r="B37" s="8" t="s">
        <v>27</v>
      </c>
      <c r="C37" s="12">
        <v>165000</v>
      </c>
    </row>
    <row r="38" spans="2:3" x14ac:dyDescent="0.2">
      <c r="B38" s="8" t="s">
        <v>27</v>
      </c>
      <c r="C38" s="12">
        <v>124500</v>
      </c>
    </row>
    <row r="39" spans="2:3" x14ac:dyDescent="0.2">
      <c r="B39" s="8" t="s">
        <v>27</v>
      </c>
      <c r="C39" s="12">
        <v>103500</v>
      </c>
    </row>
    <row r="40" spans="2:3" x14ac:dyDescent="0.2">
      <c r="B40" s="8" t="s">
        <v>25</v>
      </c>
      <c r="C40" s="12">
        <v>82500</v>
      </c>
    </row>
    <row r="41" spans="2:3" x14ac:dyDescent="0.2">
      <c r="B41" s="8" t="s">
        <v>25</v>
      </c>
      <c r="C41" s="12">
        <v>93000</v>
      </c>
    </row>
    <row r="42" spans="2:3" x14ac:dyDescent="0.2">
      <c r="B42" s="8" t="s">
        <v>25</v>
      </c>
      <c r="C42" s="12">
        <v>168000</v>
      </c>
    </row>
    <row r="43" spans="2:3" x14ac:dyDescent="0.2">
      <c r="B43" s="8" t="s">
        <v>25</v>
      </c>
      <c r="C43" s="12">
        <v>96000</v>
      </c>
    </row>
    <row r="44" spans="2:3" x14ac:dyDescent="0.2">
      <c r="B44" s="8" t="s">
        <v>27</v>
      </c>
      <c r="C44" s="12">
        <v>80000</v>
      </c>
    </row>
    <row r="45" spans="2:3" x14ac:dyDescent="0.2">
      <c r="B45" s="8" t="s">
        <v>27</v>
      </c>
      <c r="C45" s="12">
        <v>124500</v>
      </c>
    </row>
    <row r="46" spans="2:3" x14ac:dyDescent="0.2">
      <c r="B46" s="8" t="s">
        <v>27</v>
      </c>
      <c r="C46" s="12">
        <v>99000</v>
      </c>
    </row>
    <row r="47" spans="2:3" x14ac:dyDescent="0.2">
      <c r="B47" s="8" t="s">
        <v>25</v>
      </c>
      <c r="C47" s="12">
        <v>124000</v>
      </c>
    </row>
    <row r="48" spans="2:3" x14ac:dyDescent="0.2">
      <c r="B48" s="8" t="s">
        <v>25</v>
      </c>
      <c r="C48" s="12">
        <v>91500</v>
      </c>
    </row>
    <row r="49" spans="2:3" x14ac:dyDescent="0.2">
      <c r="B49" s="8" t="s">
        <v>25</v>
      </c>
      <c r="C49" s="12">
        <v>144500</v>
      </c>
    </row>
    <row r="50" spans="2:3" x14ac:dyDescent="0.2">
      <c r="B50" s="8" t="s">
        <v>25</v>
      </c>
      <c r="C50" s="12">
        <v>114500</v>
      </c>
    </row>
    <row r="51" spans="2:3" x14ac:dyDescent="0.2">
      <c r="B51" s="8" t="s">
        <v>25</v>
      </c>
      <c r="C51" s="12">
        <v>104500</v>
      </c>
    </row>
    <row r="52" spans="2:3" x14ac:dyDescent="0.2">
      <c r="B52" s="8" t="s">
        <v>27</v>
      </c>
      <c r="C52" s="12">
        <v>124000</v>
      </c>
    </row>
    <row r="53" spans="2:3" x14ac:dyDescent="0.2">
      <c r="B53" s="8" t="s">
        <v>27</v>
      </c>
      <c r="C53" s="12">
        <v>113000</v>
      </c>
    </row>
    <row r="54" spans="2:3" x14ac:dyDescent="0.2">
      <c r="B54" s="8" t="s">
        <v>25</v>
      </c>
      <c r="C54" s="12">
        <v>78000</v>
      </c>
    </row>
    <row r="55" spans="2:3" x14ac:dyDescent="0.2">
      <c r="B55" s="8" t="s">
        <v>25</v>
      </c>
      <c r="C55" s="12">
        <v>109000</v>
      </c>
    </row>
    <row r="56" spans="2:3" x14ac:dyDescent="0.2">
      <c r="B56" s="8" t="s">
        <v>25</v>
      </c>
      <c r="C56" s="12">
        <v>99500</v>
      </c>
    </row>
    <row r="57" spans="2:3" x14ac:dyDescent="0.2">
      <c r="B57" s="8" t="s">
        <v>25</v>
      </c>
      <c r="C57" s="12">
        <v>107000</v>
      </c>
    </row>
    <row r="58" spans="2:3" x14ac:dyDescent="0.2">
      <c r="B58" s="8" t="s">
        <v>25</v>
      </c>
      <c r="C58" s="12">
        <v>84000</v>
      </c>
    </row>
  </sheetData>
  <mergeCells count="6">
    <mergeCell ref="T5:U5"/>
    <mergeCell ref="W6:W11"/>
    <mergeCell ref="E5:G5"/>
    <mergeCell ref="I5:J5"/>
    <mergeCell ref="L5:O5"/>
    <mergeCell ref="Q5:R5"/>
  </mergeCells>
  <dataValidations count="2">
    <dataValidation type="list" allowBlank="1" showInputMessage="1" showErrorMessage="1" sqref="N6" xr:uid="{80786F4C-EFAD-475B-A267-3D35A985D790}">
      <formula1>$Y$6:$Y$8</formula1>
    </dataValidation>
    <dataValidation type="list" allowBlank="1" showInputMessage="1" showErrorMessage="1" sqref="N7" xr:uid="{763F53FC-4939-455D-9308-180433D28BA6}">
      <formula1>$Z$6:$Z$8</formula1>
    </dataValidation>
  </dataValidation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6489-8BB2-4099-9250-049C9004B49F}">
  <sheetPr codeName="Sheet48">
    <tabColor rgb="FFEFE5F7"/>
  </sheetPr>
  <dimension ref="B1:C100"/>
  <sheetViews>
    <sheetView showGridLines="0" workbookViewId="0">
      <selection activeCell="G25" sqref="G25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</cols>
  <sheetData>
    <row r="1" spans="2:3" ht="25.5" customHeight="1" x14ac:dyDescent="0.25">
      <c r="B1" s="18" t="s">
        <v>224</v>
      </c>
    </row>
    <row r="2" spans="2:3" ht="15" customHeight="1" x14ac:dyDescent="0.2">
      <c r="B2" s="30" t="s">
        <v>225</v>
      </c>
    </row>
    <row r="3" spans="2:3" ht="18" customHeight="1" x14ac:dyDescent="0.2"/>
    <row r="5" spans="2:3" x14ac:dyDescent="0.2">
      <c r="B5" s="43" t="s">
        <v>76</v>
      </c>
      <c r="C5" s="43" t="s">
        <v>77</v>
      </c>
    </row>
    <row r="6" spans="2:3" x14ac:dyDescent="0.2">
      <c r="B6" s="51">
        <v>68.400000000000006</v>
      </c>
      <c r="C6" s="51">
        <v>90.2</v>
      </c>
    </row>
    <row r="7" spans="2:3" x14ac:dyDescent="0.2">
      <c r="B7" s="8">
        <v>62.1</v>
      </c>
      <c r="C7" s="8">
        <v>92.8</v>
      </c>
    </row>
    <row r="8" spans="2:3" x14ac:dyDescent="0.2">
      <c r="B8" s="8">
        <v>70.2</v>
      </c>
      <c r="C8" s="8">
        <v>68.7</v>
      </c>
    </row>
    <row r="9" spans="2:3" x14ac:dyDescent="0.2">
      <c r="B9" s="8">
        <v>75.099999999999994</v>
      </c>
      <c r="C9" s="8">
        <v>80.7</v>
      </c>
    </row>
    <row r="10" spans="2:3" x14ac:dyDescent="0.2">
      <c r="B10" s="8">
        <v>60.9</v>
      </c>
      <c r="C10" s="8">
        <v>74.900000000000006</v>
      </c>
    </row>
    <row r="11" spans="2:3" x14ac:dyDescent="0.2">
      <c r="B11" s="8">
        <v>74.5</v>
      </c>
      <c r="C11" s="8">
        <v>80.7</v>
      </c>
    </row>
    <row r="12" spans="2:3" x14ac:dyDescent="0.2">
      <c r="B12" s="8">
        <v>76.400000000000006</v>
      </c>
      <c r="C12" s="8">
        <v>83.3</v>
      </c>
    </row>
    <row r="13" spans="2:3" x14ac:dyDescent="0.2">
      <c r="B13" s="8">
        <v>82.6</v>
      </c>
      <c r="C13" s="8">
        <v>88.7</v>
      </c>
    </row>
    <row r="14" spans="2:3" x14ac:dyDescent="0.2">
      <c r="B14" s="8">
        <v>76.900000000000006</v>
      </c>
      <c r="C14" s="8">
        <v>75.400000000000006</v>
      </c>
    </row>
    <row r="15" spans="2:3" x14ac:dyDescent="0.2">
      <c r="B15" s="8">
        <v>83.3</v>
      </c>
      <c r="C15" s="8">
        <v>82.1</v>
      </c>
    </row>
    <row r="16" spans="2:3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pageMargins left="0.7" right="0.7" top="0.75" bottom="0.75" header="0.3" footer="0.3"/>
  <pageSetup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BDA3-48BF-423F-8B04-0FFA43FF3100}">
  <sheetPr codeName="Sheet49">
    <tabColor rgb="FFEFE5F7"/>
  </sheetPr>
  <dimension ref="B1:F100"/>
  <sheetViews>
    <sheetView showGridLines="0" workbookViewId="0">
      <selection activeCell="F6" sqref="F6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224</v>
      </c>
    </row>
    <row r="2" spans="2:6" ht="15" customHeight="1" x14ac:dyDescent="0.2">
      <c r="B2" s="30" t="s">
        <v>225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76</v>
      </c>
      <c r="C5" s="43" t="s">
        <v>77</v>
      </c>
      <c r="E5" s="116" t="s">
        <v>228</v>
      </c>
      <c r="F5" s="116"/>
    </row>
    <row r="6" spans="2:6" x14ac:dyDescent="0.2">
      <c r="B6" s="51">
        <v>68.400000000000006</v>
      </c>
      <c r="C6" s="51">
        <v>90.2</v>
      </c>
      <c r="E6" s="20" t="s">
        <v>229</v>
      </c>
      <c r="F6" s="87">
        <f>PEARSON(B6:B100,C6:C100)</f>
        <v>0.10605610621279929</v>
      </c>
    </row>
    <row r="7" spans="2:6" x14ac:dyDescent="0.2">
      <c r="B7" s="8">
        <v>62.1</v>
      </c>
      <c r="C7" s="8">
        <v>92.8</v>
      </c>
    </row>
    <row r="8" spans="2:6" x14ac:dyDescent="0.2">
      <c r="B8" s="8">
        <v>70.2</v>
      </c>
      <c r="C8" s="8">
        <v>68.7</v>
      </c>
    </row>
    <row r="9" spans="2:6" x14ac:dyDescent="0.2">
      <c r="B9" s="8">
        <v>75.099999999999994</v>
      </c>
      <c r="C9" s="8">
        <v>80.7</v>
      </c>
    </row>
    <row r="10" spans="2:6" x14ac:dyDescent="0.2">
      <c r="B10" s="8">
        <v>60.9</v>
      </c>
      <c r="C10" s="8">
        <v>74.900000000000006</v>
      </c>
    </row>
    <row r="11" spans="2:6" x14ac:dyDescent="0.2">
      <c r="B11" s="8">
        <v>74.5</v>
      </c>
      <c r="C11" s="8">
        <v>80.7</v>
      </c>
    </row>
    <row r="12" spans="2:6" x14ac:dyDescent="0.2">
      <c r="B12" s="8">
        <v>76.400000000000006</v>
      </c>
      <c r="C12" s="8">
        <v>83.3</v>
      </c>
    </row>
    <row r="13" spans="2:6" x14ac:dyDescent="0.2">
      <c r="B13" s="8">
        <v>82.6</v>
      </c>
      <c r="C13" s="8">
        <v>88.7</v>
      </c>
    </row>
    <row r="14" spans="2:6" x14ac:dyDescent="0.2">
      <c r="B14" s="8">
        <v>76.900000000000006</v>
      </c>
      <c r="C14" s="8">
        <v>75.400000000000006</v>
      </c>
    </row>
    <row r="15" spans="2:6" x14ac:dyDescent="0.2">
      <c r="B15" s="8">
        <v>83.3</v>
      </c>
      <c r="C15" s="8">
        <v>82.1</v>
      </c>
    </row>
    <row r="16" spans="2:6" x14ac:dyDescent="0.2">
      <c r="B16" s="8">
        <v>75.8</v>
      </c>
      <c r="C16" s="8">
        <v>87.5</v>
      </c>
    </row>
    <row r="17" spans="2:3" x14ac:dyDescent="0.2">
      <c r="B17" s="8">
        <v>76</v>
      </c>
      <c r="C17" s="8">
        <v>66.900000000000006</v>
      </c>
    </row>
    <row r="18" spans="2:3" x14ac:dyDescent="0.2">
      <c r="B18" s="8">
        <v>62.8</v>
      </c>
      <c r="C18" s="8">
        <v>71.3</v>
      </c>
    </row>
    <row r="19" spans="2:3" x14ac:dyDescent="0.2">
      <c r="B19" s="8">
        <v>82.8</v>
      </c>
      <c r="C19" s="8">
        <v>76.8</v>
      </c>
    </row>
    <row r="20" spans="2:3" x14ac:dyDescent="0.2">
      <c r="B20" s="8">
        <v>76</v>
      </c>
      <c r="C20" s="8">
        <v>72.3</v>
      </c>
    </row>
    <row r="21" spans="2:3" x14ac:dyDescent="0.2">
      <c r="B21" s="8">
        <v>76.900000000000006</v>
      </c>
      <c r="C21" s="8">
        <v>72.400000000000006</v>
      </c>
    </row>
    <row r="22" spans="2:3" x14ac:dyDescent="0.2">
      <c r="B22" s="8">
        <v>75.8</v>
      </c>
      <c r="C22" s="8">
        <v>72</v>
      </c>
    </row>
    <row r="23" spans="2:3" x14ac:dyDescent="0.2">
      <c r="B23" s="8">
        <v>78</v>
      </c>
      <c r="C23" s="8">
        <v>81</v>
      </c>
    </row>
    <row r="24" spans="2:3" x14ac:dyDescent="0.2">
      <c r="B24" s="8">
        <v>82.4</v>
      </c>
      <c r="C24" s="8">
        <v>96.1</v>
      </c>
    </row>
    <row r="25" spans="2:3" x14ac:dyDescent="0.2">
      <c r="B25" s="8">
        <v>76.2</v>
      </c>
      <c r="C25" s="8">
        <v>76.7</v>
      </c>
    </row>
    <row r="26" spans="2:3" x14ac:dyDescent="0.2">
      <c r="B26" s="8">
        <v>62.5</v>
      </c>
      <c r="C26" s="8">
        <v>80.3</v>
      </c>
    </row>
    <row r="27" spans="2:3" x14ac:dyDescent="0.2">
      <c r="B27" s="8">
        <v>78</v>
      </c>
      <c r="C27" s="8">
        <v>77.8</v>
      </c>
    </row>
    <row r="28" spans="2:3" x14ac:dyDescent="0.2">
      <c r="B28" s="8">
        <v>66.5</v>
      </c>
      <c r="C28" s="8">
        <v>62.6</v>
      </c>
    </row>
    <row r="29" spans="2:3" x14ac:dyDescent="0.2">
      <c r="B29" s="8">
        <v>63.5</v>
      </c>
      <c r="C29" s="8">
        <v>80.2</v>
      </c>
    </row>
    <row r="30" spans="2:3" x14ac:dyDescent="0.2">
      <c r="B30" s="8">
        <v>82.6</v>
      </c>
      <c r="C30" s="8">
        <v>79.099999999999994</v>
      </c>
    </row>
    <row r="31" spans="2:3" x14ac:dyDescent="0.2">
      <c r="B31" s="8">
        <v>79.2</v>
      </c>
      <c r="C31" s="8">
        <v>77.8</v>
      </c>
    </row>
    <row r="32" spans="2:3" x14ac:dyDescent="0.2">
      <c r="B32" s="8">
        <v>75</v>
      </c>
      <c r="C32" s="8">
        <v>75.099999999999994</v>
      </c>
    </row>
    <row r="33" spans="2:3" x14ac:dyDescent="0.2">
      <c r="B33" s="8">
        <v>74.400000000000006</v>
      </c>
      <c r="C33" s="8">
        <v>82.2</v>
      </c>
    </row>
    <row r="34" spans="2:3" x14ac:dyDescent="0.2">
      <c r="B34" s="8">
        <v>67.900000000000006</v>
      </c>
      <c r="C34" s="8">
        <v>70.5</v>
      </c>
    </row>
    <row r="35" spans="2:3" x14ac:dyDescent="0.2">
      <c r="B35" s="8">
        <v>76.8</v>
      </c>
      <c r="C35" s="8">
        <v>70.8</v>
      </c>
    </row>
    <row r="36" spans="2:3" x14ac:dyDescent="0.2">
      <c r="B36" s="8">
        <v>83</v>
      </c>
      <c r="C36" s="8">
        <v>87.5</v>
      </c>
    </row>
    <row r="37" spans="2:3" x14ac:dyDescent="0.2">
      <c r="B37" s="8">
        <v>88.9</v>
      </c>
      <c r="C37" s="8">
        <v>79.5</v>
      </c>
    </row>
    <row r="38" spans="2:3" x14ac:dyDescent="0.2">
      <c r="B38" s="8">
        <v>76.5</v>
      </c>
      <c r="C38" s="8">
        <v>80.8</v>
      </c>
    </row>
    <row r="39" spans="2:3" x14ac:dyDescent="0.2">
      <c r="B39" s="8">
        <v>79.900000000000006</v>
      </c>
      <c r="C39" s="8">
        <v>79.599999999999994</v>
      </c>
    </row>
    <row r="40" spans="2:3" x14ac:dyDescent="0.2">
      <c r="B40" s="8">
        <v>70.400000000000006</v>
      </c>
      <c r="C40" s="8">
        <v>88.9</v>
      </c>
    </row>
    <row r="41" spans="2:3" x14ac:dyDescent="0.2">
      <c r="B41" s="8">
        <v>83.4</v>
      </c>
      <c r="C41" s="8">
        <v>85.9</v>
      </c>
    </row>
    <row r="42" spans="2:3" x14ac:dyDescent="0.2">
      <c r="B42" s="8">
        <v>79.2</v>
      </c>
      <c r="C42" s="8">
        <v>82.3</v>
      </c>
    </row>
    <row r="43" spans="2:3" x14ac:dyDescent="0.2">
      <c r="B43" s="8">
        <v>61.2</v>
      </c>
      <c r="C43" s="8">
        <v>76.7</v>
      </c>
    </row>
    <row r="44" spans="2:3" x14ac:dyDescent="0.2">
      <c r="B44" s="8">
        <v>64</v>
      </c>
      <c r="C44" s="8">
        <v>79.900000000000006</v>
      </c>
    </row>
    <row r="45" spans="2:3" x14ac:dyDescent="0.2">
      <c r="B45" s="8">
        <v>68</v>
      </c>
      <c r="C45" s="8">
        <v>86.2</v>
      </c>
    </row>
    <row r="46" spans="2:3" x14ac:dyDescent="0.2">
      <c r="B46" s="8">
        <v>78.5</v>
      </c>
      <c r="C46" s="8">
        <v>79.2</v>
      </c>
    </row>
    <row r="47" spans="2:3" x14ac:dyDescent="0.2">
      <c r="B47" s="8">
        <v>83</v>
      </c>
      <c r="C47" s="8">
        <v>83.4</v>
      </c>
    </row>
    <row r="48" spans="2:3" x14ac:dyDescent="0.2">
      <c r="B48" s="8">
        <v>75.2</v>
      </c>
      <c r="C48" s="8">
        <v>85.2</v>
      </c>
    </row>
    <row r="49" spans="2:3" x14ac:dyDescent="0.2">
      <c r="B49" s="8">
        <v>68.099999999999994</v>
      </c>
      <c r="C49" s="8">
        <v>77.8</v>
      </c>
    </row>
    <row r="50" spans="2:3" x14ac:dyDescent="0.2">
      <c r="B50" s="8">
        <v>93.6</v>
      </c>
      <c r="C50" s="8">
        <v>80.2</v>
      </c>
    </row>
    <row r="51" spans="2:3" x14ac:dyDescent="0.2">
      <c r="B51" s="8">
        <v>75.599999999999994</v>
      </c>
      <c r="C51" s="8">
        <v>71</v>
      </c>
    </row>
    <row r="52" spans="2:3" x14ac:dyDescent="0.2">
      <c r="B52" s="8">
        <v>82.3</v>
      </c>
      <c r="C52" s="8">
        <v>87.2</v>
      </c>
    </row>
    <row r="53" spans="2:3" x14ac:dyDescent="0.2">
      <c r="B53" s="8">
        <v>71.400000000000006</v>
      </c>
      <c r="C53" s="8">
        <v>82.9</v>
      </c>
    </row>
    <row r="54" spans="2:3" x14ac:dyDescent="0.2">
      <c r="B54" s="8">
        <v>71.900000000000006</v>
      </c>
      <c r="C54" s="8">
        <v>73.5</v>
      </c>
    </row>
    <row r="55" spans="2:3" x14ac:dyDescent="0.2">
      <c r="B55" s="8">
        <v>79.099999999999994</v>
      </c>
      <c r="C55" s="8">
        <v>74.599999999999994</v>
      </c>
    </row>
    <row r="56" spans="2:3" x14ac:dyDescent="0.2">
      <c r="B56" s="8">
        <v>88.7</v>
      </c>
      <c r="C56" s="8">
        <v>75.099999999999994</v>
      </c>
    </row>
    <row r="57" spans="2:3" x14ac:dyDescent="0.2">
      <c r="B57" s="8">
        <v>69.400000000000006</v>
      </c>
      <c r="C57" s="8">
        <v>85.1</v>
      </c>
    </row>
    <row r="58" spans="2:3" x14ac:dyDescent="0.2">
      <c r="B58" s="8">
        <v>80.3</v>
      </c>
      <c r="C58" s="8">
        <v>74.900000000000006</v>
      </c>
    </row>
    <row r="59" spans="2:3" x14ac:dyDescent="0.2">
      <c r="B59" s="8">
        <v>83</v>
      </c>
      <c r="C59" s="8">
        <v>84.6</v>
      </c>
    </row>
    <row r="60" spans="2:3" x14ac:dyDescent="0.2">
      <c r="B60" s="8">
        <v>74.099999999999994</v>
      </c>
      <c r="C60" s="8">
        <v>81.7</v>
      </c>
    </row>
    <row r="61" spans="2:3" x14ac:dyDescent="0.2">
      <c r="B61" s="8">
        <v>79.400000000000006</v>
      </c>
      <c r="C61" s="8">
        <v>81.400000000000006</v>
      </c>
    </row>
    <row r="62" spans="2:3" x14ac:dyDescent="0.2">
      <c r="B62" s="8">
        <v>88.1</v>
      </c>
      <c r="C62" s="8">
        <v>83.8</v>
      </c>
    </row>
    <row r="63" spans="2:3" x14ac:dyDescent="0.2">
      <c r="B63" s="8">
        <v>74.599999999999994</v>
      </c>
      <c r="C63" s="8">
        <v>88.5</v>
      </c>
    </row>
    <row r="64" spans="2:3" x14ac:dyDescent="0.2">
      <c r="B64" s="8">
        <v>87.1</v>
      </c>
      <c r="C64" s="8">
        <v>84.9</v>
      </c>
    </row>
    <row r="65" spans="2:3" x14ac:dyDescent="0.2">
      <c r="B65" s="8">
        <v>79.7</v>
      </c>
      <c r="C65" s="8">
        <v>84.3</v>
      </c>
    </row>
    <row r="66" spans="2:3" x14ac:dyDescent="0.2">
      <c r="B66" s="8">
        <v>82.1</v>
      </c>
      <c r="C66" s="8">
        <v>78.2</v>
      </c>
    </row>
    <row r="67" spans="2:3" x14ac:dyDescent="0.2">
      <c r="B67" s="8">
        <v>70.2</v>
      </c>
      <c r="C67" s="8">
        <v>80</v>
      </c>
    </row>
    <row r="68" spans="2:3" x14ac:dyDescent="0.2">
      <c r="B68" s="8">
        <v>81.7</v>
      </c>
      <c r="C68" s="8">
        <v>74.8</v>
      </c>
    </row>
    <row r="69" spans="2:3" x14ac:dyDescent="0.2">
      <c r="B69" s="8">
        <v>76.099999999999994</v>
      </c>
      <c r="C69" s="8">
        <v>78.5</v>
      </c>
    </row>
    <row r="70" spans="2:3" x14ac:dyDescent="0.2">
      <c r="B70" s="8">
        <v>65.400000000000006</v>
      </c>
      <c r="C70" s="8">
        <v>71.8</v>
      </c>
    </row>
    <row r="71" spans="2:3" x14ac:dyDescent="0.2">
      <c r="B71" s="8">
        <v>70.099999999999994</v>
      </c>
      <c r="C71" s="8">
        <v>69.900000000000006</v>
      </c>
    </row>
    <row r="72" spans="2:3" x14ac:dyDescent="0.2">
      <c r="B72" s="8">
        <v>75.3</v>
      </c>
      <c r="C72" s="8">
        <v>82.7</v>
      </c>
    </row>
    <row r="73" spans="2:3" x14ac:dyDescent="0.2">
      <c r="B73" s="8">
        <v>68.7</v>
      </c>
      <c r="C73" s="8">
        <v>74</v>
      </c>
    </row>
    <row r="74" spans="2:3" x14ac:dyDescent="0.2">
      <c r="B74" s="8">
        <v>75.7</v>
      </c>
      <c r="C74" s="8">
        <v>84</v>
      </c>
    </row>
    <row r="75" spans="2:3" x14ac:dyDescent="0.2">
      <c r="B75" s="8">
        <v>68.7</v>
      </c>
      <c r="C75" s="8">
        <v>84.7</v>
      </c>
    </row>
    <row r="76" spans="2:3" x14ac:dyDescent="0.2">
      <c r="B76" s="8">
        <v>70.400000000000006</v>
      </c>
      <c r="C76" s="8">
        <v>78.2</v>
      </c>
    </row>
    <row r="77" spans="2:3" x14ac:dyDescent="0.2">
      <c r="B77" s="8">
        <v>68.3</v>
      </c>
      <c r="C77" s="8">
        <v>85</v>
      </c>
    </row>
    <row r="78" spans="2:3" x14ac:dyDescent="0.2">
      <c r="B78" s="8">
        <v>71.7</v>
      </c>
      <c r="C78" s="8">
        <v>80.099999999999994</v>
      </c>
    </row>
    <row r="79" spans="2:3" x14ac:dyDescent="0.2">
      <c r="B79" s="8">
        <v>70.900000000000006</v>
      </c>
      <c r="C79" s="8">
        <v>85.3</v>
      </c>
    </row>
    <row r="80" spans="2:3" x14ac:dyDescent="0.2">
      <c r="B80" s="8">
        <v>66.3</v>
      </c>
      <c r="C80" s="8">
        <v>79.7</v>
      </c>
    </row>
    <row r="81" spans="2:3" x14ac:dyDescent="0.2">
      <c r="B81" s="8">
        <v>65.3</v>
      </c>
      <c r="C81" s="8">
        <v>79.599999999999994</v>
      </c>
    </row>
    <row r="82" spans="2:3" x14ac:dyDescent="0.2">
      <c r="B82" s="8">
        <v>75.7</v>
      </c>
      <c r="C82" s="8">
        <v>78.900000000000006</v>
      </c>
    </row>
    <row r="83" spans="2:3" x14ac:dyDescent="0.2">
      <c r="B83" s="8">
        <v>66</v>
      </c>
      <c r="C83" s="8">
        <v>78.5</v>
      </c>
    </row>
    <row r="84" spans="2:3" x14ac:dyDescent="0.2">
      <c r="B84" s="8">
        <v>78.900000000000006</v>
      </c>
      <c r="C84" s="8">
        <v>72</v>
      </c>
    </row>
    <row r="85" spans="2:3" x14ac:dyDescent="0.2">
      <c r="B85" s="8">
        <v>74</v>
      </c>
      <c r="C85" s="8">
        <v>74.2</v>
      </c>
    </row>
    <row r="86" spans="2:3" x14ac:dyDescent="0.2">
      <c r="B86" s="8">
        <v>74.599999999999994</v>
      </c>
      <c r="C86" s="8">
        <v>71.7</v>
      </c>
    </row>
    <row r="87" spans="2:3" x14ac:dyDescent="0.2">
      <c r="B87" s="8">
        <v>79.3</v>
      </c>
      <c r="C87" s="8">
        <v>80.7</v>
      </c>
    </row>
    <row r="88" spans="2:3" x14ac:dyDescent="0.2">
      <c r="B88" s="8">
        <v>70.099999999999994</v>
      </c>
      <c r="C88" s="8">
        <v>84.1</v>
      </c>
    </row>
    <row r="89" spans="2:3" x14ac:dyDescent="0.2">
      <c r="B89" s="8">
        <v>88.8</v>
      </c>
      <c r="C89" s="8">
        <v>87.4</v>
      </c>
    </row>
    <row r="90" spans="2:3" x14ac:dyDescent="0.2">
      <c r="B90" s="8">
        <v>66</v>
      </c>
      <c r="C90" s="8">
        <v>77.400000000000006</v>
      </c>
    </row>
    <row r="91" spans="2:3" x14ac:dyDescent="0.2">
      <c r="B91" s="8">
        <v>82.9</v>
      </c>
      <c r="C91" s="8">
        <v>84.7</v>
      </c>
    </row>
    <row r="92" spans="2:3" x14ac:dyDescent="0.2">
      <c r="B92" s="8">
        <v>100</v>
      </c>
      <c r="C92" s="8">
        <v>78.8</v>
      </c>
    </row>
    <row r="93" spans="2:3" x14ac:dyDescent="0.2">
      <c r="B93" s="8">
        <v>75.599999999999994</v>
      </c>
      <c r="C93" s="8">
        <v>92.7</v>
      </c>
    </row>
    <row r="94" spans="2:3" x14ac:dyDescent="0.2">
      <c r="B94" s="8">
        <v>67.5</v>
      </c>
      <c r="C94" s="8">
        <v>88.8</v>
      </c>
    </row>
    <row r="95" spans="2:3" x14ac:dyDescent="0.2">
      <c r="B95" s="8">
        <v>68.7</v>
      </c>
      <c r="C95" s="8">
        <v>86.6</v>
      </c>
    </row>
    <row r="96" spans="2:3" x14ac:dyDescent="0.2">
      <c r="B96" s="8">
        <v>76</v>
      </c>
      <c r="C96" s="8">
        <v>77.900000000000006</v>
      </c>
    </row>
    <row r="97" spans="2:3" x14ac:dyDescent="0.2">
      <c r="B97" s="8">
        <v>67.7</v>
      </c>
      <c r="C97" s="8">
        <v>86.1</v>
      </c>
    </row>
    <row r="98" spans="2:3" x14ac:dyDescent="0.2">
      <c r="B98" s="8">
        <v>75.3</v>
      </c>
      <c r="C98" s="8">
        <v>89.9</v>
      </c>
    </row>
    <row r="99" spans="2:3" x14ac:dyDescent="0.2">
      <c r="B99" s="8">
        <v>68.099999999999994</v>
      </c>
      <c r="C99" s="8">
        <v>83.1</v>
      </c>
    </row>
    <row r="100" spans="2:3" x14ac:dyDescent="0.2">
      <c r="B100" s="8">
        <v>63.3</v>
      </c>
      <c r="C100" s="8">
        <v>82.6</v>
      </c>
    </row>
  </sheetData>
  <mergeCells count="1">
    <mergeCell ref="E5:F5"/>
  </mergeCells>
  <pageMargins left="0.7" right="0.7" top="0.75" bottom="0.75" header="0.3" footer="0.3"/>
  <pageSetup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02B-5D3A-45F6-8AA1-05A77D49D6EF}">
  <sheetPr codeName="Sheet50">
    <tabColor rgb="FFE2D0F0"/>
  </sheetPr>
  <dimension ref="B1:M58"/>
  <sheetViews>
    <sheetView showGridLines="0" zoomScaleNormal="100" workbookViewId="0">
      <selection activeCell="K30" sqref="K30"/>
    </sheetView>
  </sheetViews>
  <sheetFormatPr baseColWidth="10" defaultColWidth="8.83203125" defaultRowHeight="15" x14ac:dyDescent="0.2"/>
  <cols>
    <col min="1" max="1" width="2.83203125" customWidth="1"/>
    <col min="2" max="2" width="17.1640625" customWidth="1"/>
    <col min="3" max="3" width="11.5" customWidth="1"/>
    <col min="4" max="4" width="20.6640625" bestFit="1" customWidth="1"/>
    <col min="5" max="5" width="19.33203125" bestFit="1" customWidth="1"/>
    <col min="6" max="6" width="12.6640625" bestFit="1" customWidth="1"/>
    <col min="8" max="8" width="14.33203125" customWidth="1"/>
    <col min="9" max="9" width="17" bestFit="1" customWidth="1"/>
    <col min="10" max="10" width="11.5" bestFit="1" customWidth="1"/>
    <col min="11" max="11" width="21.1640625" bestFit="1" customWidth="1"/>
    <col min="12" max="12" width="19.83203125" bestFit="1" customWidth="1"/>
  </cols>
  <sheetData>
    <row r="1" spans="2:13" ht="25.5" customHeight="1" x14ac:dyDescent="0.25">
      <c r="B1" s="18" t="s">
        <v>233</v>
      </c>
    </row>
    <row r="2" spans="2:13" ht="15" customHeight="1" x14ac:dyDescent="0.2">
      <c r="B2" s="30" t="s">
        <v>232</v>
      </c>
    </row>
    <row r="3" spans="2:13" ht="18" customHeight="1" x14ac:dyDescent="0.2"/>
    <row r="4" spans="2:13" x14ac:dyDescent="0.2">
      <c r="H4" s="3" t="s">
        <v>54</v>
      </c>
    </row>
    <row r="5" spans="2:13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H5" s="116" t="s">
        <v>231</v>
      </c>
      <c r="I5" s="116"/>
      <c r="J5" s="116"/>
      <c r="K5" s="116"/>
      <c r="L5" s="116"/>
    </row>
    <row r="6" spans="2:13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I6" s="95" t="s">
        <v>76</v>
      </c>
      <c r="J6" s="20" t="s">
        <v>77</v>
      </c>
      <c r="K6" s="20" t="s">
        <v>22</v>
      </c>
      <c r="L6" s="20" t="s">
        <v>23</v>
      </c>
      <c r="M6" s="20"/>
    </row>
    <row r="7" spans="2:13" x14ac:dyDescent="0.2">
      <c r="B7" s="8">
        <v>70.2</v>
      </c>
      <c r="C7" s="8">
        <v>68.7</v>
      </c>
      <c r="D7" s="8">
        <v>101</v>
      </c>
      <c r="E7" s="8">
        <v>119</v>
      </c>
      <c r="F7" s="12">
        <v>107000</v>
      </c>
      <c r="H7" s="20" t="s">
        <v>229</v>
      </c>
      <c r="I7" s="87">
        <f>PEARSON($F$6:$F$58,B6:B58)</f>
        <v>8.8131115330406282E-2</v>
      </c>
      <c r="J7" s="87">
        <f>PEARSON($F$6:$F$58,C6:C58)</f>
        <v>-0.21594890460773236</v>
      </c>
      <c r="K7" s="87">
        <f>PEARSON($F$6:$F$58,D6:D58)</f>
        <v>-3.3036156159711241E-2</v>
      </c>
      <c r="L7" s="87">
        <f>PEARSON($F$6:$F$58,E6:E58)</f>
        <v>-1.1767089174847936E-2</v>
      </c>
    </row>
    <row r="8" spans="2:13" x14ac:dyDescent="0.2">
      <c r="B8" s="8">
        <v>76.400000000000006</v>
      </c>
      <c r="C8" s="8">
        <v>83.3</v>
      </c>
      <c r="D8" s="8">
        <v>401</v>
      </c>
      <c r="E8" s="8">
        <v>462</v>
      </c>
      <c r="F8" s="12">
        <v>109000</v>
      </c>
    </row>
    <row r="9" spans="2:13" x14ac:dyDescent="0.2">
      <c r="B9" s="8">
        <v>82.6</v>
      </c>
      <c r="C9" s="8">
        <v>88.7</v>
      </c>
      <c r="D9" s="8">
        <v>287</v>
      </c>
      <c r="E9" s="8">
        <v>342</v>
      </c>
      <c r="F9" s="12">
        <v>148000</v>
      </c>
    </row>
    <row r="10" spans="2:13" x14ac:dyDescent="0.2">
      <c r="B10" s="8">
        <v>76.900000000000006</v>
      </c>
      <c r="C10" s="8">
        <v>75.400000000000006</v>
      </c>
      <c r="D10" s="8">
        <v>275</v>
      </c>
      <c r="E10" s="8">
        <v>347</v>
      </c>
      <c r="F10" s="12">
        <v>255500</v>
      </c>
    </row>
    <row r="11" spans="2:13" x14ac:dyDescent="0.2">
      <c r="B11" s="8">
        <v>83.3</v>
      </c>
      <c r="C11" s="8">
        <v>82.1</v>
      </c>
      <c r="D11" s="8">
        <v>254</v>
      </c>
      <c r="E11" s="8">
        <v>313</v>
      </c>
      <c r="F11" s="12">
        <v>103500</v>
      </c>
    </row>
    <row r="12" spans="2:13" x14ac:dyDescent="0.2">
      <c r="B12" s="8">
        <v>76</v>
      </c>
      <c r="C12" s="8">
        <v>66.900000000000006</v>
      </c>
      <c r="D12" s="8">
        <v>117</v>
      </c>
      <c r="E12" s="8">
        <v>163</v>
      </c>
      <c r="F12" s="12">
        <v>114500</v>
      </c>
    </row>
    <row r="13" spans="2:13" x14ac:dyDescent="0.2">
      <c r="B13" s="8">
        <v>82.8</v>
      </c>
      <c r="C13" s="8">
        <v>76.8</v>
      </c>
      <c r="D13" s="8">
        <v>219</v>
      </c>
      <c r="E13" s="8">
        <v>304</v>
      </c>
      <c r="F13" s="12">
        <v>124000</v>
      </c>
    </row>
    <row r="14" spans="2:13" x14ac:dyDescent="0.2">
      <c r="B14" s="8">
        <v>76</v>
      </c>
      <c r="C14" s="8">
        <v>72.3</v>
      </c>
      <c r="D14" s="8">
        <v>152</v>
      </c>
      <c r="E14" s="8">
        <v>211</v>
      </c>
      <c r="F14" s="12">
        <v>132500</v>
      </c>
    </row>
    <row r="15" spans="2:13" x14ac:dyDescent="0.2">
      <c r="B15" s="8">
        <v>76.900000000000006</v>
      </c>
      <c r="C15" s="8">
        <v>72.400000000000006</v>
      </c>
      <c r="D15" s="8">
        <v>228</v>
      </c>
      <c r="E15" s="8">
        <v>286</v>
      </c>
      <c r="F15" s="12">
        <v>99000</v>
      </c>
    </row>
    <row r="16" spans="2:13" x14ac:dyDescent="0.2">
      <c r="B16" s="8">
        <v>78</v>
      </c>
      <c r="C16" s="8">
        <v>81</v>
      </c>
      <c r="D16" s="8">
        <v>393</v>
      </c>
      <c r="E16" s="8">
        <v>443</v>
      </c>
      <c r="F16" s="12">
        <v>124000</v>
      </c>
    </row>
    <row r="17" spans="2:6" x14ac:dyDescent="0.2">
      <c r="B17" s="8">
        <v>78</v>
      </c>
      <c r="C17" s="8">
        <v>77.8</v>
      </c>
      <c r="D17" s="8">
        <v>182</v>
      </c>
      <c r="E17" s="8">
        <v>237</v>
      </c>
      <c r="F17" s="12">
        <v>82000</v>
      </c>
    </row>
    <row r="18" spans="2:6" x14ac:dyDescent="0.2">
      <c r="B18" s="8">
        <v>82.6</v>
      </c>
      <c r="C18" s="8">
        <v>79.099999999999994</v>
      </c>
      <c r="D18" s="8">
        <v>164</v>
      </c>
      <c r="E18" s="8">
        <v>236</v>
      </c>
      <c r="F18" s="12">
        <v>185000</v>
      </c>
    </row>
    <row r="19" spans="2:6" x14ac:dyDescent="0.2">
      <c r="B19" s="8">
        <v>79.2</v>
      </c>
      <c r="C19" s="8">
        <v>77.8</v>
      </c>
      <c r="D19" s="8">
        <v>186</v>
      </c>
      <c r="E19" s="8">
        <v>251</v>
      </c>
      <c r="F19" s="12">
        <v>89500</v>
      </c>
    </row>
    <row r="20" spans="2:6" x14ac:dyDescent="0.2">
      <c r="B20" s="8">
        <v>75</v>
      </c>
      <c r="C20" s="8">
        <v>75.099999999999994</v>
      </c>
      <c r="D20" s="8">
        <v>235</v>
      </c>
      <c r="E20" s="8">
        <v>283</v>
      </c>
      <c r="F20" s="12">
        <v>91500</v>
      </c>
    </row>
    <row r="21" spans="2:6" x14ac:dyDescent="0.2">
      <c r="B21" s="8">
        <v>76.8</v>
      </c>
      <c r="C21" s="8">
        <v>70.8</v>
      </c>
      <c r="D21" s="8">
        <v>126</v>
      </c>
      <c r="E21" s="8">
        <v>180</v>
      </c>
      <c r="F21" s="12">
        <v>113500</v>
      </c>
    </row>
    <row r="22" spans="2:6" x14ac:dyDescent="0.2">
      <c r="B22" s="8">
        <v>79.900000000000006</v>
      </c>
      <c r="C22" s="8">
        <v>79.599999999999994</v>
      </c>
      <c r="D22" s="8">
        <v>181</v>
      </c>
      <c r="E22" s="8">
        <v>253</v>
      </c>
      <c r="F22" s="12">
        <v>99000</v>
      </c>
    </row>
    <row r="23" spans="2:6" x14ac:dyDescent="0.2">
      <c r="B23" s="8">
        <v>83.4</v>
      </c>
      <c r="C23" s="8">
        <v>85.9</v>
      </c>
      <c r="D23" s="8">
        <v>216</v>
      </c>
      <c r="E23" s="8">
        <v>291</v>
      </c>
      <c r="F23" s="12">
        <v>75500</v>
      </c>
    </row>
    <row r="24" spans="2:6" x14ac:dyDescent="0.2">
      <c r="B24" s="8">
        <v>79.2</v>
      </c>
      <c r="C24" s="8">
        <v>82.3</v>
      </c>
      <c r="D24" s="8">
        <v>289</v>
      </c>
      <c r="E24" s="8">
        <v>368</v>
      </c>
      <c r="F24" s="12">
        <v>86000</v>
      </c>
    </row>
    <row r="25" spans="2:6" x14ac:dyDescent="0.2">
      <c r="B25" s="8">
        <v>78.5</v>
      </c>
      <c r="C25" s="8">
        <v>79.2</v>
      </c>
      <c r="D25" s="8">
        <v>332</v>
      </c>
      <c r="E25" s="8">
        <v>396</v>
      </c>
      <c r="F25" s="12">
        <v>156500</v>
      </c>
    </row>
    <row r="26" spans="2:6" x14ac:dyDescent="0.2">
      <c r="B26" s="8">
        <v>83</v>
      </c>
      <c r="C26" s="8">
        <v>83.4</v>
      </c>
      <c r="D26" s="8">
        <v>249</v>
      </c>
      <c r="E26" s="8">
        <v>339</v>
      </c>
      <c r="F26" s="12">
        <v>99500</v>
      </c>
    </row>
    <row r="27" spans="2:6" x14ac:dyDescent="0.2">
      <c r="B27" s="8">
        <v>75.2</v>
      </c>
      <c r="C27" s="8">
        <v>85.2</v>
      </c>
      <c r="D27" s="8">
        <v>228</v>
      </c>
      <c r="E27" s="8">
        <v>286</v>
      </c>
      <c r="F27" s="12">
        <v>148000</v>
      </c>
    </row>
    <row r="28" spans="2:6" x14ac:dyDescent="0.2">
      <c r="B28" s="8">
        <v>93.6</v>
      </c>
      <c r="C28" s="8">
        <v>80.2</v>
      </c>
      <c r="D28" s="8">
        <v>194</v>
      </c>
      <c r="E28" s="8">
        <v>315</v>
      </c>
      <c r="F28" s="12">
        <v>82000</v>
      </c>
    </row>
    <row r="29" spans="2:6" x14ac:dyDescent="0.2">
      <c r="B29" s="8">
        <v>82.3</v>
      </c>
      <c r="C29" s="8">
        <v>87.2</v>
      </c>
      <c r="D29" s="8">
        <v>402</v>
      </c>
      <c r="E29" s="8">
        <v>481</v>
      </c>
      <c r="F29" s="12">
        <v>103500</v>
      </c>
    </row>
    <row r="30" spans="2:6" x14ac:dyDescent="0.2">
      <c r="B30" s="8">
        <v>71.900000000000006</v>
      </c>
      <c r="C30" s="8">
        <v>73.5</v>
      </c>
      <c r="D30" s="8">
        <v>181</v>
      </c>
      <c r="E30" s="8">
        <v>225</v>
      </c>
      <c r="F30" s="12">
        <v>205500</v>
      </c>
    </row>
    <row r="31" spans="2:6" x14ac:dyDescent="0.2">
      <c r="B31" s="8">
        <v>79.099999999999994</v>
      </c>
      <c r="C31" s="8">
        <v>74.599999999999994</v>
      </c>
      <c r="D31" s="8">
        <v>157</v>
      </c>
      <c r="E31" s="8">
        <v>217</v>
      </c>
      <c r="F31" s="12">
        <v>103500</v>
      </c>
    </row>
    <row r="32" spans="2:6" x14ac:dyDescent="0.2">
      <c r="B32" s="8">
        <v>88.7</v>
      </c>
      <c r="C32" s="8">
        <v>75.099999999999994</v>
      </c>
      <c r="D32" s="8">
        <v>266</v>
      </c>
      <c r="E32" s="8">
        <v>353</v>
      </c>
      <c r="F32" s="12">
        <v>340000</v>
      </c>
    </row>
    <row r="33" spans="2:6" x14ac:dyDescent="0.2">
      <c r="B33" s="8">
        <v>80.3</v>
      </c>
      <c r="C33" s="8">
        <v>74.900000000000006</v>
      </c>
      <c r="D33" s="8">
        <v>167</v>
      </c>
      <c r="E33" s="8">
        <v>247</v>
      </c>
      <c r="F33" s="12">
        <v>103500</v>
      </c>
    </row>
    <row r="34" spans="2:6" x14ac:dyDescent="0.2">
      <c r="B34" s="8">
        <v>83</v>
      </c>
      <c r="C34" s="8">
        <v>84.6</v>
      </c>
      <c r="D34" s="8">
        <v>342</v>
      </c>
      <c r="E34" s="8">
        <v>410</v>
      </c>
      <c r="F34" s="12">
        <v>99500</v>
      </c>
    </row>
    <row r="35" spans="2:6" x14ac:dyDescent="0.2">
      <c r="B35" s="8">
        <v>74.099999999999994</v>
      </c>
      <c r="C35" s="8">
        <v>81.7</v>
      </c>
      <c r="D35" s="8">
        <v>349</v>
      </c>
      <c r="E35" s="8">
        <v>395</v>
      </c>
      <c r="F35" s="12">
        <v>103000</v>
      </c>
    </row>
    <row r="36" spans="2:6" x14ac:dyDescent="0.2">
      <c r="B36" s="8">
        <v>79.400000000000006</v>
      </c>
      <c r="C36" s="8">
        <v>81.400000000000006</v>
      </c>
      <c r="D36" s="8">
        <v>340</v>
      </c>
      <c r="E36" s="8">
        <v>416</v>
      </c>
      <c r="F36" s="12">
        <v>103500</v>
      </c>
    </row>
    <row r="37" spans="2:6" x14ac:dyDescent="0.2">
      <c r="B37" s="8">
        <v>88.1</v>
      </c>
      <c r="C37" s="8">
        <v>83.8</v>
      </c>
      <c r="D37" s="8">
        <v>227</v>
      </c>
      <c r="E37" s="8">
        <v>342</v>
      </c>
      <c r="F37" s="12">
        <v>165000</v>
      </c>
    </row>
    <row r="38" spans="2:6" x14ac:dyDescent="0.2">
      <c r="B38" s="8">
        <v>74.599999999999994</v>
      </c>
      <c r="C38" s="8">
        <v>88.5</v>
      </c>
      <c r="D38" s="8">
        <v>409</v>
      </c>
      <c r="E38" s="8">
        <v>446</v>
      </c>
      <c r="F38" s="12">
        <v>124500</v>
      </c>
    </row>
    <row r="39" spans="2:6" x14ac:dyDescent="0.2">
      <c r="B39" s="8">
        <v>87.1</v>
      </c>
      <c r="C39" s="8">
        <v>84.9</v>
      </c>
      <c r="D39" s="8">
        <v>400</v>
      </c>
      <c r="E39" s="8">
        <v>477</v>
      </c>
      <c r="F39" s="12">
        <v>103500</v>
      </c>
    </row>
    <row r="40" spans="2:6" x14ac:dyDescent="0.2">
      <c r="B40" s="8">
        <v>79.7</v>
      </c>
      <c r="C40" s="8">
        <v>84.3</v>
      </c>
      <c r="D40" s="8">
        <v>374</v>
      </c>
      <c r="E40" s="8">
        <v>444</v>
      </c>
      <c r="F40" s="12">
        <v>82500</v>
      </c>
    </row>
    <row r="41" spans="2:6" x14ac:dyDescent="0.2">
      <c r="B41" s="8">
        <v>82.1</v>
      </c>
      <c r="C41" s="8">
        <v>78.2</v>
      </c>
      <c r="D41" s="8">
        <v>255</v>
      </c>
      <c r="E41" s="8">
        <v>351</v>
      </c>
      <c r="F41" s="12">
        <v>93000</v>
      </c>
    </row>
    <row r="42" spans="2:6" x14ac:dyDescent="0.2">
      <c r="B42" s="8">
        <v>81.7</v>
      </c>
      <c r="C42" s="8">
        <v>74.8</v>
      </c>
      <c r="D42" s="8">
        <v>248</v>
      </c>
      <c r="E42" s="8">
        <v>317</v>
      </c>
      <c r="F42" s="12">
        <v>168000</v>
      </c>
    </row>
    <row r="43" spans="2:6" x14ac:dyDescent="0.2">
      <c r="B43" s="8">
        <v>76.099999999999994</v>
      </c>
      <c r="C43" s="8">
        <v>78.5</v>
      </c>
      <c r="D43" s="8">
        <v>198</v>
      </c>
      <c r="E43" s="8">
        <v>250</v>
      </c>
      <c r="F43" s="12">
        <v>96000</v>
      </c>
    </row>
    <row r="44" spans="2:6" x14ac:dyDescent="0.2">
      <c r="B44" s="8">
        <v>75.3</v>
      </c>
      <c r="C44" s="8">
        <v>82.7</v>
      </c>
      <c r="D44" s="8">
        <v>239</v>
      </c>
      <c r="E44" s="8">
        <v>302</v>
      </c>
      <c r="F44" s="12">
        <v>80000</v>
      </c>
    </row>
    <row r="45" spans="2:6" x14ac:dyDescent="0.2">
      <c r="B45" s="8">
        <v>75.7</v>
      </c>
      <c r="C45" s="8">
        <v>84</v>
      </c>
      <c r="D45" s="8">
        <v>340</v>
      </c>
      <c r="E45" s="8">
        <v>373</v>
      </c>
      <c r="F45" s="12">
        <v>124500</v>
      </c>
    </row>
    <row r="46" spans="2:6" x14ac:dyDescent="0.2">
      <c r="B46" s="8">
        <v>70.400000000000006</v>
      </c>
      <c r="C46" s="8">
        <v>78.2</v>
      </c>
      <c r="D46" s="8">
        <v>263</v>
      </c>
      <c r="E46" s="8">
        <v>306</v>
      </c>
      <c r="F46" s="12">
        <v>99000</v>
      </c>
    </row>
    <row r="47" spans="2:6" x14ac:dyDescent="0.2">
      <c r="B47" s="8">
        <v>66.3</v>
      </c>
      <c r="C47" s="8">
        <v>79.7</v>
      </c>
      <c r="D47" s="8">
        <v>301</v>
      </c>
      <c r="E47" s="8">
        <v>338</v>
      </c>
      <c r="F47" s="12">
        <v>124000</v>
      </c>
    </row>
    <row r="48" spans="2:6" x14ac:dyDescent="0.2">
      <c r="B48" s="8">
        <v>66</v>
      </c>
      <c r="C48" s="8">
        <v>78.5</v>
      </c>
      <c r="D48" s="8">
        <v>160</v>
      </c>
      <c r="E48" s="8">
        <v>183</v>
      </c>
      <c r="F48" s="12">
        <v>91500</v>
      </c>
    </row>
    <row r="49" spans="2:6" x14ac:dyDescent="0.2">
      <c r="B49" s="8">
        <v>78.900000000000006</v>
      </c>
      <c r="C49" s="8">
        <v>72</v>
      </c>
      <c r="D49" s="8">
        <v>218</v>
      </c>
      <c r="E49" s="8">
        <v>274</v>
      </c>
      <c r="F49" s="12">
        <v>144500</v>
      </c>
    </row>
    <row r="50" spans="2:6" x14ac:dyDescent="0.2">
      <c r="B50" s="8">
        <v>79.3</v>
      </c>
      <c r="C50" s="8">
        <v>80.7</v>
      </c>
      <c r="D50" s="8">
        <v>236</v>
      </c>
      <c r="E50" s="8">
        <v>309</v>
      </c>
      <c r="F50" s="12">
        <v>114500</v>
      </c>
    </row>
    <row r="51" spans="2:6" x14ac:dyDescent="0.2">
      <c r="B51" s="8">
        <v>88.8</v>
      </c>
      <c r="C51" s="8">
        <v>87.4</v>
      </c>
      <c r="D51" s="8">
        <v>354</v>
      </c>
      <c r="E51" s="8">
        <v>458</v>
      </c>
      <c r="F51" s="12">
        <v>104500</v>
      </c>
    </row>
    <row r="52" spans="2:6" x14ac:dyDescent="0.2">
      <c r="B52" s="8">
        <v>66</v>
      </c>
      <c r="C52" s="8">
        <v>77.400000000000006</v>
      </c>
      <c r="D52" s="8">
        <v>214</v>
      </c>
      <c r="E52" s="8">
        <v>234</v>
      </c>
      <c r="F52" s="12">
        <v>124000</v>
      </c>
    </row>
    <row r="53" spans="2:6" x14ac:dyDescent="0.2">
      <c r="B53" s="8">
        <v>82.9</v>
      </c>
      <c r="C53" s="8">
        <v>84.7</v>
      </c>
      <c r="D53" s="8">
        <v>225</v>
      </c>
      <c r="E53" s="8">
        <v>306</v>
      </c>
      <c r="F53" s="12">
        <v>113000</v>
      </c>
    </row>
    <row r="54" spans="2:6" x14ac:dyDescent="0.2">
      <c r="B54" s="8">
        <v>100</v>
      </c>
      <c r="C54" s="8">
        <v>78.8</v>
      </c>
      <c r="D54" s="8">
        <v>261</v>
      </c>
      <c r="E54" s="8">
        <v>400</v>
      </c>
      <c r="F54" s="12">
        <v>78000</v>
      </c>
    </row>
    <row r="55" spans="2:6" x14ac:dyDescent="0.2">
      <c r="B55" s="8">
        <v>67.5</v>
      </c>
      <c r="C55" s="8">
        <v>88.8</v>
      </c>
      <c r="D55" s="8">
        <v>282</v>
      </c>
      <c r="E55" s="8">
        <v>325</v>
      </c>
      <c r="F55" s="12">
        <v>109000</v>
      </c>
    </row>
    <row r="56" spans="2:6" x14ac:dyDescent="0.2">
      <c r="B56" s="8">
        <v>76</v>
      </c>
      <c r="C56" s="8">
        <v>77.900000000000006</v>
      </c>
      <c r="D56" s="8">
        <v>326</v>
      </c>
      <c r="E56" s="8">
        <v>369</v>
      </c>
      <c r="F56" s="12">
        <v>99500</v>
      </c>
    </row>
    <row r="57" spans="2:6" x14ac:dyDescent="0.2">
      <c r="B57" s="8">
        <v>67.7</v>
      </c>
      <c r="C57" s="8">
        <v>86.1</v>
      </c>
      <c r="D57" s="8">
        <v>421</v>
      </c>
      <c r="E57" s="8">
        <v>457</v>
      </c>
      <c r="F57" s="12">
        <v>107000</v>
      </c>
    </row>
    <row r="58" spans="2:6" x14ac:dyDescent="0.2">
      <c r="B58" s="8">
        <v>68.099999999999994</v>
      </c>
      <c r="C58" s="8">
        <v>83.1</v>
      </c>
      <c r="D58" s="8">
        <v>279</v>
      </c>
      <c r="E58" s="8">
        <v>282</v>
      </c>
      <c r="F58" s="12">
        <v>84000</v>
      </c>
    </row>
  </sheetData>
  <mergeCells count="1">
    <mergeCell ref="H5:L5"/>
  </mergeCells>
  <pageMargins left="0.7" right="0.7" top="0.75" bottom="0.75" header="0.3" footer="0.3"/>
  <pageSetup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8477-5F6F-4643-97F5-4EDE76918466}">
  <sheetPr codeName="Sheet51">
    <tabColor rgb="FFEFE5F7"/>
  </sheetPr>
  <dimension ref="B1:F100"/>
  <sheetViews>
    <sheetView showGridLines="0" zoomScaleNormal="100" workbookViewId="0">
      <selection activeCell="F14" sqref="F14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</cols>
  <sheetData>
    <row r="1" spans="2:6" ht="25.5" customHeight="1" x14ac:dyDescent="0.25">
      <c r="B1" s="18" t="s">
        <v>243</v>
      </c>
    </row>
    <row r="2" spans="2:6" ht="15" customHeight="1" x14ac:dyDescent="0.2">
      <c r="B2" s="30" t="s">
        <v>236</v>
      </c>
    </row>
    <row r="3" spans="2:6" ht="18" customHeight="1" x14ac:dyDescent="0.2"/>
    <row r="4" spans="2:6" x14ac:dyDescent="0.2">
      <c r="E4" s="3" t="s">
        <v>54</v>
      </c>
    </row>
    <row r="5" spans="2:6" x14ac:dyDescent="0.2">
      <c r="B5" s="43" t="s">
        <v>22</v>
      </c>
      <c r="C5" s="43" t="s">
        <v>23</v>
      </c>
      <c r="E5" s="116" t="s">
        <v>228</v>
      </c>
      <c r="F5" s="116"/>
    </row>
    <row r="6" spans="2:6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</row>
    <row r="7" spans="2:6" x14ac:dyDescent="0.2">
      <c r="B7" s="8">
        <v>423</v>
      </c>
      <c r="C7" s="8">
        <v>410</v>
      </c>
    </row>
    <row r="8" spans="2:6" x14ac:dyDescent="0.2">
      <c r="B8" s="8">
        <v>101</v>
      </c>
      <c r="C8" s="8">
        <v>119</v>
      </c>
    </row>
    <row r="9" spans="2:6" x14ac:dyDescent="0.2">
      <c r="B9" s="8">
        <v>288</v>
      </c>
      <c r="C9" s="8">
        <v>334</v>
      </c>
    </row>
    <row r="10" spans="2:6" x14ac:dyDescent="0.2">
      <c r="B10" s="8">
        <v>248</v>
      </c>
      <c r="C10" s="8">
        <v>252</v>
      </c>
    </row>
    <row r="11" spans="2:6" x14ac:dyDescent="0.2">
      <c r="B11" s="8">
        <v>145</v>
      </c>
      <c r="C11" s="8">
        <v>209</v>
      </c>
    </row>
    <row r="12" spans="2:6" x14ac:dyDescent="0.2">
      <c r="B12" s="8">
        <v>401</v>
      </c>
      <c r="C12" s="8">
        <v>462</v>
      </c>
    </row>
    <row r="13" spans="2:6" x14ac:dyDescent="0.2">
      <c r="B13" s="8">
        <v>287</v>
      </c>
      <c r="C13" s="8">
        <v>342</v>
      </c>
    </row>
    <row r="14" spans="2:6" x14ac:dyDescent="0.2">
      <c r="B14" s="8">
        <v>275</v>
      </c>
      <c r="C14" s="8">
        <v>347</v>
      </c>
    </row>
    <row r="15" spans="2:6" x14ac:dyDescent="0.2">
      <c r="B15" s="8">
        <v>254</v>
      </c>
      <c r="C15" s="8">
        <v>313</v>
      </c>
    </row>
    <row r="16" spans="2:6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1">
    <mergeCell ref="E5:F5"/>
  </mergeCells>
  <pageMargins left="0.7" right="0.7" top="0.75" bottom="0.75" header="0.3" footer="0.3"/>
  <pageSetup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ACE1-1D95-4229-906E-60D7CBE76054}">
  <sheetPr codeName="Sheet52">
    <tabColor rgb="FFEFE5F7"/>
  </sheetPr>
  <dimension ref="B1:N100"/>
  <sheetViews>
    <sheetView showGridLines="0" workbookViewId="0">
      <selection activeCell="L7" sqref="L7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</cols>
  <sheetData>
    <row r="1" spans="2:14" ht="25.5" customHeight="1" x14ac:dyDescent="0.25">
      <c r="B1" s="18" t="s">
        <v>244</v>
      </c>
    </row>
    <row r="2" spans="2:14" ht="15" customHeight="1" x14ac:dyDescent="0.2">
      <c r="B2" s="30" t="s">
        <v>236</v>
      </c>
    </row>
    <row r="3" spans="2:14" ht="18" customHeight="1" x14ac:dyDescent="0.2"/>
    <row r="4" spans="2:14" x14ac:dyDescent="0.2">
      <c r="E4" s="3" t="s">
        <v>54</v>
      </c>
    </row>
    <row r="5" spans="2:14" x14ac:dyDescent="0.2">
      <c r="B5" s="43" t="s">
        <v>22</v>
      </c>
      <c r="C5" s="43" t="s">
        <v>23</v>
      </c>
      <c r="E5" s="116" t="s">
        <v>228</v>
      </c>
      <c r="F5" s="116"/>
      <c r="H5" s="116" t="s">
        <v>241</v>
      </c>
      <c r="I5" s="116"/>
      <c r="K5" s="116" t="s">
        <v>240</v>
      </c>
      <c r="L5" s="116"/>
    </row>
    <row r="6" spans="2:14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200</v>
      </c>
      <c r="N6" s="98"/>
    </row>
    <row r="7" spans="2:14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248.14268623603792</v>
      </c>
    </row>
    <row r="8" spans="2:14" x14ac:dyDescent="0.2">
      <c r="B8" s="8">
        <v>101</v>
      </c>
      <c r="C8" s="8">
        <v>119</v>
      </c>
    </row>
    <row r="9" spans="2:14" x14ac:dyDescent="0.2">
      <c r="B9" s="8">
        <v>288</v>
      </c>
      <c r="C9" s="8">
        <v>334</v>
      </c>
    </row>
    <row r="10" spans="2:14" x14ac:dyDescent="0.2">
      <c r="B10" s="8">
        <v>248</v>
      </c>
      <c r="C10" s="8">
        <v>252</v>
      </c>
    </row>
    <row r="11" spans="2:14" x14ac:dyDescent="0.2">
      <c r="B11" s="8">
        <v>145</v>
      </c>
      <c r="C11" s="8">
        <v>209</v>
      </c>
    </row>
    <row r="12" spans="2:14" x14ac:dyDescent="0.2">
      <c r="B12" s="8">
        <v>401</v>
      </c>
      <c r="C12" s="8">
        <v>462</v>
      </c>
    </row>
    <row r="13" spans="2:14" x14ac:dyDescent="0.2">
      <c r="B13" s="8">
        <v>287</v>
      </c>
      <c r="C13" s="8">
        <v>342</v>
      </c>
    </row>
    <row r="14" spans="2:14" x14ac:dyDescent="0.2">
      <c r="B14" s="8">
        <v>275</v>
      </c>
      <c r="C14" s="8">
        <v>347</v>
      </c>
    </row>
    <row r="15" spans="2:14" x14ac:dyDescent="0.2">
      <c r="B15" s="8">
        <v>254</v>
      </c>
      <c r="C15" s="8">
        <v>313</v>
      </c>
    </row>
    <row r="16" spans="2:14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3">
    <mergeCell ref="E5:F5"/>
    <mergeCell ref="K5:L5"/>
    <mergeCell ref="H5:I5"/>
  </mergeCells>
  <pageMargins left="0.7" right="0.7" top="0.75" bottom="0.75" header="0.3" footer="0.3"/>
  <pageSetup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8AC1-D113-40B5-95DF-5017B75EFCAC}">
  <sheetPr codeName="Sheet53">
    <tabColor rgb="FFE2D0F0"/>
  </sheetPr>
  <dimension ref="B1:Q100"/>
  <sheetViews>
    <sheetView showGridLines="0" topLeftCell="D1" workbookViewId="0">
      <selection activeCell="P11" sqref="P11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10.6640625" customWidth="1"/>
    <col min="4" max="4" width="20.6640625" bestFit="1" customWidth="1"/>
    <col min="5" max="5" width="19.33203125" customWidth="1"/>
    <col min="6" max="6" width="12.6640625" customWidth="1"/>
    <col min="7" max="7" width="26.33203125" bestFit="1" customWidth="1"/>
    <col min="9" max="9" width="14.33203125" customWidth="1"/>
    <col min="10" max="10" width="17" bestFit="1" customWidth="1"/>
    <col min="11" max="11" width="21.1640625" bestFit="1" customWidth="1"/>
    <col min="13" max="13" width="11.5" customWidth="1"/>
    <col min="16" max="16" width="14.1640625" bestFit="1" customWidth="1"/>
  </cols>
  <sheetData>
    <row r="1" spans="2:17" ht="25.5" customHeight="1" x14ac:dyDescent="0.25">
      <c r="B1" s="18" t="s">
        <v>245</v>
      </c>
    </row>
    <row r="2" spans="2:17" ht="15" customHeight="1" x14ac:dyDescent="0.2">
      <c r="B2" s="30" t="s">
        <v>246</v>
      </c>
    </row>
    <row r="3" spans="2:17" ht="18" customHeight="1" x14ac:dyDescent="0.2"/>
    <row r="4" spans="2:17" x14ac:dyDescent="0.2">
      <c r="I4" s="3" t="s">
        <v>54</v>
      </c>
    </row>
    <row r="5" spans="2:17" x14ac:dyDescent="0.2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G5" s="42" t="s">
        <v>242</v>
      </c>
      <c r="I5" s="116" t="s">
        <v>228</v>
      </c>
      <c r="J5" s="116"/>
      <c r="K5" s="116"/>
      <c r="M5" s="116" t="s">
        <v>241</v>
      </c>
      <c r="N5" s="116"/>
      <c r="P5" s="116" t="s">
        <v>240</v>
      </c>
      <c r="Q5" s="116"/>
    </row>
    <row r="6" spans="2:17" x14ac:dyDescent="0.2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G6" s="51">
        <f>E6-D6</f>
        <v>24</v>
      </c>
      <c r="J6" s="43" t="s">
        <v>76</v>
      </c>
      <c r="K6" s="43" t="s">
        <v>22</v>
      </c>
      <c r="M6" s="20" t="s">
        <v>238</v>
      </c>
      <c r="N6" s="75">
        <f>INTERCEPT(G6:G100,B6:B100)</f>
        <v>-223.4190539652177</v>
      </c>
      <c r="P6" s="20" t="s">
        <v>314</v>
      </c>
      <c r="Q6" s="71">
        <v>80</v>
      </c>
    </row>
    <row r="7" spans="2:17" x14ac:dyDescent="0.2">
      <c r="B7" s="8">
        <v>62.1</v>
      </c>
      <c r="C7" s="8">
        <v>92.8</v>
      </c>
      <c r="D7" s="8">
        <v>423</v>
      </c>
      <c r="E7" s="51">
        <v>410</v>
      </c>
      <c r="F7" s="52"/>
      <c r="G7" s="51">
        <f t="shared" ref="G7:G70" si="0">E7-D7</f>
        <v>-13</v>
      </c>
      <c r="I7" s="20" t="s">
        <v>229</v>
      </c>
      <c r="J7">
        <f>CORREL($G$6:$G$100,B6:B100)</f>
        <v>0.92556272300776632</v>
      </c>
      <c r="K7">
        <f>CORREL($G$6:$G$100,D6:D100)</f>
        <v>9.4366710749681004E-2</v>
      </c>
      <c r="M7" s="20" t="s">
        <v>239</v>
      </c>
      <c r="N7" s="87">
        <f>SLOPE(G6:G100,B6:B100)</f>
        <v>3.6394257812138537</v>
      </c>
      <c r="P7" s="20" t="s">
        <v>254</v>
      </c>
      <c r="Q7" s="72">
        <f>_xlfn.FORECAST.LINEAR(Q6,G6:G100,B6:B100)</f>
        <v>67.735008531890571</v>
      </c>
    </row>
    <row r="8" spans="2:17" x14ac:dyDescent="0.2">
      <c r="B8" s="8">
        <v>70.2</v>
      </c>
      <c r="C8" s="8">
        <v>68.7</v>
      </c>
      <c r="D8" s="8">
        <v>101</v>
      </c>
      <c r="E8" s="51">
        <v>119</v>
      </c>
      <c r="F8" s="52">
        <v>107000</v>
      </c>
      <c r="G8" s="51">
        <f t="shared" si="0"/>
        <v>18</v>
      </c>
    </row>
    <row r="9" spans="2:17" x14ac:dyDescent="0.2">
      <c r="B9" s="8">
        <v>75.099999999999994</v>
      </c>
      <c r="C9" s="8">
        <v>80.7</v>
      </c>
      <c r="D9" s="8">
        <v>288</v>
      </c>
      <c r="E9" s="51">
        <v>334</v>
      </c>
      <c r="F9" s="52"/>
      <c r="G9" s="51">
        <f t="shared" si="0"/>
        <v>46</v>
      </c>
    </row>
    <row r="10" spans="2:17" x14ac:dyDescent="0.2">
      <c r="B10" s="8">
        <v>60.9</v>
      </c>
      <c r="C10" s="8">
        <v>74.900000000000006</v>
      </c>
      <c r="D10" s="8">
        <v>248</v>
      </c>
      <c r="E10" s="51">
        <v>252</v>
      </c>
      <c r="F10" s="52"/>
      <c r="G10" s="51">
        <f t="shared" si="0"/>
        <v>4</v>
      </c>
      <c r="J10" s="109"/>
      <c r="K10" s="109"/>
      <c r="L10" s="109"/>
      <c r="M10" s="109"/>
      <c r="N10" s="109"/>
    </row>
    <row r="11" spans="2:17" x14ac:dyDescent="0.2">
      <c r="B11" s="8">
        <v>74.5</v>
      </c>
      <c r="C11" s="8">
        <v>80.7</v>
      </c>
      <c r="D11" s="8">
        <v>145</v>
      </c>
      <c r="E11" s="51">
        <v>209</v>
      </c>
      <c r="F11" s="52"/>
      <c r="G11" s="51">
        <f t="shared" si="0"/>
        <v>64</v>
      </c>
    </row>
    <row r="12" spans="2:17" x14ac:dyDescent="0.2">
      <c r="B12" s="8">
        <v>76.400000000000006</v>
      </c>
      <c r="C12" s="8">
        <v>83.3</v>
      </c>
      <c r="D12" s="8">
        <v>401</v>
      </c>
      <c r="E12" s="51">
        <v>462</v>
      </c>
      <c r="F12" s="52">
        <v>109000</v>
      </c>
      <c r="G12" s="51">
        <f t="shared" si="0"/>
        <v>61</v>
      </c>
    </row>
    <row r="13" spans="2:17" x14ac:dyDescent="0.2">
      <c r="B13" s="8">
        <v>82.6</v>
      </c>
      <c r="C13" s="8">
        <v>88.7</v>
      </c>
      <c r="D13" s="8">
        <v>287</v>
      </c>
      <c r="E13" s="51">
        <v>342</v>
      </c>
      <c r="F13" s="52">
        <v>148000</v>
      </c>
      <c r="G13" s="51">
        <f t="shared" si="0"/>
        <v>55</v>
      </c>
    </row>
    <row r="14" spans="2:17" x14ac:dyDescent="0.2">
      <c r="B14" s="8">
        <v>76.900000000000006</v>
      </c>
      <c r="C14" s="8">
        <v>75.400000000000006</v>
      </c>
      <c r="D14" s="8">
        <v>275</v>
      </c>
      <c r="E14" s="51">
        <v>347</v>
      </c>
      <c r="F14" s="52">
        <v>255500</v>
      </c>
      <c r="G14" s="51">
        <f t="shared" si="0"/>
        <v>72</v>
      </c>
    </row>
    <row r="15" spans="2:17" x14ac:dyDescent="0.2">
      <c r="B15" s="8">
        <v>83.3</v>
      </c>
      <c r="C15" s="8">
        <v>82.1</v>
      </c>
      <c r="D15" s="8">
        <v>254</v>
      </c>
      <c r="E15" s="51">
        <v>313</v>
      </c>
      <c r="F15" s="52">
        <v>103500</v>
      </c>
      <c r="G15" s="51">
        <f t="shared" si="0"/>
        <v>59</v>
      </c>
    </row>
    <row r="16" spans="2:17" x14ac:dyDescent="0.2">
      <c r="B16" s="8">
        <v>75.8</v>
      </c>
      <c r="C16" s="8">
        <v>87.5</v>
      </c>
      <c r="D16" s="8">
        <v>182</v>
      </c>
      <c r="E16" s="51">
        <v>232</v>
      </c>
      <c r="F16" s="52"/>
      <c r="G16" s="51">
        <f t="shared" si="0"/>
        <v>50</v>
      </c>
    </row>
    <row r="17" spans="2:7" x14ac:dyDescent="0.2">
      <c r="B17" s="8">
        <v>76</v>
      </c>
      <c r="C17" s="8">
        <v>66.900000000000006</v>
      </c>
      <c r="D17" s="8">
        <v>117</v>
      </c>
      <c r="E17" s="51">
        <v>163</v>
      </c>
      <c r="F17" s="52">
        <v>114500</v>
      </c>
      <c r="G17" s="51">
        <f t="shared" si="0"/>
        <v>46</v>
      </c>
    </row>
    <row r="18" spans="2:7" x14ac:dyDescent="0.2">
      <c r="B18" s="8">
        <v>62.8</v>
      </c>
      <c r="C18" s="8">
        <v>71.3</v>
      </c>
      <c r="D18" s="8">
        <v>130</v>
      </c>
      <c r="E18" s="51">
        <v>119</v>
      </c>
      <c r="F18" s="52"/>
      <c r="G18" s="51">
        <f t="shared" si="0"/>
        <v>-11</v>
      </c>
    </row>
    <row r="19" spans="2:7" x14ac:dyDescent="0.2">
      <c r="B19" s="8">
        <v>82.8</v>
      </c>
      <c r="C19" s="8">
        <v>76.8</v>
      </c>
      <c r="D19" s="8">
        <v>219</v>
      </c>
      <c r="E19" s="51">
        <v>304</v>
      </c>
      <c r="F19" s="52">
        <v>124000</v>
      </c>
      <c r="G19" s="51">
        <f t="shared" si="0"/>
        <v>85</v>
      </c>
    </row>
    <row r="20" spans="2:7" x14ac:dyDescent="0.2">
      <c r="B20" s="8">
        <v>76</v>
      </c>
      <c r="C20" s="8">
        <v>72.3</v>
      </c>
      <c r="D20" s="8">
        <v>152</v>
      </c>
      <c r="E20" s="51">
        <v>211</v>
      </c>
      <c r="F20" s="52">
        <v>132500</v>
      </c>
      <c r="G20" s="51">
        <f t="shared" si="0"/>
        <v>59</v>
      </c>
    </row>
    <row r="21" spans="2:7" x14ac:dyDescent="0.2">
      <c r="B21" s="8">
        <v>76.900000000000006</v>
      </c>
      <c r="C21" s="8">
        <v>72.400000000000006</v>
      </c>
      <c r="D21" s="8">
        <v>228</v>
      </c>
      <c r="E21" s="51">
        <v>286</v>
      </c>
      <c r="F21" s="52">
        <v>99000</v>
      </c>
      <c r="G21" s="51">
        <f t="shared" si="0"/>
        <v>58</v>
      </c>
    </row>
    <row r="22" spans="2:7" x14ac:dyDescent="0.2">
      <c r="B22" s="8">
        <v>75.8</v>
      </c>
      <c r="C22" s="8">
        <v>72</v>
      </c>
      <c r="D22" s="8">
        <v>62</v>
      </c>
      <c r="E22" s="51">
        <v>122</v>
      </c>
      <c r="F22" s="52"/>
      <c r="G22" s="51">
        <f t="shared" si="0"/>
        <v>60</v>
      </c>
    </row>
    <row r="23" spans="2:7" x14ac:dyDescent="0.2">
      <c r="B23" s="8">
        <v>78</v>
      </c>
      <c r="C23" s="8">
        <v>81</v>
      </c>
      <c r="D23" s="8">
        <v>393</v>
      </c>
      <c r="E23" s="51">
        <v>443</v>
      </c>
      <c r="F23" s="52">
        <v>124000</v>
      </c>
      <c r="G23" s="51">
        <f t="shared" si="0"/>
        <v>50</v>
      </c>
    </row>
    <row r="24" spans="2:7" x14ac:dyDescent="0.2">
      <c r="B24" s="8">
        <v>82.4</v>
      </c>
      <c r="C24" s="8">
        <v>96.1</v>
      </c>
      <c r="D24" s="8">
        <v>277</v>
      </c>
      <c r="E24" s="51">
        <v>366</v>
      </c>
      <c r="F24" s="52"/>
      <c r="G24" s="51">
        <f t="shared" si="0"/>
        <v>89</v>
      </c>
    </row>
    <row r="25" spans="2:7" x14ac:dyDescent="0.2">
      <c r="B25" s="8">
        <v>76.2</v>
      </c>
      <c r="C25" s="8">
        <v>76.7</v>
      </c>
      <c r="D25" s="8">
        <v>206</v>
      </c>
      <c r="E25" s="51">
        <v>244</v>
      </c>
      <c r="F25" s="52"/>
      <c r="G25" s="51">
        <f t="shared" si="0"/>
        <v>38</v>
      </c>
    </row>
    <row r="26" spans="2:7" x14ac:dyDescent="0.2">
      <c r="B26" s="8">
        <v>62.5</v>
      </c>
      <c r="C26" s="8">
        <v>80.3</v>
      </c>
      <c r="D26" s="8">
        <v>229</v>
      </c>
      <c r="E26" s="51">
        <v>241</v>
      </c>
      <c r="F26" s="52"/>
      <c r="G26" s="51">
        <f t="shared" si="0"/>
        <v>12</v>
      </c>
    </row>
    <row r="27" spans="2:7" x14ac:dyDescent="0.2">
      <c r="B27" s="8">
        <v>78</v>
      </c>
      <c r="C27" s="8">
        <v>77.8</v>
      </c>
      <c r="D27" s="8">
        <v>182</v>
      </c>
      <c r="E27" s="51">
        <v>237</v>
      </c>
      <c r="F27" s="52">
        <v>82000</v>
      </c>
      <c r="G27" s="51">
        <f t="shared" si="0"/>
        <v>55</v>
      </c>
    </row>
    <row r="28" spans="2:7" x14ac:dyDescent="0.2">
      <c r="B28" s="8">
        <v>66.5</v>
      </c>
      <c r="C28" s="8">
        <v>62.6</v>
      </c>
      <c r="D28" s="8">
        <v>98</v>
      </c>
      <c r="E28" s="51">
        <v>122</v>
      </c>
      <c r="F28" s="52"/>
      <c r="G28" s="51">
        <f t="shared" si="0"/>
        <v>24</v>
      </c>
    </row>
    <row r="29" spans="2:7" x14ac:dyDescent="0.2">
      <c r="B29" s="8">
        <v>63.5</v>
      </c>
      <c r="C29" s="8">
        <v>80.2</v>
      </c>
      <c r="D29" s="8">
        <v>125</v>
      </c>
      <c r="E29" s="51">
        <v>129</v>
      </c>
      <c r="F29" s="52"/>
      <c r="G29" s="51">
        <f t="shared" si="0"/>
        <v>4</v>
      </c>
    </row>
    <row r="30" spans="2:7" x14ac:dyDescent="0.2">
      <c r="B30" s="8">
        <v>82.6</v>
      </c>
      <c r="C30" s="8">
        <v>79.099999999999994</v>
      </c>
      <c r="D30" s="8">
        <v>164</v>
      </c>
      <c r="E30" s="51">
        <v>236</v>
      </c>
      <c r="F30" s="52">
        <v>185000</v>
      </c>
      <c r="G30" s="51">
        <f t="shared" si="0"/>
        <v>72</v>
      </c>
    </row>
    <row r="31" spans="2:7" x14ac:dyDescent="0.2">
      <c r="B31" s="8">
        <v>79.2</v>
      </c>
      <c r="C31" s="8">
        <v>77.8</v>
      </c>
      <c r="D31" s="8">
        <v>186</v>
      </c>
      <c r="E31" s="51">
        <v>251</v>
      </c>
      <c r="F31" s="52">
        <v>89500</v>
      </c>
      <c r="G31" s="51">
        <f t="shared" si="0"/>
        <v>65</v>
      </c>
    </row>
    <row r="32" spans="2:7" x14ac:dyDescent="0.2">
      <c r="B32" s="8">
        <v>75</v>
      </c>
      <c r="C32" s="8">
        <v>75.099999999999994</v>
      </c>
      <c r="D32" s="8">
        <v>235</v>
      </c>
      <c r="E32" s="51">
        <v>283</v>
      </c>
      <c r="F32" s="52">
        <v>91500</v>
      </c>
      <c r="G32" s="51">
        <f t="shared" si="0"/>
        <v>48</v>
      </c>
    </row>
    <row r="33" spans="2:7" x14ac:dyDescent="0.2">
      <c r="B33" s="8">
        <v>74.400000000000006</v>
      </c>
      <c r="C33" s="8">
        <v>82.2</v>
      </c>
      <c r="D33" s="8">
        <v>184</v>
      </c>
      <c r="E33" s="51">
        <v>225</v>
      </c>
      <c r="F33" s="52"/>
      <c r="G33" s="51">
        <f t="shared" si="0"/>
        <v>41</v>
      </c>
    </row>
    <row r="34" spans="2:7" x14ac:dyDescent="0.2">
      <c r="B34" s="8">
        <v>67.900000000000006</v>
      </c>
      <c r="C34" s="8">
        <v>70.5</v>
      </c>
      <c r="D34" s="8">
        <v>76</v>
      </c>
      <c r="E34" s="51">
        <v>102</v>
      </c>
      <c r="F34" s="52"/>
      <c r="G34" s="51">
        <f t="shared" si="0"/>
        <v>26</v>
      </c>
    </row>
    <row r="35" spans="2:7" x14ac:dyDescent="0.2">
      <c r="B35" s="8">
        <v>76.8</v>
      </c>
      <c r="C35" s="8">
        <v>70.8</v>
      </c>
      <c r="D35" s="8">
        <v>126</v>
      </c>
      <c r="E35" s="51">
        <v>180</v>
      </c>
      <c r="F35" s="52">
        <v>113500</v>
      </c>
      <c r="G35" s="51">
        <f t="shared" si="0"/>
        <v>54</v>
      </c>
    </row>
    <row r="36" spans="2:7" x14ac:dyDescent="0.2">
      <c r="B36" s="8">
        <v>83</v>
      </c>
      <c r="C36" s="8">
        <v>87.5</v>
      </c>
      <c r="D36" s="8">
        <v>183</v>
      </c>
      <c r="E36" s="51">
        <v>247</v>
      </c>
      <c r="F36" s="52"/>
      <c r="G36" s="51">
        <f t="shared" si="0"/>
        <v>64</v>
      </c>
    </row>
    <row r="37" spans="2:7" x14ac:dyDescent="0.2">
      <c r="B37" s="8">
        <v>88.9</v>
      </c>
      <c r="C37" s="8">
        <v>79.5</v>
      </c>
      <c r="D37" s="8">
        <v>242</v>
      </c>
      <c r="E37" s="51">
        <v>343</v>
      </c>
      <c r="F37" s="52"/>
      <c r="G37" s="51">
        <f t="shared" si="0"/>
        <v>101</v>
      </c>
    </row>
    <row r="38" spans="2:7" x14ac:dyDescent="0.2">
      <c r="B38" s="8">
        <v>76.5</v>
      </c>
      <c r="C38" s="8">
        <v>80.8</v>
      </c>
      <c r="D38" s="8">
        <v>207</v>
      </c>
      <c r="E38" s="51">
        <v>283</v>
      </c>
      <c r="F38" s="52"/>
      <c r="G38" s="51">
        <f t="shared" si="0"/>
        <v>76</v>
      </c>
    </row>
    <row r="39" spans="2:7" x14ac:dyDescent="0.2">
      <c r="B39" s="8">
        <v>79.900000000000006</v>
      </c>
      <c r="C39" s="8">
        <v>79.599999999999994</v>
      </c>
      <c r="D39" s="8">
        <v>181</v>
      </c>
      <c r="E39" s="51">
        <v>253</v>
      </c>
      <c r="F39" s="52">
        <v>99000</v>
      </c>
      <c r="G39" s="51">
        <f t="shared" si="0"/>
        <v>72</v>
      </c>
    </row>
    <row r="40" spans="2:7" x14ac:dyDescent="0.2">
      <c r="B40" s="8">
        <v>70.400000000000006</v>
      </c>
      <c r="C40" s="8">
        <v>88.9</v>
      </c>
      <c r="D40" s="8">
        <v>239</v>
      </c>
      <c r="E40" s="51">
        <v>263</v>
      </c>
      <c r="F40" s="52"/>
      <c r="G40" s="51">
        <f t="shared" si="0"/>
        <v>24</v>
      </c>
    </row>
    <row r="41" spans="2:7" x14ac:dyDescent="0.2">
      <c r="B41" s="8">
        <v>83.4</v>
      </c>
      <c r="C41" s="8">
        <v>85.9</v>
      </c>
      <c r="D41" s="8">
        <v>216</v>
      </c>
      <c r="E41" s="51">
        <v>291</v>
      </c>
      <c r="F41" s="52">
        <v>75500</v>
      </c>
      <c r="G41" s="51">
        <f t="shared" si="0"/>
        <v>75</v>
      </c>
    </row>
    <row r="42" spans="2:7" x14ac:dyDescent="0.2">
      <c r="B42" s="8">
        <v>79.2</v>
      </c>
      <c r="C42" s="8">
        <v>82.3</v>
      </c>
      <c r="D42" s="8">
        <v>289</v>
      </c>
      <c r="E42" s="51">
        <v>368</v>
      </c>
      <c r="F42" s="52">
        <v>86000</v>
      </c>
      <c r="G42" s="51">
        <f t="shared" si="0"/>
        <v>79</v>
      </c>
    </row>
    <row r="43" spans="2:7" x14ac:dyDescent="0.2">
      <c r="B43" s="8">
        <v>61.2</v>
      </c>
      <c r="C43" s="8">
        <v>76.7</v>
      </c>
      <c r="D43" s="8">
        <v>213</v>
      </c>
      <c r="E43" s="51">
        <v>206</v>
      </c>
      <c r="F43" s="52"/>
      <c r="G43" s="51">
        <f t="shared" si="0"/>
        <v>-7</v>
      </c>
    </row>
    <row r="44" spans="2:7" x14ac:dyDescent="0.2">
      <c r="B44" s="8">
        <v>64</v>
      </c>
      <c r="C44" s="8">
        <v>79.900000000000006</v>
      </c>
      <c r="D44" s="8">
        <v>209</v>
      </c>
      <c r="E44" s="51">
        <v>231</v>
      </c>
      <c r="F44" s="52"/>
      <c r="G44" s="51">
        <f t="shared" si="0"/>
        <v>22</v>
      </c>
    </row>
    <row r="45" spans="2:7" x14ac:dyDescent="0.2">
      <c r="B45" s="8">
        <v>68</v>
      </c>
      <c r="C45" s="8">
        <v>86.2</v>
      </c>
      <c r="D45" s="8">
        <v>376</v>
      </c>
      <c r="E45" s="51">
        <v>389</v>
      </c>
      <c r="F45" s="52"/>
      <c r="G45" s="51">
        <f t="shared" si="0"/>
        <v>13</v>
      </c>
    </row>
    <row r="46" spans="2:7" x14ac:dyDescent="0.2">
      <c r="B46" s="8">
        <v>78.5</v>
      </c>
      <c r="C46" s="8">
        <v>79.2</v>
      </c>
      <c r="D46" s="8">
        <v>332</v>
      </c>
      <c r="E46" s="51">
        <v>396</v>
      </c>
      <c r="F46" s="52">
        <v>156500</v>
      </c>
      <c r="G46" s="51">
        <f t="shared" si="0"/>
        <v>64</v>
      </c>
    </row>
    <row r="47" spans="2:7" x14ac:dyDescent="0.2">
      <c r="B47" s="8">
        <v>83</v>
      </c>
      <c r="C47" s="8">
        <v>83.4</v>
      </c>
      <c r="D47" s="8">
        <v>249</v>
      </c>
      <c r="E47" s="51">
        <v>339</v>
      </c>
      <c r="F47" s="52">
        <v>99500</v>
      </c>
      <c r="G47" s="51">
        <f t="shared" si="0"/>
        <v>90</v>
      </c>
    </row>
    <row r="48" spans="2:7" x14ac:dyDescent="0.2">
      <c r="B48" s="8">
        <v>75.2</v>
      </c>
      <c r="C48" s="8">
        <v>85.2</v>
      </c>
      <c r="D48" s="8">
        <v>228</v>
      </c>
      <c r="E48" s="51">
        <v>286</v>
      </c>
      <c r="F48" s="52">
        <v>148000</v>
      </c>
      <c r="G48" s="51">
        <f t="shared" si="0"/>
        <v>58</v>
      </c>
    </row>
    <row r="49" spans="2:7" x14ac:dyDescent="0.2">
      <c r="B49" s="8">
        <v>68.099999999999994</v>
      </c>
      <c r="C49" s="8">
        <v>77.8</v>
      </c>
      <c r="D49" s="8">
        <v>124</v>
      </c>
      <c r="E49" s="51">
        <v>146</v>
      </c>
      <c r="F49" s="52"/>
      <c r="G49" s="51">
        <f t="shared" si="0"/>
        <v>22</v>
      </c>
    </row>
    <row r="50" spans="2:7" x14ac:dyDescent="0.2">
      <c r="B50" s="8">
        <v>93.6</v>
      </c>
      <c r="C50" s="8">
        <v>80.2</v>
      </c>
      <c r="D50" s="8">
        <v>194</v>
      </c>
      <c r="E50" s="51">
        <v>315</v>
      </c>
      <c r="F50" s="52">
        <v>82000</v>
      </c>
      <c r="G50" s="51">
        <f t="shared" si="0"/>
        <v>121</v>
      </c>
    </row>
    <row r="51" spans="2:7" x14ac:dyDescent="0.2">
      <c r="B51" s="8">
        <v>75.599999999999994</v>
      </c>
      <c r="C51" s="8">
        <v>71</v>
      </c>
      <c r="D51" s="8">
        <v>157</v>
      </c>
      <c r="E51" s="51">
        <v>183</v>
      </c>
      <c r="F51" s="52"/>
      <c r="G51" s="51">
        <f t="shared" si="0"/>
        <v>26</v>
      </c>
    </row>
    <row r="52" spans="2:7" x14ac:dyDescent="0.2">
      <c r="B52" s="8">
        <v>82.3</v>
      </c>
      <c r="C52" s="8">
        <v>87.2</v>
      </c>
      <c r="D52" s="8">
        <v>402</v>
      </c>
      <c r="E52" s="51">
        <v>481</v>
      </c>
      <c r="F52" s="52">
        <v>103500</v>
      </c>
      <c r="G52" s="51">
        <f t="shared" si="0"/>
        <v>79</v>
      </c>
    </row>
    <row r="53" spans="2:7" x14ac:dyDescent="0.2">
      <c r="B53" s="8">
        <v>71.400000000000006</v>
      </c>
      <c r="C53" s="8">
        <v>82.9</v>
      </c>
      <c r="D53" s="8">
        <v>323</v>
      </c>
      <c r="E53" s="51">
        <v>349</v>
      </c>
      <c r="F53" s="52"/>
      <c r="G53" s="51">
        <f t="shared" si="0"/>
        <v>26</v>
      </c>
    </row>
    <row r="54" spans="2:7" x14ac:dyDescent="0.2">
      <c r="B54" s="8">
        <v>71.900000000000006</v>
      </c>
      <c r="C54" s="8">
        <v>73.5</v>
      </c>
      <c r="D54" s="8">
        <v>181</v>
      </c>
      <c r="E54" s="51">
        <v>225</v>
      </c>
      <c r="F54" s="52">
        <v>205500</v>
      </c>
      <c r="G54" s="51">
        <f t="shared" si="0"/>
        <v>44</v>
      </c>
    </row>
    <row r="55" spans="2:7" x14ac:dyDescent="0.2">
      <c r="B55" s="8">
        <v>79.099999999999994</v>
      </c>
      <c r="C55" s="8">
        <v>74.599999999999994</v>
      </c>
      <c r="D55" s="8">
        <v>157</v>
      </c>
      <c r="E55" s="51">
        <v>217</v>
      </c>
      <c r="F55" s="52">
        <v>103500</v>
      </c>
      <c r="G55" s="51">
        <f t="shared" si="0"/>
        <v>60</v>
      </c>
    </row>
    <row r="56" spans="2:7" x14ac:dyDescent="0.2">
      <c r="B56" s="8">
        <v>88.7</v>
      </c>
      <c r="C56" s="8">
        <v>75.099999999999994</v>
      </c>
      <c r="D56" s="8">
        <v>266</v>
      </c>
      <c r="E56" s="51">
        <v>353</v>
      </c>
      <c r="F56" s="52">
        <v>340000</v>
      </c>
      <c r="G56" s="51">
        <f t="shared" si="0"/>
        <v>87</v>
      </c>
    </row>
    <row r="57" spans="2:7" x14ac:dyDescent="0.2">
      <c r="B57" s="8">
        <v>69.400000000000006</v>
      </c>
      <c r="C57" s="8">
        <v>85.1</v>
      </c>
      <c r="D57" s="8">
        <v>268</v>
      </c>
      <c r="E57" s="51">
        <v>314</v>
      </c>
      <c r="F57" s="52"/>
      <c r="G57" s="51">
        <f t="shared" si="0"/>
        <v>46</v>
      </c>
    </row>
    <row r="58" spans="2:7" x14ac:dyDescent="0.2">
      <c r="B58" s="8">
        <v>80.3</v>
      </c>
      <c r="C58" s="8">
        <v>74.900000000000006</v>
      </c>
      <c r="D58" s="8">
        <v>167</v>
      </c>
      <c r="E58" s="51">
        <v>247</v>
      </c>
      <c r="F58" s="52">
        <v>103500</v>
      </c>
      <c r="G58" s="51">
        <f t="shared" si="0"/>
        <v>80</v>
      </c>
    </row>
    <row r="59" spans="2:7" x14ac:dyDescent="0.2">
      <c r="B59" s="8">
        <v>83</v>
      </c>
      <c r="C59" s="8">
        <v>84.6</v>
      </c>
      <c r="D59" s="8">
        <v>342</v>
      </c>
      <c r="E59" s="51">
        <v>410</v>
      </c>
      <c r="F59" s="52">
        <v>99500</v>
      </c>
      <c r="G59" s="51">
        <f t="shared" si="0"/>
        <v>68</v>
      </c>
    </row>
    <row r="60" spans="2:7" x14ac:dyDescent="0.2">
      <c r="B60" s="8">
        <v>74.099999999999994</v>
      </c>
      <c r="C60" s="8">
        <v>81.7</v>
      </c>
      <c r="D60" s="8">
        <v>349</v>
      </c>
      <c r="E60" s="51">
        <v>395</v>
      </c>
      <c r="F60" s="52">
        <v>103000</v>
      </c>
      <c r="G60" s="51">
        <f t="shared" si="0"/>
        <v>46</v>
      </c>
    </row>
    <row r="61" spans="2:7" x14ac:dyDescent="0.2">
      <c r="B61" s="8">
        <v>79.400000000000006</v>
      </c>
      <c r="C61" s="8">
        <v>81.400000000000006</v>
      </c>
      <c r="D61" s="8">
        <v>340</v>
      </c>
      <c r="E61" s="51">
        <v>416</v>
      </c>
      <c r="F61" s="52">
        <v>103500</v>
      </c>
      <c r="G61" s="51">
        <f t="shared" si="0"/>
        <v>76</v>
      </c>
    </row>
    <row r="62" spans="2:7" x14ac:dyDescent="0.2">
      <c r="B62" s="8">
        <v>88.1</v>
      </c>
      <c r="C62" s="8">
        <v>83.8</v>
      </c>
      <c r="D62" s="8">
        <v>227</v>
      </c>
      <c r="E62" s="51">
        <v>342</v>
      </c>
      <c r="F62" s="52">
        <v>165000</v>
      </c>
      <c r="G62" s="51">
        <f t="shared" si="0"/>
        <v>115</v>
      </c>
    </row>
    <row r="63" spans="2:7" x14ac:dyDescent="0.2">
      <c r="B63" s="8">
        <v>74.599999999999994</v>
      </c>
      <c r="C63" s="8">
        <v>88.5</v>
      </c>
      <c r="D63" s="8">
        <v>409</v>
      </c>
      <c r="E63" s="51">
        <v>446</v>
      </c>
      <c r="F63" s="52">
        <v>124500</v>
      </c>
      <c r="G63" s="51">
        <f t="shared" si="0"/>
        <v>37</v>
      </c>
    </row>
    <row r="64" spans="2:7" x14ac:dyDescent="0.2">
      <c r="B64" s="8">
        <v>87.1</v>
      </c>
      <c r="C64" s="8">
        <v>84.9</v>
      </c>
      <c r="D64" s="8">
        <v>400</v>
      </c>
      <c r="E64" s="51">
        <v>477</v>
      </c>
      <c r="F64" s="52">
        <v>103500</v>
      </c>
      <c r="G64" s="51">
        <f t="shared" si="0"/>
        <v>77</v>
      </c>
    </row>
    <row r="65" spans="2:7" x14ac:dyDescent="0.2">
      <c r="B65" s="8">
        <v>79.7</v>
      </c>
      <c r="C65" s="8">
        <v>84.3</v>
      </c>
      <c r="D65" s="8">
        <v>374</v>
      </c>
      <c r="E65" s="51">
        <v>444</v>
      </c>
      <c r="F65" s="52">
        <v>82500</v>
      </c>
      <c r="G65" s="51">
        <f t="shared" si="0"/>
        <v>70</v>
      </c>
    </row>
    <row r="66" spans="2:7" x14ac:dyDescent="0.2">
      <c r="B66" s="8">
        <v>82.1</v>
      </c>
      <c r="C66" s="8">
        <v>78.2</v>
      </c>
      <c r="D66" s="8">
        <v>255</v>
      </c>
      <c r="E66" s="51">
        <v>351</v>
      </c>
      <c r="F66" s="52">
        <v>93000</v>
      </c>
      <c r="G66" s="51">
        <f t="shared" si="0"/>
        <v>96</v>
      </c>
    </row>
    <row r="67" spans="2:7" x14ac:dyDescent="0.2">
      <c r="B67" s="8">
        <v>70.2</v>
      </c>
      <c r="C67" s="8">
        <v>80</v>
      </c>
      <c r="D67" s="8">
        <v>146</v>
      </c>
      <c r="E67" s="51">
        <v>165</v>
      </c>
      <c r="F67" s="52"/>
      <c r="G67" s="51">
        <f t="shared" si="0"/>
        <v>19</v>
      </c>
    </row>
    <row r="68" spans="2:7" x14ac:dyDescent="0.2">
      <c r="B68" s="8">
        <v>81.7</v>
      </c>
      <c r="C68" s="8">
        <v>74.8</v>
      </c>
      <c r="D68" s="8">
        <v>248</v>
      </c>
      <c r="E68" s="51">
        <v>317</v>
      </c>
      <c r="F68" s="52">
        <v>168000</v>
      </c>
      <c r="G68" s="51">
        <f t="shared" si="0"/>
        <v>69</v>
      </c>
    </row>
    <row r="69" spans="2:7" x14ac:dyDescent="0.2">
      <c r="B69" s="8">
        <v>76.099999999999994</v>
      </c>
      <c r="C69" s="8">
        <v>78.5</v>
      </c>
      <c r="D69" s="8">
        <v>198</v>
      </c>
      <c r="E69" s="51">
        <v>250</v>
      </c>
      <c r="F69" s="52">
        <v>96000</v>
      </c>
      <c r="G69" s="51">
        <f t="shared" si="0"/>
        <v>52</v>
      </c>
    </row>
    <row r="70" spans="2:7" x14ac:dyDescent="0.2">
      <c r="B70" s="8">
        <v>65.400000000000006</v>
      </c>
      <c r="C70" s="8">
        <v>71.8</v>
      </c>
      <c r="D70" s="8">
        <v>210</v>
      </c>
      <c r="E70" s="51">
        <v>217</v>
      </c>
      <c r="F70" s="52"/>
      <c r="G70" s="51">
        <f t="shared" si="0"/>
        <v>7</v>
      </c>
    </row>
    <row r="71" spans="2:7" x14ac:dyDescent="0.2">
      <c r="B71" s="8">
        <v>70.099999999999994</v>
      </c>
      <c r="C71" s="8">
        <v>69.900000000000006</v>
      </c>
      <c r="D71" s="8">
        <v>107</v>
      </c>
      <c r="E71" s="51">
        <v>138</v>
      </c>
      <c r="F71" s="52"/>
      <c r="G71" s="51">
        <f t="shared" ref="G71:G100" si="1">E71-D71</f>
        <v>31</v>
      </c>
    </row>
    <row r="72" spans="2:7" x14ac:dyDescent="0.2">
      <c r="B72" s="8">
        <v>75.3</v>
      </c>
      <c r="C72" s="8">
        <v>82.7</v>
      </c>
      <c r="D72" s="8">
        <v>239</v>
      </c>
      <c r="E72" s="51">
        <v>302</v>
      </c>
      <c r="F72" s="52">
        <v>80000</v>
      </c>
      <c r="G72" s="51">
        <f t="shared" si="1"/>
        <v>63</v>
      </c>
    </row>
    <row r="73" spans="2:7" x14ac:dyDescent="0.2">
      <c r="B73" s="8">
        <v>68.7</v>
      </c>
      <c r="C73" s="8">
        <v>74</v>
      </c>
      <c r="D73" s="8">
        <v>287</v>
      </c>
      <c r="E73" s="51">
        <v>311</v>
      </c>
      <c r="F73" s="52"/>
      <c r="G73" s="51">
        <f t="shared" si="1"/>
        <v>24</v>
      </c>
    </row>
    <row r="74" spans="2:7" x14ac:dyDescent="0.2">
      <c r="B74" s="8">
        <v>75.7</v>
      </c>
      <c r="C74" s="8">
        <v>84</v>
      </c>
      <c r="D74" s="8">
        <v>340</v>
      </c>
      <c r="E74" s="51">
        <v>373</v>
      </c>
      <c r="F74" s="52">
        <v>124500</v>
      </c>
      <c r="G74" s="51">
        <f t="shared" si="1"/>
        <v>33</v>
      </c>
    </row>
    <row r="75" spans="2:7" x14ac:dyDescent="0.2">
      <c r="B75" s="8">
        <v>68.7</v>
      </c>
      <c r="C75" s="8">
        <v>84.7</v>
      </c>
      <c r="D75" s="8">
        <v>155</v>
      </c>
      <c r="E75" s="51">
        <v>196</v>
      </c>
      <c r="F75" s="52"/>
      <c r="G75" s="51">
        <f t="shared" si="1"/>
        <v>41</v>
      </c>
    </row>
    <row r="76" spans="2:7" x14ac:dyDescent="0.2">
      <c r="B76" s="8">
        <v>70.400000000000006</v>
      </c>
      <c r="C76" s="8">
        <v>78.2</v>
      </c>
      <c r="D76" s="8">
        <v>263</v>
      </c>
      <c r="E76" s="51">
        <v>306</v>
      </c>
      <c r="F76" s="52">
        <v>99000</v>
      </c>
      <c r="G76" s="51">
        <f t="shared" si="1"/>
        <v>43</v>
      </c>
    </row>
    <row r="77" spans="2:7" x14ac:dyDescent="0.2">
      <c r="B77" s="8">
        <v>68.3</v>
      </c>
      <c r="C77" s="8">
        <v>85</v>
      </c>
      <c r="D77" s="8">
        <v>265</v>
      </c>
      <c r="E77" s="51">
        <v>302</v>
      </c>
      <c r="F77" s="52"/>
      <c r="G77" s="51">
        <f t="shared" si="1"/>
        <v>37</v>
      </c>
    </row>
    <row r="78" spans="2:7" x14ac:dyDescent="0.2">
      <c r="B78" s="8">
        <v>71.7</v>
      </c>
      <c r="C78" s="8">
        <v>80.099999999999994</v>
      </c>
      <c r="D78" s="8">
        <v>249</v>
      </c>
      <c r="E78" s="51">
        <v>278</v>
      </c>
      <c r="F78" s="52"/>
      <c r="G78" s="51">
        <f t="shared" si="1"/>
        <v>29</v>
      </c>
    </row>
    <row r="79" spans="2:7" x14ac:dyDescent="0.2">
      <c r="B79" s="8">
        <v>70.900000000000006</v>
      </c>
      <c r="C79" s="8">
        <v>85.3</v>
      </c>
      <c r="D79" s="8">
        <v>377</v>
      </c>
      <c r="E79" s="51">
        <v>429</v>
      </c>
      <c r="F79" s="52"/>
      <c r="G79" s="51">
        <f t="shared" si="1"/>
        <v>52</v>
      </c>
    </row>
    <row r="80" spans="2:7" x14ac:dyDescent="0.2">
      <c r="B80" s="8">
        <v>66.3</v>
      </c>
      <c r="C80" s="8">
        <v>79.7</v>
      </c>
      <c r="D80" s="8">
        <v>301</v>
      </c>
      <c r="E80" s="51">
        <v>338</v>
      </c>
      <c r="F80" s="52">
        <v>124000</v>
      </c>
      <c r="G80" s="51">
        <f t="shared" si="1"/>
        <v>37</v>
      </c>
    </row>
    <row r="81" spans="2:7" x14ac:dyDescent="0.2">
      <c r="B81" s="8">
        <v>65.3</v>
      </c>
      <c r="C81" s="8">
        <v>79.599999999999994</v>
      </c>
      <c r="D81" s="8">
        <v>242</v>
      </c>
      <c r="E81" s="51">
        <v>261</v>
      </c>
      <c r="F81" s="52"/>
      <c r="G81" s="51">
        <f t="shared" si="1"/>
        <v>19</v>
      </c>
    </row>
    <row r="82" spans="2:7" x14ac:dyDescent="0.2">
      <c r="B82" s="8">
        <v>75.7</v>
      </c>
      <c r="C82" s="8">
        <v>78.900000000000006</v>
      </c>
      <c r="D82" s="8">
        <v>211</v>
      </c>
      <c r="E82" s="51">
        <v>256</v>
      </c>
      <c r="F82" s="52"/>
      <c r="G82" s="51">
        <f t="shared" si="1"/>
        <v>45</v>
      </c>
    </row>
    <row r="83" spans="2:7" x14ac:dyDescent="0.2">
      <c r="B83" s="8">
        <v>66</v>
      </c>
      <c r="C83" s="8">
        <v>78.5</v>
      </c>
      <c r="D83" s="8">
        <v>160</v>
      </c>
      <c r="E83" s="51">
        <v>183</v>
      </c>
      <c r="F83" s="52">
        <v>91500</v>
      </c>
      <c r="G83" s="51">
        <f t="shared" si="1"/>
        <v>23</v>
      </c>
    </row>
    <row r="84" spans="2:7" x14ac:dyDescent="0.2">
      <c r="B84" s="8">
        <v>78.900000000000006</v>
      </c>
      <c r="C84" s="8">
        <v>72</v>
      </c>
      <c r="D84" s="8">
        <v>218</v>
      </c>
      <c r="E84" s="51">
        <v>274</v>
      </c>
      <c r="F84" s="52">
        <v>144500</v>
      </c>
      <c r="G84" s="51">
        <f t="shared" si="1"/>
        <v>56</v>
      </c>
    </row>
    <row r="85" spans="2:7" x14ac:dyDescent="0.2">
      <c r="B85" s="8">
        <v>74</v>
      </c>
      <c r="C85" s="8">
        <v>74.2</v>
      </c>
      <c r="D85" s="8">
        <v>133</v>
      </c>
      <c r="E85" s="51">
        <v>182</v>
      </c>
      <c r="F85" s="52"/>
      <c r="G85" s="51">
        <f t="shared" si="1"/>
        <v>49</v>
      </c>
    </row>
    <row r="86" spans="2:7" x14ac:dyDescent="0.2">
      <c r="B86" s="8">
        <v>74.599999999999994</v>
      </c>
      <c r="C86" s="8">
        <v>71.7</v>
      </c>
      <c r="D86" s="8">
        <v>122</v>
      </c>
      <c r="E86" s="51">
        <v>183</v>
      </c>
      <c r="F86" s="52"/>
      <c r="G86" s="51">
        <f t="shared" si="1"/>
        <v>61</v>
      </c>
    </row>
    <row r="87" spans="2:7" x14ac:dyDescent="0.2">
      <c r="B87" s="8">
        <v>79.3</v>
      </c>
      <c r="C87" s="8">
        <v>80.7</v>
      </c>
      <c r="D87" s="8">
        <v>236</v>
      </c>
      <c r="E87" s="51">
        <v>309</v>
      </c>
      <c r="F87" s="52">
        <v>114500</v>
      </c>
      <c r="G87" s="51">
        <f t="shared" si="1"/>
        <v>73</v>
      </c>
    </row>
    <row r="88" spans="2:7" x14ac:dyDescent="0.2">
      <c r="B88" s="8">
        <v>70.099999999999994</v>
      </c>
      <c r="C88" s="8">
        <v>84.1</v>
      </c>
      <c r="D88" s="8">
        <v>143</v>
      </c>
      <c r="E88" s="51">
        <v>178</v>
      </c>
      <c r="F88" s="52"/>
      <c r="G88" s="51">
        <f t="shared" si="1"/>
        <v>35</v>
      </c>
    </row>
    <row r="89" spans="2:7" x14ac:dyDescent="0.2">
      <c r="B89" s="8">
        <v>88.8</v>
      </c>
      <c r="C89" s="8">
        <v>87.4</v>
      </c>
      <c r="D89" s="8">
        <v>354</v>
      </c>
      <c r="E89" s="51">
        <v>458</v>
      </c>
      <c r="F89" s="52">
        <v>104500</v>
      </c>
      <c r="G89" s="51">
        <f t="shared" si="1"/>
        <v>104</v>
      </c>
    </row>
    <row r="90" spans="2:7" x14ac:dyDescent="0.2">
      <c r="B90" s="8">
        <v>66</v>
      </c>
      <c r="C90" s="8">
        <v>77.400000000000006</v>
      </c>
      <c r="D90" s="8">
        <v>214</v>
      </c>
      <c r="E90" s="51">
        <v>234</v>
      </c>
      <c r="F90" s="52">
        <v>124000</v>
      </c>
      <c r="G90" s="51">
        <f t="shared" si="1"/>
        <v>20</v>
      </c>
    </row>
    <row r="91" spans="2:7" x14ac:dyDescent="0.2">
      <c r="B91" s="8">
        <v>82.9</v>
      </c>
      <c r="C91" s="8">
        <v>84.7</v>
      </c>
      <c r="D91" s="8">
        <v>225</v>
      </c>
      <c r="E91" s="51">
        <v>306</v>
      </c>
      <c r="F91" s="52">
        <v>113000</v>
      </c>
      <c r="G91" s="51">
        <f t="shared" si="1"/>
        <v>81</v>
      </c>
    </row>
    <row r="92" spans="2:7" x14ac:dyDescent="0.2">
      <c r="B92" s="8">
        <v>100</v>
      </c>
      <c r="C92" s="8">
        <v>78.8</v>
      </c>
      <c r="D92" s="8">
        <v>261</v>
      </c>
      <c r="E92" s="51">
        <v>400</v>
      </c>
      <c r="F92" s="52">
        <v>78000</v>
      </c>
      <c r="G92" s="51">
        <f t="shared" si="1"/>
        <v>139</v>
      </c>
    </row>
    <row r="93" spans="2:7" x14ac:dyDescent="0.2">
      <c r="B93" s="8">
        <v>75.599999999999994</v>
      </c>
      <c r="C93" s="8">
        <v>92.7</v>
      </c>
      <c r="D93" s="8">
        <v>277</v>
      </c>
      <c r="E93" s="51">
        <v>337</v>
      </c>
      <c r="F93" s="52"/>
      <c r="G93" s="51">
        <f t="shared" si="1"/>
        <v>60</v>
      </c>
    </row>
    <row r="94" spans="2:7" x14ac:dyDescent="0.2">
      <c r="B94" s="8">
        <v>67.5</v>
      </c>
      <c r="C94" s="8">
        <v>88.8</v>
      </c>
      <c r="D94" s="8">
        <v>282</v>
      </c>
      <c r="E94" s="51">
        <v>325</v>
      </c>
      <c r="F94" s="52">
        <v>109000</v>
      </c>
      <c r="G94" s="51">
        <f t="shared" si="1"/>
        <v>43</v>
      </c>
    </row>
    <row r="95" spans="2:7" x14ac:dyDescent="0.2">
      <c r="B95" s="8">
        <v>68.7</v>
      </c>
      <c r="C95" s="8">
        <v>86.6</v>
      </c>
      <c r="D95" s="8">
        <v>322</v>
      </c>
      <c r="E95" s="51">
        <v>329</v>
      </c>
      <c r="F95" s="52"/>
      <c r="G95" s="51">
        <f t="shared" si="1"/>
        <v>7</v>
      </c>
    </row>
    <row r="96" spans="2:7" x14ac:dyDescent="0.2">
      <c r="B96" s="8">
        <v>76</v>
      </c>
      <c r="C96" s="8">
        <v>77.900000000000006</v>
      </c>
      <c r="D96" s="8">
        <v>326</v>
      </c>
      <c r="E96" s="51">
        <v>369</v>
      </c>
      <c r="F96" s="52">
        <v>99500</v>
      </c>
      <c r="G96" s="51">
        <f t="shared" si="1"/>
        <v>43</v>
      </c>
    </row>
    <row r="97" spans="2:7" x14ac:dyDescent="0.2">
      <c r="B97" s="8">
        <v>67.7</v>
      </c>
      <c r="C97" s="8">
        <v>86.1</v>
      </c>
      <c r="D97" s="8">
        <v>421</v>
      </c>
      <c r="E97" s="51">
        <v>457</v>
      </c>
      <c r="F97" s="52">
        <v>107000</v>
      </c>
      <c r="G97" s="51">
        <f t="shared" si="1"/>
        <v>36</v>
      </c>
    </row>
    <row r="98" spans="2:7" x14ac:dyDescent="0.2">
      <c r="B98" s="8">
        <v>75.3</v>
      </c>
      <c r="C98" s="8">
        <v>89.9</v>
      </c>
      <c r="D98" s="8">
        <v>368</v>
      </c>
      <c r="E98" s="51">
        <v>421</v>
      </c>
      <c r="F98" s="52"/>
      <c r="G98" s="51">
        <f t="shared" si="1"/>
        <v>53</v>
      </c>
    </row>
    <row r="99" spans="2:7" x14ac:dyDescent="0.2">
      <c r="B99" s="8">
        <v>68.099999999999994</v>
      </c>
      <c r="C99" s="8">
        <v>83.1</v>
      </c>
      <c r="D99" s="8">
        <v>279</v>
      </c>
      <c r="E99" s="51">
        <v>282</v>
      </c>
      <c r="F99" s="52">
        <v>84000</v>
      </c>
      <c r="G99" s="51">
        <f t="shared" si="1"/>
        <v>3</v>
      </c>
    </row>
    <row r="100" spans="2:7" x14ac:dyDescent="0.2">
      <c r="B100" s="8">
        <v>63.3</v>
      </c>
      <c r="C100" s="8">
        <v>82.6</v>
      </c>
      <c r="D100" s="8">
        <v>268</v>
      </c>
      <c r="E100" s="51">
        <v>256</v>
      </c>
      <c r="F100" s="52"/>
      <c r="G100" s="51">
        <f t="shared" si="1"/>
        <v>-12</v>
      </c>
    </row>
  </sheetData>
  <mergeCells count="3">
    <mergeCell ref="M5:N5"/>
    <mergeCell ref="P5:Q5"/>
    <mergeCell ref="I5:K5"/>
  </mergeCells>
  <pageMargins left="0.7" right="0.7" top="0.75" bottom="0.75" header="0.3" footer="0.3"/>
  <pageSetup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6A0D-2478-45C6-818E-4190B6779D37}">
  <sheetPr codeName="Sheet54">
    <tabColor rgb="FFEFE5F7"/>
  </sheetPr>
  <dimension ref="B1:P100"/>
  <sheetViews>
    <sheetView showGridLines="0" workbookViewId="0">
      <selection activeCell="O9" sqref="O9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5" width="11.5" customWidth="1"/>
  </cols>
  <sheetData>
    <row r="1" spans="2:16" ht="25.5" customHeight="1" x14ac:dyDescent="0.25">
      <c r="B1" s="18" t="s">
        <v>262</v>
      </c>
    </row>
    <row r="2" spans="2:16" ht="15" customHeight="1" x14ac:dyDescent="0.2">
      <c r="B2" s="30" t="s">
        <v>256</v>
      </c>
    </row>
    <row r="3" spans="2:16" ht="18" customHeight="1" x14ac:dyDescent="0.2"/>
    <row r="4" spans="2:16" x14ac:dyDescent="0.2">
      <c r="E4" s="3" t="s">
        <v>54</v>
      </c>
    </row>
    <row r="5" spans="2:16" x14ac:dyDescent="0.2">
      <c r="B5" s="43" t="s">
        <v>22</v>
      </c>
      <c r="C5" s="43" t="s">
        <v>23</v>
      </c>
      <c r="E5" s="116" t="s">
        <v>228</v>
      </c>
      <c r="F5" s="116"/>
      <c r="H5" s="116" t="s">
        <v>241</v>
      </c>
      <c r="I5" s="116"/>
      <c r="K5" s="116" t="s">
        <v>240</v>
      </c>
      <c r="L5" s="116"/>
      <c r="N5" s="116" t="s">
        <v>247</v>
      </c>
      <c r="O5" s="116"/>
    </row>
    <row r="6" spans="2:16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6" cm="1">
        <f t="array" ref="O6">SUMSQ(C6:C100-_xlfn.FORECAST.LINEAR(B6:B100,C6:C100,B6:B100))</f>
        <v>81929.289620086478</v>
      </c>
    </row>
    <row r="7" spans="2:16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6" cm="1">
        <f t="array" ref="O7">SUMSQ(C6:C100-AVERAGE(C6:C100))</f>
        <v>822141.5368421051</v>
      </c>
    </row>
    <row r="8" spans="2:16" x14ac:dyDescent="0.2">
      <c r="B8" s="8">
        <v>101</v>
      </c>
      <c r="C8" s="8">
        <v>119</v>
      </c>
      <c r="N8" s="20" t="s">
        <v>250</v>
      </c>
      <c r="O8" s="87">
        <f>F6^2</f>
        <v>0.90034649029559788</v>
      </c>
      <c r="P8" s="110">
        <f>1-(O6/O7)</f>
        <v>0.90034649029559821</v>
      </c>
    </row>
    <row r="9" spans="2:16" x14ac:dyDescent="0.2">
      <c r="B9" s="8">
        <v>288</v>
      </c>
      <c r="C9" s="8">
        <v>334</v>
      </c>
    </row>
    <row r="10" spans="2:16" x14ac:dyDescent="0.2">
      <c r="B10" s="8">
        <v>248</v>
      </c>
      <c r="C10" s="8">
        <v>252</v>
      </c>
    </row>
    <row r="11" spans="2:16" x14ac:dyDescent="0.2">
      <c r="B11" s="8">
        <v>145</v>
      </c>
      <c r="C11" s="8">
        <v>209</v>
      </c>
    </row>
    <row r="12" spans="2:16" x14ac:dyDescent="0.2">
      <c r="B12" s="8">
        <v>401</v>
      </c>
      <c r="C12" s="8">
        <v>462</v>
      </c>
    </row>
    <row r="13" spans="2:16" x14ac:dyDescent="0.2">
      <c r="B13" s="8">
        <v>287</v>
      </c>
      <c r="C13" s="8">
        <v>342</v>
      </c>
    </row>
    <row r="14" spans="2:16" x14ac:dyDescent="0.2">
      <c r="B14" s="8">
        <v>275</v>
      </c>
      <c r="C14" s="8">
        <v>347</v>
      </c>
    </row>
    <row r="15" spans="2:16" x14ac:dyDescent="0.2">
      <c r="B15" s="8">
        <v>254</v>
      </c>
      <c r="C15" s="8">
        <v>313</v>
      </c>
    </row>
    <row r="16" spans="2:16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A590-F644-408A-A506-5EF95CAB4896}">
  <sheetPr codeName="Sheet55">
    <tabColor rgb="FFEFE5F7"/>
  </sheetPr>
  <dimension ref="B1:O100"/>
  <sheetViews>
    <sheetView showGridLines="0" workbookViewId="0">
      <selection activeCell="P10" sqref="P10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263</v>
      </c>
    </row>
    <row r="2" spans="2:15" ht="15" customHeight="1" x14ac:dyDescent="0.2">
      <c r="B2" s="30" t="s">
        <v>257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6" t="s">
        <v>228</v>
      </c>
      <c r="F5" s="116"/>
      <c r="H5" s="116" t="s">
        <v>241</v>
      </c>
      <c r="I5" s="116"/>
      <c r="K5" s="116" t="s">
        <v>240</v>
      </c>
      <c r="L5" s="116"/>
      <c r="N5" s="116" t="s">
        <v>247</v>
      </c>
      <c r="O5" s="116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6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6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6">
        <f>O6/(COUNT(B6:B100)-1-1)</f>
        <v>880.96010344179012</v>
      </c>
    </row>
    <row r="10" spans="2:15" x14ac:dyDescent="0.2">
      <c r="B10" s="8">
        <v>248</v>
      </c>
      <c r="C10" s="8">
        <v>252</v>
      </c>
      <c r="N10" s="20" t="s">
        <v>145</v>
      </c>
      <c r="O10" s="75">
        <f>SQRT(O9)</f>
        <v>29.680972077103373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E029-EFDC-4177-801B-1FB3BFE2CC81}">
  <sheetPr codeName="Sheet56">
    <tabColor rgb="FFEFE5F7"/>
  </sheetPr>
  <dimension ref="B1:O100"/>
  <sheetViews>
    <sheetView showGridLines="0" workbookViewId="0">
      <selection activeCell="B5" sqref="B5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5.1640625" bestFit="1" customWidth="1"/>
    <col min="15" max="15" width="11.5" customWidth="1"/>
  </cols>
  <sheetData>
    <row r="1" spans="2:15" ht="25.5" customHeight="1" x14ac:dyDescent="0.25">
      <c r="B1" s="18" t="s">
        <v>264</v>
      </c>
    </row>
    <row r="2" spans="2:15" ht="15" customHeight="1" x14ac:dyDescent="0.2">
      <c r="B2" s="30" t="s">
        <v>258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6" t="s">
        <v>228</v>
      </c>
      <c r="F5" s="116"/>
      <c r="H5" s="116" t="s">
        <v>241</v>
      </c>
      <c r="I5" s="116"/>
      <c r="K5" s="116" t="s">
        <v>240</v>
      </c>
      <c r="L5" s="116"/>
      <c r="N5" s="116" t="s">
        <v>247</v>
      </c>
      <c r="O5" s="116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6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6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6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145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</row>
    <row r="12" spans="2:15" x14ac:dyDescent="0.2">
      <c r="B12" s="8">
        <v>401</v>
      </c>
      <c r="C12" s="8">
        <v>462</v>
      </c>
    </row>
    <row r="13" spans="2:15" x14ac:dyDescent="0.2">
      <c r="B13" s="8">
        <v>287</v>
      </c>
      <c r="C13" s="8">
        <v>342</v>
      </c>
    </row>
    <row r="14" spans="2:15" x14ac:dyDescent="0.2">
      <c r="B14" s="8">
        <v>275</v>
      </c>
      <c r="C14" s="8">
        <v>347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1E9B-3E68-454B-9032-6F25B64FF30C}">
  <sheetPr codeName="Sheet58">
    <tabColor rgb="FFEFE5F7"/>
  </sheetPr>
  <dimension ref="B1:O100"/>
  <sheetViews>
    <sheetView showGridLines="0" workbookViewId="0">
      <selection activeCell="O11" sqref="O11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6" max="6" width="9.1640625" customWidth="1"/>
    <col min="8" max="8" width="11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315</v>
      </c>
    </row>
    <row r="2" spans="2:15" ht="15" customHeight="1" x14ac:dyDescent="0.2">
      <c r="B2" s="30" t="s">
        <v>236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22</v>
      </c>
      <c r="C5" s="43" t="s">
        <v>23</v>
      </c>
      <c r="E5" s="116" t="s">
        <v>228</v>
      </c>
      <c r="F5" s="116"/>
      <c r="H5" s="116" t="s">
        <v>241</v>
      </c>
      <c r="I5" s="116"/>
      <c r="K5" s="116" t="s">
        <v>240</v>
      </c>
      <c r="L5" s="116"/>
      <c r="N5" s="116" t="s">
        <v>247</v>
      </c>
      <c r="O5" s="116"/>
    </row>
    <row r="6" spans="2:15" x14ac:dyDescent="0.2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20" t="s">
        <v>234</v>
      </c>
      <c r="L6" s="71">
        <v>250</v>
      </c>
      <c r="N6" s="58" t="s">
        <v>248</v>
      </c>
      <c r="O6" s="96" cm="1">
        <f t="array" ref="O6">SUMSQ(C6:C100-_xlfn.FORECAST.LINEAR(B6:B100,C6:C100,B6:B100))</f>
        <v>81929.289620086478</v>
      </c>
    </row>
    <row r="7" spans="2:15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20" t="s">
        <v>235</v>
      </c>
      <c r="L7" s="72">
        <f>_xlfn.FORECAST.LINEAR(L6,C6:C100,B6:B100)</f>
        <v>299.77081611702442</v>
      </c>
      <c r="N7" s="58" t="s">
        <v>249</v>
      </c>
      <c r="O7" s="96" cm="1">
        <f t="array" ref="O7">SUMSQ(C6:C100-AVERAGE(C6:C100))</f>
        <v>822141.5368421051</v>
      </c>
    </row>
    <row r="8" spans="2:15" x14ac:dyDescent="0.2">
      <c r="B8" s="8">
        <v>101</v>
      </c>
      <c r="C8" s="8">
        <v>119</v>
      </c>
      <c r="N8" s="20" t="s">
        <v>250</v>
      </c>
      <c r="O8" s="87">
        <f>RSQ(C6:C100,B6:B100)</f>
        <v>0.90034649029559788</v>
      </c>
    </row>
    <row r="9" spans="2:15" x14ac:dyDescent="0.2">
      <c r="B9" s="8">
        <v>288</v>
      </c>
      <c r="C9" s="8">
        <v>334</v>
      </c>
      <c r="N9" s="58" t="s">
        <v>253</v>
      </c>
      <c r="O9" s="96">
        <f>O6/(COUNT(C6:C100)-1-1)</f>
        <v>880.96010344179012</v>
      </c>
    </row>
    <row r="10" spans="2:15" x14ac:dyDescent="0.2">
      <c r="B10" s="8">
        <v>248</v>
      </c>
      <c r="C10" s="8">
        <v>252</v>
      </c>
      <c r="N10" s="20" t="s">
        <v>145</v>
      </c>
      <c r="O10" s="75">
        <f>STEYX(C6:C100,B6:B100)</f>
        <v>29.680972077103387</v>
      </c>
    </row>
    <row r="11" spans="2:15" x14ac:dyDescent="0.2">
      <c r="B11" s="8">
        <v>145</v>
      </c>
      <c r="C11" s="8">
        <v>209</v>
      </c>
      <c r="N11" s="20" t="s">
        <v>142</v>
      </c>
      <c r="O11" s="71">
        <v>0.05</v>
      </c>
    </row>
    <row r="12" spans="2:15" x14ac:dyDescent="0.2">
      <c r="B12" s="8">
        <v>401</v>
      </c>
      <c r="C12" s="8">
        <v>462</v>
      </c>
      <c r="N12" s="58" t="s">
        <v>252</v>
      </c>
      <c r="O12" s="96">
        <f>(O7-O6)/1</f>
        <v>740212.24722201866</v>
      </c>
    </row>
    <row r="13" spans="2:15" x14ac:dyDescent="0.2">
      <c r="B13" s="8">
        <v>287</v>
      </c>
      <c r="C13" s="8">
        <v>342</v>
      </c>
      <c r="N13" s="20" t="s">
        <v>251</v>
      </c>
      <c r="O13" s="75">
        <f>O12/O9</f>
        <v>840.23356373360275</v>
      </c>
    </row>
    <row r="14" spans="2:15" x14ac:dyDescent="0.2">
      <c r="B14" s="8">
        <v>275</v>
      </c>
      <c r="C14" s="8">
        <v>347</v>
      </c>
      <c r="N14" s="20" t="s">
        <v>206</v>
      </c>
      <c r="O14" s="121">
        <f>_xlfn.F.DIST.RT(O13,1,COUNT(B6:B100))</f>
        <v>5.7260862475535849E-49</v>
      </c>
    </row>
    <row r="15" spans="2:15" x14ac:dyDescent="0.2">
      <c r="B15" s="8">
        <v>254</v>
      </c>
      <c r="C15" s="8">
        <v>313</v>
      </c>
    </row>
    <row r="16" spans="2:15" x14ac:dyDescent="0.2">
      <c r="B16" s="8">
        <v>182</v>
      </c>
      <c r="C16" s="8">
        <v>232</v>
      </c>
    </row>
    <row r="17" spans="2:3" x14ac:dyDescent="0.2">
      <c r="B17" s="8">
        <v>117</v>
      </c>
      <c r="C17" s="8">
        <v>163</v>
      </c>
    </row>
    <row r="18" spans="2:3" x14ac:dyDescent="0.2">
      <c r="B18" s="8">
        <v>130</v>
      </c>
      <c r="C18" s="8">
        <v>119</v>
      </c>
    </row>
    <row r="19" spans="2:3" x14ac:dyDescent="0.2">
      <c r="B19" s="8">
        <v>219</v>
      </c>
      <c r="C19" s="8">
        <v>304</v>
      </c>
    </row>
    <row r="20" spans="2:3" x14ac:dyDescent="0.2">
      <c r="B20" s="8">
        <v>152</v>
      </c>
      <c r="C20" s="8">
        <v>211</v>
      </c>
    </row>
    <row r="21" spans="2:3" x14ac:dyDescent="0.2">
      <c r="B21" s="8">
        <v>228</v>
      </c>
      <c r="C21" s="8">
        <v>286</v>
      </c>
    </row>
    <row r="22" spans="2:3" x14ac:dyDescent="0.2">
      <c r="B22" s="8">
        <v>62</v>
      </c>
      <c r="C22" s="8">
        <v>122</v>
      </c>
    </row>
    <row r="23" spans="2:3" x14ac:dyDescent="0.2">
      <c r="B23" s="8">
        <v>393</v>
      </c>
      <c r="C23" s="8">
        <v>443</v>
      </c>
    </row>
    <row r="24" spans="2:3" x14ac:dyDescent="0.2">
      <c r="B24" s="8">
        <v>277</v>
      </c>
      <c r="C24" s="8">
        <v>366</v>
      </c>
    </row>
    <row r="25" spans="2:3" x14ac:dyDescent="0.2">
      <c r="B25" s="8">
        <v>206</v>
      </c>
      <c r="C25" s="8">
        <v>244</v>
      </c>
    </row>
    <row r="26" spans="2:3" x14ac:dyDescent="0.2">
      <c r="B26" s="8">
        <v>229</v>
      </c>
      <c r="C26" s="8">
        <v>241</v>
      </c>
    </row>
    <row r="27" spans="2:3" x14ac:dyDescent="0.2">
      <c r="B27" s="8">
        <v>182</v>
      </c>
      <c r="C27" s="8">
        <v>237</v>
      </c>
    </row>
    <row r="28" spans="2:3" x14ac:dyDescent="0.2">
      <c r="B28" s="8">
        <v>98</v>
      </c>
      <c r="C28" s="8">
        <v>122</v>
      </c>
    </row>
    <row r="29" spans="2:3" x14ac:dyDescent="0.2">
      <c r="B29" s="8">
        <v>125</v>
      </c>
      <c r="C29" s="8">
        <v>129</v>
      </c>
    </row>
    <row r="30" spans="2:3" x14ac:dyDescent="0.2">
      <c r="B30" s="8">
        <v>164</v>
      </c>
      <c r="C30" s="8">
        <v>236</v>
      </c>
    </row>
    <row r="31" spans="2:3" x14ac:dyDescent="0.2">
      <c r="B31" s="8">
        <v>186</v>
      </c>
      <c r="C31" s="8">
        <v>251</v>
      </c>
    </row>
    <row r="32" spans="2:3" x14ac:dyDescent="0.2">
      <c r="B32" s="8">
        <v>235</v>
      </c>
      <c r="C32" s="8">
        <v>283</v>
      </c>
    </row>
    <row r="33" spans="2:3" x14ac:dyDescent="0.2">
      <c r="B33" s="8">
        <v>184</v>
      </c>
      <c r="C33" s="8">
        <v>225</v>
      </c>
    </row>
    <row r="34" spans="2:3" x14ac:dyDescent="0.2">
      <c r="B34" s="8">
        <v>76</v>
      </c>
      <c r="C34" s="8">
        <v>102</v>
      </c>
    </row>
    <row r="35" spans="2:3" x14ac:dyDescent="0.2">
      <c r="B35" s="8">
        <v>126</v>
      </c>
      <c r="C35" s="8">
        <v>180</v>
      </c>
    </row>
    <row r="36" spans="2:3" x14ac:dyDescent="0.2">
      <c r="B36" s="8">
        <v>183</v>
      </c>
      <c r="C36" s="8">
        <v>247</v>
      </c>
    </row>
    <row r="37" spans="2:3" x14ac:dyDescent="0.2">
      <c r="B37" s="8">
        <v>242</v>
      </c>
      <c r="C37" s="8">
        <v>343</v>
      </c>
    </row>
    <row r="38" spans="2:3" x14ac:dyDescent="0.2">
      <c r="B38" s="8">
        <v>207</v>
      </c>
      <c r="C38" s="8">
        <v>283</v>
      </c>
    </row>
    <row r="39" spans="2:3" x14ac:dyDescent="0.2">
      <c r="B39" s="8">
        <v>181</v>
      </c>
      <c r="C39" s="8">
        <v>253</v>
      </c>
    </row>
    <row r="40" spans="2:3" x14ac:dyDescent="0.2">
      <c r="B40" s="8">
        <v>239</v>
      </c>
      <c r="C40" s="8">
        <v>263</v>
      </c>
    </row>
    <row r="41" spans="2:3" x14ac:dyDescent="0.2">
      <c r="B41" s="8">
        <v>216</v>
      </c>
      <c r="C41" s="8">
        <v>291</v>
      </c>
    </row>
    <row r="42" spans="2:3" x14ac:dyDescent="0.2">
      <c r="B42" s="8">
        <v>289</v>
      </c>
      <c r="C42" s="8">
        <v>368</v>
      </c>
    </row>
    <row r="43" spans="2:3" x14ac:dyDescent="0.2">
      <c r="B43" s="8">
        <v>213</v>
      </c>
      <c r="C43" s="8">
        <v>206</v>
      </c>
    </row>
    <row r="44" spans="2:3" x14ac:dyDescent="0.2">
      <c r="B44" s="8">
        <v>209</v>
      </c>
      <c r="C44" s="8">
        <v>231</v>
      </c>
    </row>
    <row r="45" spans="2:3" x14ac:dyDescent="0.2">
      <c r="B45" s="8">
        <v>376</v>
      </c>
      <c r="C45" s="8">
        <v>389</v>
      </c>
    </row>
    <row r="46" spans="2:3" x14ac:dyDescent="0.2">
      <c r="B46" s="8">
        <v>332</v>
      </c>
      <c r="C46" s="8">
        <v>396</v>
      </c>
    </row>
    <row r="47" spans="2:3" x14ac:dyDescent="0.2">
      <c r="B47" s="8">
        <v>249</v>
      </c>
      <c r="C47" s="8">
        <v>339</v>
      </c>
    </row>
    <row r="48" spans="2:3" x14ac:dyDescent="0.2">
      <c r="B48" s="8">
        <v>228</v>
      </c>
      <c r="C48" s="8">
        <v>286</v>
      </c>
    </row>
    <row r="49" spans="2:3" x14ac:dyDescent="0.2">
      <c r="B49" s="8">
        <v>124</v>
      </c>
      <c r="C49" s="8">
        <v>146</v>
      </c>
    </row>
    <row r="50" spans="2:3" x14ac:dyDescent="0.2">
      <c r="B50" s="8">
        <v>194</v>
      </c>
      <c r="C50" s="8">
        <v>315</v>
      </c>
    </row>
    <row r="51" spans="2:3" x14ac:dyDescent="0.2">
      <c r="B51" s="8">
        <v>157</v>
      </c>
      <c r="C51" s="8">
        <v>183</v>
      </c>
    </row>
    <row r="52" spans="2:3" x14ac:dyDescent="0.2">
      <c r="B52" s="8">
        <v>402</v>
      </c>
      <c r="C52" s="8">
        <v>481</v>
      </c>
    </row>
    <row r="53" spans="2:3" x14ac:dyDescent="0.2">
      <c r="B53" s="8">
        <v>323</v>
      </c>
      <c r="C53" s="8">
        <v>349</v>
      </c>
    </row>
    <row r="54" spans="2:3" x14ac:dyDescent="0.2">
      <c r="B54" s="8">
        <v>181</v>
      </c>
      <c r="C54" s="8">
        <v>225</v>
      </c>
    </row>
    <row r="55" spans="2:3" x14ac:dyDescent="0.2">
      <c r="B55" s="8">
        <v>157</v>
      </c>
      <c r="C55" s="8">
        <v>217</v>
      </c>
    </row>
    <row r="56" spans="2:3" x14ac:dyDescent="0.2">
      <c r="B56" s="8">
        <v>266</v>
      </c>
      <c r="C56" s="8">
        <v>353</v>
      </c>
    </row>
    <row r="57" spans="2:3" x14ac:dyDescent="0.2">
      <c r="B57" s="8">
        <v>268</v>
      </c>
      <c r="C57" s="8">
        <v>314</v>
      </c>
    </row>
    <row r="58" spans="2:3" x14ac:dyDescent="0.2">
      <c r="B58" s="8">
        <v>167</v>
      </c>
      <c r="C58" s="8">
        <v>247</v>
      </c>
    </row>
    <row r="59" spans="2:3" x14ac:dyDescent="0.2">
      <c r="B59" s="8">
        <v>342</v>
      </c>
      <c r="C59" s="8">
        <v>410</v>
      </c>
    </row>
    <row r="60" spans="2:3" x14ac:dyDescent="0.2">
      <c r="B60" s="8">
        <v>349</v>
      </c>
      <c r="C60" s="8">
        <v>395</v>
      </c>
    </row>
    <row r="61" spans="2:3" x14ac:dyDescent="0.2">
      <c r="B61" s="8">
        <v>340</v>
      </c>
      <c r="C61" s="8">
        <v>416</v>
      </c>
    </row>
    <row r="62" spans="2:3" x14ac:dyDescent="0.2">
      <c r="B62" s="8">
        <v>227</v>
      </c>
      <c r="C62" s="8">
        <v>342</v>
      </c>
    </row>
    <row r="63" spans="2:3" x14ac:dyDescent="0.2">
      <c r="B63" s="8">
        <v>409</v>
      </c>
      <c r="C63" s="8">
        <v>446</v>
      </c>
    </row>
    <row r="64" spans="2:3" x14ac:dyDescent="0.2">
      <c r="B64" s="8">
        <v>400</v>
      </c>
      <c r="C64" s="8">
        <v>477</v>
      </c>
    </row>
    <row r="65" spans="2:3" x14ac:dyDescent="0.2">
      <c r="B65" s="8">
        <v>374</v>
      </c>
      <c r="C65" s="8">
        <v>444</v>
      </c>
    </row>
    <row r="66" spans="2:3" x14ac:dyDescent="0.2">
      <c r="B66" s="8">
        <v>255</v>
      </c>
      <c r="C66" s="8">
        <v>351</v>
      </c>
    </row>
    <row r="67" spans="2:3" x14ac:dyDescent="0.2">
      <c r="B67" s="8">
        <v>146</v>
      </c>
      <c r="C67" s="8">
        <v>165</v>
      </c>
    </row>
    <row r="68" spans="2:3" x14ac:dyDescent="0.2">
      <c r="B68" s="8">
        <v>248</v>
      </c>
      <c r="C68" s="8">
        <v>317</v>
      </c>
    </row>
    <row r="69" spans="2:3" x14ac:dyDescent="0.2">
      <c r="B69" s="8">
        <v>198</v>
      </c>
      <c r="C69" s="8">
        <v>250</v>
      </c>
    </row>
    <row r="70" spans="2:3" x14ac:dyDescent="0.2">
      <c r="B70" s="8">
        <v>210</v>
      </c>
      <c r="C70" s="8">
        <v>217</v>
      </c>
    </row>
    <row r="71" spans="2:3" x14ac:dyDescent="0.2">
      <c r="B71" s="8">
        <v>107</v>
      </c>
      <c r="C71" s="8">
        <v>138</v>
      </c>
    </row>
    <row r="72" spans="2:3" x14ac:dyDescent="0.2">
      <c r="B72" s="8">
        <v>239</v>
      </c>
      <c r="C72" s="8">
        <v>302</v>
      </c>
    </row>
    <row r="73" spans="2:3" x14ac:dyDescent="0.2">
      <c r="B73" s="8">
        <v>287</v>
      </c>
      <c r="C73" s="8">
        <v>311</v>
      </c>
    </row>
    <row r="74" spans="2:3" x14ac:dyDescent="0.2">
      <c r="B74" s="8">
        <v>340</v>
      </c>
      <c r="C74" s="8">
        <v>373</v>
      </c>
    </row>
    <row r="75" spans="2:3" x14ac:dyDescent="0.2">
      <c r="B75" s="8">
        <v>155</v>
      </c>
      <c r="C75" s="8">
        <v>196</v>
      </c>
    </row>
    <row r="76" spans="2:3" x14ac:dyDescent="0.2">
      <c r="B76" s="8">
        <v>263</v>
      </c>
      <c r="C76" s="8">
        <v>306</v>
      </c>
    </row>
    <row r="77" spans="2:3" x14ac:dyDescent="0.2">
      <c r="B77" s="8">
        <v>265</v>
      </c>
      <c r="C77" s="8">
        <v>302</v>
      </c>
    </row>
    <row r="78" spans="2:3" x14ac:dyDescent="0.2">
      <c r="B78" s="8">
        <v>249</v>
      </c>
      <c r="C78" s="8">
        <v>278</v>
      </c>
    </row>
    <row r="79" spans="2:3" x14ac:dyDescent="0.2">
      <c r="B79" s="8">
        <v>377</v>
      </c>
      <c r="C79" s="8">
        <v>429</v>
      </c>
    </row>
    <row r="80" spans="2:3" x14ac:dyDescent="0.2">
      <c r="B80" s="8">
        <v>301</v>
      </c>
      <c r="C80" s="8">
        <v>338</v>
      </c>
    </row>
    <row r="81" spans="2:3" x14ac:dyDescent="0.2">
      <c r="B81" s="8">
        <v>242</v>
      </c>
      <c r="C81" s="8">
        <v>261</v>
      </c>
    </row>
    <row r="82" spans="2:3" x14ac:dyDescent="0.2">
      <c r="B82" s="8">
        <v>211</v>
      </c>
      <c r="C82" s="8">
        <v>256</v>
      </c>
    </row>
    <row r="83" spans="2:3" x14ac:dyDescent="0.2">
      <c r="B83" s="8">
        <v>160</v>
      </c>
      <c r="C83" s="8">
        <v>183</v>
      </c>
    </row>
    <row r="84" spans="2:3" x14ac:dyDescent="0.2">
      <c r="B84" s="8">
        <v>218</v>
      </c>
      <c r="C84" s="8">
        <v>274</v>
      </c>
    </row>
    <row r="85" spans="2:3" x14ac:dyDescent="0.2">
      <c r="B85" s="8">
        <v>133</v>
      </c>
      <c r="C85" s="8">
        <v>182</v>
      </c>
    </row>
    <row r="86" spans="2:3" x14ac:dyDescent="0.2">
      <c r="B86" s="8">
        <v>122</v>
      </c>
      <c r="C86" s="8">
        <v>183</v>
      </c>
    </row>
    <row r="87" spans="2:3" x14ac:dyDescent="0.2">
      <c r="B87" s="8">
        <v>236</v>
      </c>
      <c r="C87" s="8">
        <v>309</v>
      </c>
    </row>
    <row r="88" spans="2:3" x14ac:dyDescent="0.2">
      <c r="B88" s="8">
        <v>143</v>
      </c>
      <c r="C88" s="8">
        <v>178</v>
      </c>
    </row>
    <row r="89" spans="2:3" x14ac:dyDescent="0.2">
      <c r="B89" s="8">
        <v>354</v>
      </c>
      <c r="C89" s="8">
        <v>458</v>
      </c>
    </row>
    <row r="90" spans="2:3" x14ac:dyDescent="0.2">
      <c r="B90" s="8">
        <v>214</v>
      </c>
      <c r="C90" s="8">
        <v>234</v>
      </c>
    </row>
    <row r="91" spans="2:3" x14ac:dyDescent="0.2">
      <c r="B91" s="8">
        <v>225</v>
      </c>
      <c r="C91" s="8">
        <v>306</v>
      </c>
    </row>
    <row r="92" spans="2:3" x14ac:dyDescent="0.2">
      <c r="B92" s="8">
        <v>261</v>
      </c>
      <c r="C92" s="8">
        <v>400</v>
      </c>
    </row>
    <row r="93" spans="2:3" x14ac:dyDescent="0.2">
      <c r="B93" s="8">
        <v>277</v>
      </c>
      <c r="C93" s="8">
        <v>337</v>
      </c>
    </row>
    <row r="94" spans="2:3" x14ac:dyDescent="0.2">
      <c r="B94" s="8">
        <v>282</v>
      </c>
      <c r="C94" s="8">
        <v>325</v>
      </c>
    </row>
    <row r="95" spans="2:3" x14ac:dyDescent="0.2">
      <c r="B95" s="8">
        <v>322</v>
      </c>
      <c r="C95" s="8">
        <v>329</v>
      </c>
    </row>
    <row r="96" spans="2:3" x14ac:dyDescent="0.2">
      <c r="B96" s="8">
        <v>326</v>
      </c>
      <c r="C96" s="8">
        <v>369</v>
      </c>
    </row>
    <row r="97" spans="2:3" x14ac:dyDescent="0.2">
      <c r="B97" s="8">
        <v>421</v>
      </c>
      <c r="C97" s="8">
        <v>457</v>
      </c>
    </row>
    <row r="98" spans="2:3" x14ac:dyDescent="0.2">
      <c r="B98" s="8">
        <v>368</v>
      </c>
      <c r="C98" s="8">
        <v>421</v>
      </c>
    </row>
    <row r="99" spans="2:3" x14ac:dyDescent="0.2">
      <c r="B99" s="8">
        <v>279</v>
      </c>
      <c r="C99" s="8">
        <v>282</v>
      </c>
    </row>
    <row r="100" spans="2:3" x14ac:dyDescent="0.2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029D-2F8E-4C10-996B-8C9FC65C4BE7}">
  <sheetPr codeName="Sheet57">
    <tabColor rgb="FFE2D0F0"/>
  </sheetPr>
  <dimension ref="B1:O100"/>
  <sheetViews>
    <sheetView showGridLines="0" workbookViewId="0">
      <selection activeCell="O15" sqref="O1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6.33203125" bestFit="1" customWidth="1"/>
    <col min="5" max="5" width="12.83203125" customWidth="1"/>
    <col min="6" max="6" width="11.5" customWidth="1"/>
    <col min="8" max="8" width="11.5" customWidth="1"/>
    <col min="11" max="11" width="18.5" customWidth="1"/>
    <col min="14" max="14" width="16" bestFit="1" customWidth="1"/>
    <col min="15" max="15" width="11.5" customWidth="1"/>
  </cols>
  <sheetData>
    <row r="1" spans="2:15" ht="25.5" customHeight="1" x14ac:dyDescent="0.25">
      <c r="B1" s="18" t="s">
        <v>245</v>
      </c>
    </row>
    <row r="2" spans="2:15" ht="15" customHeight="1" x14ac:dyDescent="0.2">
      <c r="B2" s="30" t="s">
        <v>246</v>
      </c>
    </row>
    <row r="3" spans="2:15" ht="18" customHeight="1" x14ac:dyDescent="0.2"/>
    <row r="4" spans="2:15" x14ac:dyDescent="0.2">
      <c r="E4" s="3" t="s">
        <v>54</v>
      </c>
    </row>
    <row r="5" spans="2:15" x14ac:dyDescent="0.2">
      <c r="B5" s="43" t="s">
        <v>76</v>
      </c>
      <c r="C5" s="42" t="s">
        <v>242</v>
      </c>
      <c r="E5" s="116" t="s">
        <v>228</v>
      </c>
      <c r="F5" s="116"/>
      <c r="H5" s="116" t="s">
        <v>241</v>
      </c>
      <c r="I5" s="116"/>
      <c r="K5" s="116" t="s">
        <v>240</v>
      </c>
      <c r="L5" s="116"/>
      <c r="N5" s="116" t="s">
        <v>247</v>
      </c>
      <c r="O5" s="116"/>
    </row>
    <row r="6" spans="2:15" x14ac:dyDescent="0.2">
      <c r="B6" s="51">
        <v>68.400000000000006</v>
      </c>
      <c r="C6" s="51">
        <v>24</v>
      </c>
      <c r="E6" s="20" t="s">
        <v>229</v>
      </c>
      <c r="F6" s="87">
        <f>PEARSON(C6:C100,B6:B100)</f>
        <v>0.92556272300776632</v>
      </c>
      <c r="H6" s="20" t="s">
        <v>238</v>
      </c>
      <c r="I6" s="75">
        <f>INTERCEPT(C6:C100,B6:B100)</f>
        <v>-223.4190539652177</v>
      </c>
      <c r="K6" s="20" t="s">
        <v>230</v>
      </c>
      <c r="L6" s="71">
        <v>90</v>
      </c>
      <c r="N6" s="58" t="s">
        <v>248</v>
      </c>
      <c r="O6" s="96" cm="1">
        <f t="array" ref="O6">SUMSQ(C6:C100-_xlfn.FORECAST.LINEAR(B6:B100,C6:C100,B6:B100))</f>
        <v>11848.737688059424</v>
      </c>
    </row>
    <row r="7" spans="2:15" x14ac:dyDescent="0.2">
      <c r="B7" s="8">
        <v>62.1</v>
      </c>
      <c r="C7" s="51">
        <v>-13</v>
      </c>
      <c r="H7" s="20" t="s">
        <v>239</v>
      </c>
      <c r="I7" s="87">
        <f>SLOPE(C6:C100,B6:B100)</f>
        <v>3.6394257812138537</v>
      </c>
      <c r="K7" s="20" t="s">
        <v>254</v>
      </c>
      <c r="L7" s="72">
        <f>_xlfn.FORECAST.LINEAR(L6,C6:C100,B6:B100)</f>
        <v>104.12926634402913</v>
      </c>
      <c r="N7" s="58" t="s">
        <v>249</v>
      </c>
      <c r="O7" s="96" cm="1">
        <f t="array" ref="O7">SUMSQ(C6:C100-AVERAGE(C6:C100))</f>
        <v>82665.431578947362</v>
      </c>
    </row>
    <row r="8" spans="2:15" x14ac:dyDescent="0.2">
      <c r="B8" s="8">
        <v>70.2</v>
      </c>
      <c r="C8" s="51">
        <v>18</v>
      </c>
      <c r="N8" s="20" t="s">
        <v>250</v>
      </c>
      <c r="O8" s="87">
        <f>F6^2</f>
        <v>0.85666635422155113</v>
      </c>
    </row>
    <row r="9" spans="2:15" x14ac:dyDescent="0.2">
      <c r="B9" s="8">
        <v>75.099999999999994</v>
      </c>
      <c r="C9" s="51">
        <v>46</v>
      </c>
      <c r="K9" s="20"/>
      <c r="L9" s="21"/>
      <c r="N9" s="58" t="s">
        <v>253</v>
      </c>
      <c r="O9" s="96">
        <f>O6/(COUNT(C6:C100)-1-1)</f>
        <v>127.40578159203682</v>
      </c>
    </row>
    <row r="10" spans="2:15" x14ac:dyDescent="0.2">
      <c r="B10" s="8">
        <v>60.9</v>
      </c>
      <c r="C10" s="51">
        <v>4</v>
      </c>
      <c r="N10" s="20" t="s">
        <v>145</v>
      </c>
      <c r="O10" s="75">
        <f>STEYX(C6:C100,B6:B100)</f>
        <v>11.287416958367267</v>
      </c>
    </row>
    <row r="11" spans="2:15" x14ac:dyDescent="0.2">
      <c r="B11" s="8">
        <v>74.5</v>
      </c>
      <c r="C11" s="51">
        <v>64</v>
      </c>
      <c r="N11" s="20" t="s">
        <v>142</v>
      </c>
      <c r="O11" s="71">
        <v>0.05</v>
      </c>
    </row>
    <row r="12" spans="2:15" x14ac:dyDescent="0.2">
      <c r="B12" s="8">
        <v>76.400000000000006</v>
      </c>
      <c r="C12" s="51">
        <v>61</v>
      </c>
      <c r="N12" s="58" t="s">
        <v>252</v>
      </c>
      <c r="O12" s="96">
        <f>(O7-O6)/1</f>
        <v>70816.693890887938</v>
      </c>
    </row>
    <row r="13" spans="2:15" x14ac:dyDescent="0.2">
      <c r="B13" s="8">
        <v>82.6</v>
      </c>
      <c r="C13" s="51">
        <v>55</v>
      </c>
      <c r="N13" s="20" t="s">
        <v>251</v>
      </c>
      <c r="O13" s="75">
        <f>O12/O9</f>
        <v>555.83579493785044</v>
      </c>
    </row>
    <row r="14" spans="2:15" x14ac:dyDescent="0.2">
      <c r="B14" s="8">
        <v>76.900000000000006</v>
      </c>
      <c r="C14" s="51">
        <v>72</v>
      </c>
      <c r="N14" s="20" t="s">
        <v>206</v>
      </c>
      <c r="O14" s="87">
        <f>_xlfn.F.DIST.RT(O13,1,COUNT(C6:C100)-1-1)</f>
        <v>5.2426700789330636E-41</v>
      </c>
    </row>
    <row r="15" spans="2:15" x14ac:dyDescent="0.2">
      <c r="B15" s="8">
        <v>83.3</v>
      </c>
      <c r="C15" s="51">
        <v>59</v>
      </c>
    </row>
    <row r="16" spans="2:15" x14ac:dyDescent="0.2">
      <c r="B16" s="8">
        <v>75.8</v>
      </c>
      <c r="C16" s="51">
        <v>50</v>
      </c>
    </row>
    <row r="17" spans="2:3" x14ac:dyDescent="0.2">
      <c r="B17" s="8">
        <v>76</v>
      </c>
      <c r="C17" s="51">
        <v>46</v>
      </c>
    </row>
    <row r="18" spans="2:3" x14ac:dyDescent="0.2">
      <c r="B18" s="8">
        <v>62.8</v>
      </c>
      <c r="C18" s="51">
        <v>-11</v>
      </c>
    </row>
    <row r="19" spans="2:3" x14ac:dyDescent="0.2">
      <c r="B19" s="8">
        <v>82.8</v>
      </c>
      <c r="C19" s="51">
        <v>85</v>
      </c>
    </row>
    <row r="20" spans="2:3" x14ac:dyDescent="0.2">
      <c r="B20" s="8">
        <v>76</v>
      </c>
      <c r="C20" s="51">
        <v>59</v>
      </c>
    </row>
    <row r="21" spans="2:3" x14ac:dyDescent="0.2">
      <c r="B21" s="8">
        <v>76.900000000000006</v>
      </c>
      <c r="C21" s="51">
        <v>58</v>
      </c>
    </row>
    <row r="22" spans="2:3" x14ac:dyDescent="0.2">
      <c r="B22" s="8">
        <v>75.8</v>
      </c>
      <c r="C22" s="51">
        <v>60</v>
      </c>
    </row>
    <row r="23" spans="2:3" x14ac:dyDescent="0.2">
      <c r="B23" s="8">
        <v>78</v>
      </c>
      <c r="C23" s="51">
        <v>50</v>
      </c>
    </row>
    <row r="24" spans="2:3" x14ac:dyDescent="0.2">
      <c r="B24" s="8">
        <v>82.4</v>
      </c>
      <c r="C24" s="51">
        <v>89</v>
      </c>
    </row>
    <row r="25" spans="2:3" x14ac:dyDescent="0.2">
      <c r="B25" s="8">
        <v>76.2</v>
      </c>
      <c r="C25" s="51">
        <v>38</v>
      </c>
    </row>
    <row r="26" spans="2:3" x14ac:dyDescent="0.2">
      <c r="B26" s="8">
        <v>62.5</v>
      </c>
      <c r="C26" s="51">
        <v>12</v>
      </c>
    </row>
    <row r="27" spans="2:3" x14ac:dyDescent="0.2">
      <c r="B27" s="8">
        <v>78</v>
      </c>
      <c r="C27" s="51">
        <v>55</v>
      </c>
    </row>
    <row r="28" spans="2:3" x14ac:dyDescent="0.2">
      <c r="B28" s="8">
        <v>66.5</v>
      </c>
      <c r="C28" s="51">
        <v>24</v>
      </c>
    </row>
    <row r="29" spans="2:3" x14ac:dyDescent="0.2">
      <c r="B29" s="8">
        <v>63.5</v>
      </c>
      <c r="C29" s="51">
        <v>4</v>
      </c>
    </row>
    <row r="30" spans="2:3" x14ac:dyDescent="0.2">
      <c r="B30" s="8">
        <v>82.6</v>
      </c>
      <c r="C30" s="51">
        <v>72</v>
      </c>
    </row>
    <row r="31" spans="2:3" x14ac:dyDescent="0.2">
      <c r="B31" s="8">
        <v>79.2</v>
      </c>
      <c r="C31" s="51">
        <v>65</v>
      </c>
    </row>
    <row r="32" spans="2:3" x14ac:dyDescent="0.2">
      <c r="B32" s="8">
        <v>75</v>
      </c>
      <c r="C32" s="51">
        <v>48</v>
      </c>
    </row>
    <row r="33" spans="2:3" x14ac:dyDescent="0.2">
      <c r="B33" s="8">
        <v>74.400000000000006</v>
      </c>
      <c r="C33" s="51">
        <v>41</v>
      </c>
    </row>
    <row r="34" spans="2:3" x14ac:dyDescent="0.2">
      <c r="B34" s="8">
        <v>67.900000000000006</v>
      </c>
      <c r="C34" s="51">
        <v>26</v>
      </c>
    </row>
    <row r="35" spans="2:3" x14ac:dyDescent="0.2">
      <c r="B35" s="8">
        <v>76.8</v>
      </c>
      <c r="C35" s="51">
        <v>54</v>
      </c>
    </row>
    <row r="36" spans="2:3" x14ac:dyDescent="0.2">
      <c r="B36" s="8">
        <v>83</v>
      </c>
      <c r="C36" s="51">
        <v>64</v>
      </c>
    </row>
    <row r="37" spans="2:3" x14ac:dyDescent="0.2">
      <c r="B37" s="8">
        <v>88.9</v>
      </c>
      <c r="C37" s="51">
        <v>101</v>
      </c>
    </row>
    <row r="38" spans="2:3" x14ac:dyDescent="0.2">
      <c r="B38" s="8">
        <v>76.5</v>
      </c>
      <c r="C38" s="51">
        <v>76</v>
      </c>
    </row>
    <row r="39" spans="2:3" x14ac:dyDescent="0.2">
      <c r="B39" s="8">
        <v>79.900000000000006</v>
      </c>
      <c r="C39" s="51">
        <v>72</v>
      </c>
    </row>
    <row r="40" spans="2:3" x14ac:dyDescent="0.2">
      <c r="B40" s="8">
        <v>70.400000000000006</v>
      </c>
      <c r="C40" s="51">
        <v>24</v>
      </c>
    </row>
    <row r="41" spans="2:3" x14ac:dyDescent="0.2">
      <c r="B41" s="8">
        <v>83.4</v>
      </c>
      <c r="C41" s="51">
        <v>75</v>
      </c>
    </row>
    <row r="42" spans="2:3" x14ac:dyDescent="0.2">
      <c r="B42" s="8">
        <v>79.2</v>
      </c>
      <c r="C42" s="51">
        <v>79</v>
      </c>
    </row>
    <row r="43" spans="2:3" x14ac:dyDescent="0.2">
      <c r="B43" s="8">
        <v>61.2</v>
      </c>
      <c r="C43" s="51">
        <v>-7</v>
      </c>
    </row>
    <row r="44" spans="2:3" x14ac:dyDescent="0.2">
      <c r="B44" s="8">
        <v>64</v>
      </c>
      <c r="C44" s="51">
        <v>22</v>
      </c>
    </row>
    <row r="45" spans="2:3" x14ac:dyDescent="0.2">
      <c r="B45" s="8">
        <v>68</v>
      </c>
      <c r="C45" s="51">
        <v>13</v>
      </c>
    </row>
    <row r="46" spans="2:3" x14ac:dyDescent="0.2">
      <c r="B46" s="8">
        <v>78.5</v>
      </c>
      <c r="C46" s="51">
        <v>64</v>
      </c>
    </row>
    <row r="47" spans="2:3" x14ac:dyDescent="0.2">
      <c r="B47" s="8">
        <v>83</v>
      </c>
      <c r="C47" s="51">
        <v>90</v>
      </c>
    </row>
    <row r="48" spans="2:3" x14ac:dyDescent="0.2">
      <c r="B48" s="8">
        <v>75.2</v>
      </c>
      <c r="C48" s="51">
        <v>58</v>
      </c>
    </row>
    <row r="49" spans="2:3" x14ac:dyDescent="0.2">
      <c r="B49" s="8">
        <v>68.099999999999994</v>
      </c>
      <c r="C49" s="51">
        <v>22</v>
      </c>
    </row>
    <row r="50" spans="2:3" x14ac:dyDescent="0.2">
      <c r="B50" s="8">
        <v>93.6</v>
      </c>
      <c r="C50" s="51">
        <v>121</v>
      </c>
    </row>
    <row r="51" spans="2:3" x14ac:dyDescent="0.2">
      <c r="B51" s="8">
        <v>75.599999999999994</v>
      </c>
      <c r="C51" s="51">
        <v>26</v>
      </c>
    </row>
    <row r="52" spans="2:3" x14ac:dyDescent="0.2">
      <c r="B52" s="8">
        <v>82.3</v>
      </c>
      <c r="C52" s="51">
        <v>79</v>
      </c>
    </row>
    <row r="53" spans="2:3" x14ac:dyDescent="0.2">
      <c r="B53" s="8">
        <v>71.400000000000006</v>
      </c>
      <c r="C53" s="51">
        <v>26</v>
      </c>
    </row>
    <row r="54" spans="2:3" x14ac:dyDescent="0.2">
      <c r="B54" s="8">
        <v>71.900000000000006</v>
      </c>
      <c r="C54" s="51">
        <v>44</v>
      </c>
    </row>
    <row r="55" spans="2:3" x14ac:dyDescent="0.2">
      <c r="B55" s="8">
        <v>79.099999999999994</v>
      </c>
      <c r="C55" s="51">
        <v>60</v>
      </c>
    </row>
    <row r="56" spans="2:3" x14ac:dyDescent="0.2">
      <c r="B56" s="8">
        <v>88.7</v>
      </c>
      <c r="C56" s="51">
        <v>87</v>
      </c>
    </row>
    <row r="57" spans="2:3" x14ac:dyDescent="0.2">
      <c r="B57" s="8">
        <v>69.400000000000006</v>
      </c>
      <c r="C57" s="51">
        <v>46</v>
      </c>
    </row>
    <row r="58" spans="2:3" x14ac:dyDescent="0.2">
      <c r="B58" s="8">
        <v>80.3</v>
      </c>
      <c r="C58" s="51">
        <v>80</v>
      </c>
    </row>
    <row r="59" spans="2:3" x14ac:dyDescent="0.2">
      <c r="B59" s="8">
        <v>83</v>
      </c>
      <c r="C59" s="51">
        <v>68</v>
      </c>
    </row>
    <row r="60" spans="2:3" x14ac:dyDescent="0.2">
      <c r="B60" s="8">
        <v>74.099999999999994</v>
      </c>
      <c r="C60" s="51">
        <v>46</v>
      </c>
    </row>
    <row r="61" spans="2:3" x14ac:dyDescent="0.2">
      <c r="B61" s="8">
        <v>79.400000000000006</v>
      </c>
      <c r="C61" s="51">
        <v>76</v>
      </c>
    </row>
    <row r="62" spans="2:3" x14ac:dyDescent="0.2">
      <c r="B62" s="8">
        <v>88.1</v>
      </c>
      <c r="C62" s="51">
        <v>115</v>
      </c>
    </row>
    <row r="63" spans="2:3" x14ac:dyDescent="0.2">
      <c r="B63" s="8">
        <v>74.599999999999994</v>
      </c>
      <c r="C63" s="51">
        <v>37</v>
      </c>
    </row>
    <row r="64" spans="2:3" x14ac:dyDescent="0.2">
      <c r="B64" s="8">
        <v>87.1</v>
      </c>
      <c r="C64" s="51">
        <v>77</v>
      </c>
    </row>
    <row r="65" spans="2:3" x14ac:dyDescent="0.2">
      <c r="B65" s="8">
        <v>79.7</v>
      </c>
      <c r="C65" s="51">
        <v>70</v>
      </c>
    </row>
    <row r="66" spans="2:3" x14ac:dyDescent="0.2">
      <c r="B66" s="8">
        <v>82.1</v>
      </c>
      <c r="C66" s="51">
        <v>96</v>
      </c>
    </row>
    <row r="67" spans="2:3" x14ac:dyDescent="0.2">
      <c r="B67" s="8">
        <v>70.2</v>
      </c>
      <c r="C67" s="51">
        <v>19</v>
      </c>
    </row>
    <row r="68" spans="2:3" x14ac:dyDescent="0.2">
      <c r="B68" s="8">
        <v>81.7</v>
      </c>
      <c r="C68" s="51">
        <v>69</v>
      </c>
    </row>
    <row r="69" spans="2:3" x14ac:dyDescent="0.2">
      <c r="B69" s="8">
        <v>76.099999999999994</v>
      </c>
      <c r="C69" s="51">
        <v>52</v>
      </c>
    </row>
    <row r="70" spans="2:3" x14ac:dyDescent="0.2">
      <c r="B70" s="8">
        <v>65.400000000000006</v>
      </c>
      <c r="C70" s="51">
        <v>7</v>
      </c>
    </row>
    <row r="71" spans="2:3" x14ac:dyDescent="0.2">
      <c r="B71" s="8">
        <v>70.099999999999994</v>
      </c>
      <c r="C71" s="51">
        <v>31</v>
      </c>
    </row>
    <row r="72" spans="2:3" x14ac:dyDescent="0.2">
      <c r="B72" s="8">
        <v>75.3</v>
      </c>
      <c r="C72" s="51">
        <v>63</v>
      </c>
    </row>
    <row r="73" spans="2:3" x14ac:dyDescent="0.2">
      <c r="B73" s="8">
        <v>68.7</v>
      </c>
      <c r="C73" s="51">
        <v>24</v>
      </c>
    </row>
    <row r="74" spans="2:3" x14ac:dyDescent="0.2">
      <c r="B74" s="8">
        <v>75.7</v>
      </c>
      <c r="C74" s="51">
        <v>33</v>
      </c>
    </row>
    <row r="75" spans="2:3" x14ac:dyDescent="0.2">
      <c r="B75" s="8">
        <v>68.7</v>
      </c>
      <c r="C75" s="51">
        <v>41</v>
      </c>
    </row>
    <row r="76" spans="2:3" x14ac:dyDescent="0.2">
      <c r="B76" s="8">
        <v>70.400000000000006</v>
      </c>
      <c r="C76" s="51">
        <v>43</v>
      </c>
    </row>
    <row r="77" spans="2:3" x14ac:dyDescent="0.2">
      <c r="B77" s="8">
        <v>68.3</v>
      </c>
      <c r="C77" s="51">
        <v>37</v>
      </c>
    </row>
    <row r="78" spans="2:3" x14ac:dyDescent="0.2">
      <c r="B78" s="8">
        <v>71.7</v>
      </c>
      <c r="C78" s="51">
        <v>29</v>
      </c>
    </row>
    <row r="79" spans="2:3" x14ac:dyDescent="0.2">
      <c r="B79" s="8">
        <v>70.900000000000006</v>
      </c>
      <c r="C79" s="51">
        <v>52</v>
      </c>
    </row>
    <row r="80" spans="2:3" x14ac:dyDescent="0.2">
      <c r="B80" s="8">
        <v>66.3</v>
      </c>
      <c r="C80" s="51">
        <v>37</v>
      </c>
    </row>
    <row r="81" spans="2:3" x14ac:dyDescent="0.2">
      <c r="B81" s="8">
        <v>65.3</v>
      </c>
      <c r="C81" s="51">
        <v>19</v>
      </c>
    </row>
    <row r="82" spans="2:3" x14ac:dyDescent="0.2">
      <c r="B82" s="8">
        <v>75.7</v>
      </c>
      <c r="C82" s="51">
        <v>45</v>
      </c>
    </row>
    <row r="83" spans="2:3" x14ac:dyDescent="0.2">
      <c r="B83" s="8">
        <v>66</v>
      </c>
      <c r="C83" s="51">
        <v>23</v>
      </c>
    </row>
    <row r="84" spans="2:3" x14ac:dyDescent="0.2">
      <c r="B84" s="8">
        <v>78.900000000000006</v>
      </c>
      <c r="C84" s="51">
        <v>56</v>
      </c>
    </row>
    <row r="85" spans="2:3" x14ac:dyDescent="0.2">
      <c r="B85" s="8">
        <v>74</v>
      </c>
      <c r="C85" s="51">
        <v>49</v>
      </c>
    </row>
    <row r="86" spans="2:3" x14ac:dyDescent="0.2">
      <c r="B86" s="8">
        <v>74.599999999999994</v>
      </c>
      <c r="C86" s="51">
        <v>61</v>
      </c>
    </row>
    <row r="87" spans="2:3" x14ac:dyDescent="0.2">
      <c r="B87" s="8">
        <v>79.3</v>
      </c>
      <c r="C87" s="51">
        <v>73</v>
      </c>
    </row>
    <row r="88" spans="2:3" x14ac:dyDescent="0.2">
      <c r="B88" s="8">
        <v>70.099999999999994</v>
      </c>
      <c r="C88" s="51">
        <v>35</v>
      </c>
    </row>
    <row r="89" spans="2:3" x14ac:dyDescent="0.2">
      <c r="B89" s="8">
        <v>88.8</v>
      </c>
      <c r="C89" s="51">
        <v>104</v>
      </c>
    </row>
    <row r="90" spans="2:3" x14ac:dyDescent="0.2">
      <c r="B90" s="8">
        <v>66</v>
      </c>
      <c r="C90" s="51">
        <v>20</v>
      </c>
    </row>
    <row r="91" spans="2:3" x14ac:dyDescent="0.2">
      <c r="B91" s="8">
        <v>82.9</v>
      </c>
      <c r="C91" s="51">
        <v>81</v>
      </c>
    </row>
    <row r="92" spans="2:3" x14ac:dyDescent="0.2">
      <c r="B92" s="8">
        <v>100</v>
      </c>
      <c r="C92" s="51">
        <v>139</v>
      </c>
    </row>
    <row r="93" spans="2:3" x14ac:dyDescent="0.2">
      <c r="B93" s="8">
        <v>75.599999999999994</v>
      </c>
      <c r="C93" s="51">
        <v>60</v>
      </c>
    </row>
    <row r="94" spans="2:3" x14ac:dyDescent="0.2">
      <c r="B94" s="8">
        <v>67.5</v>
      </c>
      <c r="C94" s="51">
        <v>43</v>
      </c>
    </row>
    <row r="95" spans="2:3" x14ac:dyDescent="0.2">
      <c r="B95" s="8">
        <v>68.7</v>
      </c>
      <c r="C95" s="51">
        <v>7</v>
      </c>
    </row>
    <row r="96" spans="2:3" x14ac:dyDescent="0.2">
      <c r="B96" s="8">
        <v>76</v>
      </c>
      <c r="C96" s="51">
        <v>43</v>
      </c>
    </row>
    <row r="97" spans="2:3" x14ac:dyDescent="0.2">
      <c r="B97" s="8">
        <v>67.7</v>
      </c>
      <c r="C97" s="51">
        <v>36</v>
      </c>
    </row>
    <row r="98" spans="2:3" x14ac:dyDescent="0.2">
      <c r="B98" s="8">
        <v>75.3</v>
      </c>
      <c r="C98" s="51">
        <v>53</v>
      </c>
    </row>
    <row r="99" spans="2:3" x14ac:dyDescent="0.2">
      <c r="B99" s="8">
        <v>68.099999999999994</v>
      </c>
      <c r="C99" s="51">
        <v>3</v>
      </c>
    </row>
    <row r="100" spans="2:3" x14ac:dyDescent="0.2">
      <c r="B100" s="8">
        <v>63.3</v>
      </c>
      <c r="C100" s="51">
        <v>-12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57A9-0DD4-4504-AD37-D514A7611410}">
  <sheetPr codeName="Sheet59">
    <tabColor rgb="FFEFE5F7"/>
  </sheetPr>
  <dimension ref="B1:V122"/>
  <sheetViews>
    <sheetView showGridLines="0" topLeftCell="C1" workbookViewId="0">
      <selection activeCell="P12" sqref="P12"/>
    </sheetView>
  </sheetViews>
  <sheetFormatPr baseColWidth="10" defaultColWidth="8.83203125" defaultRowHeight="15" x14ac:dyDescent="0.2"/>
  <cols>
    <col min="1" max="1" width="2.83203125" customWidth="1"/>
    <col min="2" max="2" width="20.6640625" bestFit="1" customWidth="1"/>
    <col min="3" max="3" width="19.33203125" bestFit="1" customWidth="1"/>
    <col min="5" max="5" width="14.33203125" customWidth="1"/>
    <col min="8" max="8" width="11.5" customWidth="1"/>
    <col min="11" max="11" width="16" bestFit="1" customWidth="1"/>
    <col min="12" max="12" width="11.5" customWidth="1"/>
    <col min="14" max="14" width="15.5" bestFit="1" customWidth="1"/>
    <col min="15" max="15" width="12.5" bestFit="1" customWidth="1"/>
    <col min="16" max="16" width="13.1640625" bestFit="1" customWidth="1"/>
    <col min="17" max="17" width="12.1640625" bestFit="1" customWidth="1"/>
    <col min="18" max="18" width="11.83203125" bestFit="1" customWidth="1"/>
    <col min="19" max="19" width="12.33203125" bestFit="1" customWidth="1"/>
    <col min="20" max="21" width="12.1640625" bestFit="1" customWidth="1"/>
  </cols>
  <sheetData>
    <row r="1" spans="2:19" ht="25.5" customHeight="1" x14ac:dyDescent="0.25">
      <c r="B1" s="18" t="s">
        <v>244</v>
      </c>
    </row>
    <row r="2" spans="2:19" ht="15" customHeight="1" x14ac:dyDescent="0.2">
      <c r="B2" s="30" t="s">
        <v>265</v>
      </c>
    </row>
    <row r="3" spans="2:19" ht="18" customHeight="1" x14ac:dyDescent="0.2"/>
    <row r="4" spans="2:19" x14ac:dyDescent="0.2">
      <c r="E4" s="3" t="s">
        <v>54</v>
      </c>
    </row>
    <row r="5" spans="2:19" x14ac:dyDescent="0.2">
      <c r="B5" s="43" t="s">
        <v>22</v>
      </c>
      <c r="C5" s="43" t="s">
        <v>23</v>
      </c>
      <c r="E5" s="116" t="s">
        <v>228</v>
      </c>
      <c r="F5" s="116"/>
      <c r="H5" s="116" t="s">
        <v>241</v>
      </c>
      <c r="I5" s="116"/>
      <c r="K5" s="116" t="s">
        <v>247</v>
      </c>
      <c r="L5" s="116"/>
      <c r="N5" t="s">
        <v>339</v>
      </c>
    </row>
    <row r="6" spans="2:19" ht="16" thickBot="1" x14ac:dyDescent="0.25">
      <c r="B6" s="51">
        <v>252</v>
      </c>
      <c r="C6" s="51">
        <v>276</v>
      </c>
      <c r="E6" s="20" t="s">
        <v>229</v>
      </c>
      <c r="F6" s="87">
        <f>PEARSON(B6:B100,C6:C100)</f>
        <v>0.94886589689776391</v>
      </c>
      <c r="H6" s="20" t="s">
        <v>238</v>
      </c>
      <c r="I6" s="75">
        <f>INTERCEPT(C6:C100,B6:B100)</f>
        <v>41.63016671209175</v>
      </c>
      <c r="K6" s="58" t="s">
        <v>248</v>
      </c>
      <c r="L6" s="96" cm="1">
        <f t="array" ref="L6">SUMSQ(C6:C100-_xlfn.FORECAST.LINEAR(B6:B100,C6:C100,B6:B100))</f>
        <v>81929.289620086478</v>
      </c>
    </row>
    <row r="7" spans="2:19" x14ac:dyDescent="0.2">
      <c r="B7" s="8">
        <v>423</v>
      </c>
      <c r="C7" s="8">
        <v>410</v>
      </c>
      <c r="H7" s="20" t="s">
        <v>239</v>
      </c>
      <c r="I7" s="87">
        <f>SLOPE(C6:C100,B6:B100)</f>
        <v>1.0325625976197308</v>
      </c>
      <c r="K7" s="58" t="s">
        <v>249</v>
      </c>
      <c r="L7" s="96" cm="1">
        <f t="array" ref="L7">SUMSQ(C6:C100-AVERAGE(C6:C100))</f>
        <v>822141.5368421051</v>
      </c>
      <c r="N7" s="125" t="s">
        <v>340</v>
      </c>
      <c r="O7" s="125"/>
    </row>
    <row r="8" spans="2:19" x14ac:dyDescent="0.2">
      <c r="B8" s="8">
        <v>101</v>
      </c>
      <c r="C8" s="8">
        <v>119</v>
      </c>
      <c r="K8" s="20" t="s">
        <v>250</v>
      </c>
      <c r="L8" s="87">
        <f>RSQ(C6:C100,B6:B100)</f>
        <v>0.90034649029559788</v>
      </c>
      <c r="N8" s="122" t="s">
        <v>341</v>
      </c>
      <c r="O8" s="122">
        <v>0.94928686512983884</v>
      </c>
    </row>
    <row r="9" spans="2:19" x14ac:dyDescent="0.2">
      <c r="B9" s="8">
        <v>288</v>
      </c>
      <c r="C9" s="8">
        <v>334</v>
      </c>
      <c r="K9" s="58" t="s">
        <v>253</v>
      </c>
      <c r="L9" s="96">
        <f>L6/(COUNT(C6:C100)-1-1)</f>
        <v>880.96010344179012</v>
      </c>
      <c r="N9" s="122" t="s">
        <v>342</v>
      </c>
      <c r="O9" s="122">
        <v>0.90114555230803683</v>
      </c>
    </row>
    <row r="10" spans="2:19" x14ac:dyDescent="0.2">
      <c r="B10" s="8">
        <v>248</v>
      </c>
      <c r="C10" s="8">
        <v>252</v>
      </c>
      <c r="K10" s="20" t="s">
        <v>145</v>
      </c>
      <c r="L10" s="75">
        <f>STEYX(C6:C100,B6:B100)</f>
        <v>29.680972077103387</v>
      </c>
      <c r="N10" s="122" t="s">
        <v>343</v>
      </c>
      <c r="O10" s="122">
        <v>0.90007104744181987</v>
      </c>
    </row>
    <row r="11" spans="2:19" x14ac:dyDescent="0.2">
      <c r="B11" s="8">
        <v>145</v>
      </c>
      <c r="C11" s="8">
        <v>209</v>
      </c>
      <c r="K11" s="20" t="s">
        <v>142</v>
      </c>
      <c r="L11" s="71">
        <v>0.05</v>
      </c>
      <c r="N11" s="122" t="s">
        <v>257</v>
      </c>
      <c r="O11" s="122">
        <v>29.718708251909501</v>
      </c>
    </row>
    <row r="12" spans="2:19" ht="16" thickBot="1" x14ac:dyDescent="0.25">
      <c r="B12" s="8">
        <v>401</v>
      </c>
      <c r="C12" s="8">
        <v>462</v>
      </c>
      <c r="K12" s="58" t="s">
        <v>252</v>
      </c>
      <c r="L12" s="96">
        <f>(L7-L6)/1</f>
        <v>740212.24722201866</v>
      </c>
      <c r="N12" s="123" t="s">
        <v>344</v>
      </c>
      <c r="O12" s="123">
        <v>94</v>
      </c>
    </row>
    <row r="13" spans="2:19" x14ac:dyDescent="0.2">
      <c r="B13" s="8">
        <v>287</v>
      </c>
      <c r="C13" s="8">
        <v>342</v>
      </c>
      <c r="K13" s="20" t="s">
        <v>251</v>
      </c>
      <c r="L13" s="75">
        <f>L12/L9</f>
        <v>840.23356373360275</v>
      </c>
    </row>
    <row r="14" spans="2:19" ht="16" thickBot="1" x14ac:dyDescent="0.25">
      <c r="B14" s="8">
        <v>275</v>
      </c>
      <c r="C14" s="8">
        <v>347</v>
      </c>
      <c r="K14" s="20" t="s">
        <v>206</v>
      </c>
      <c r="L14" s="87">
        <f>_xlfn.F.DIST.RT(L13,1,COUNT(C6:C100)-1-1)</f>
        <v>2.3373706863266021E-48</v>
      </c>
      <c r="N14" t="s">
        <v>345</v>
      </c>
    </row>
    <row r="15" spans="2:19" x14ac:dyDescent="0.2">
      <c r="B15" s="8">
        <v>254</v>
      </c>
      <c r="C15" s="8">
        <v>313</v>
      </c>
      <c r="N15" s="124"/>
      <c r="O15" s="124" t="s">
        <v>350</v>
      </c>
      <c r="P15" s="124" t="s">
        <v>351</v>
      </c>
      <c r="Q15" s="124" t="s">
        <v>352</v>
      </c>
      <c r="R15" s="124" t="s">
        <v>353</v>
      </c>
      <c r="S15" s="124" t="s">
        <v>354</v>
      </c>
    </row>
    <row r="16" spans="2:19" x14ac:dyDescent="0.2">
      <c r="B16" s="8">
        <v>182</v>
      </c>
      <c r="C16" s="8">
        <v>232</v>
      </c>
      <c r="N16" s="122" t="s">
        <v>346</v>
      </c>
      <c r="O16" s="122">
        <v>1</v>
      </c>
      <c r="P16" s="122">
        <v>740706.94030678738</v>
      </c>
      <c r="Q16" s="122">
        <v>740706.94030678738</v>
      </c>
      <c r="R16" s="122">
        <v>838.66121098241274</v>
      </c>
      <c r="S16" s="122">
        <v>5.1379397224252298E-48</v>
      </c>
    </row>
    <row r="17" spans="2:22" x14ac:dyDescent="0.2">
      <c r="B17" s="8">
        <v>117</v>
      </c>
      <c r="C17" s="8">
        <v>163</v>
      </c>
      <c r="N17" s="122" t="s">
        <v>347</v>
      </c>
      <c r="O17" s="122">
        <v>92</v>
      </c>
      <c r="P17" s="122">
        <v>81254.549054914489</v>
      </c>
      <c r="Q17" s="122">
        <v>883.20162016211395</v>
      </c>
      <c r="R17" s="122"/>
      <c r="S17" s="122"/>
    </row>
    <row r="18" spans="2:22" ht="16" thickBot="1" x14ac:dyDescent="0.25">
      <c r="B18" s="8">
        <v>130</v>
      </c>
      <c r="C18" s="8">
        <v>119</v>
      </c>
      <c r="N18" s="123" t="s">
        <v>348</v>
      </c>
      <c r="O18" s="123">
        <v>93</v>
      </c>
      <c r="P18" s="123">
        <v>821961.48936170188</v>
      </c>
      <c r="Q18" s="123"/>
      <c r="R18" s="123"/>
      <c r="S18" s="123"/>
    </row>
    <row r="19" spans="2:22" ht="16" thickBot="1" x14ac:dyDescent="0.25">
      <c r="B19" s="8">
        <v>219</v>
      </c>
      <c r="C19" s="8">
        <v>304</v>
      </c>
    </row>
    <row r="20" spans="2:22" x14ac:dyDescent="0.2">
      <c r="B20" s="8">
        <v>152</v>
      </c>
      <c r="C20" s="8">
        <v>211</v>
      </c>
      <c r="N20" s="124"/>
      <c r="O20" s="124" t="s">
        <v>355</v>
      </c>
      <c r="P20" s="124" t="s">
        <v>257</v>
      </c>
      <c r="Q20" s="124" t="s">
        <v>356</v>
      </c>
      <c r="R20" s="124" t="s">
        <v>357</v>
      </c>
      <c r="S20" s="124" t="s">
        <v>358</v>
      </c>
      <c r="T20" s="124" t="s">
        <v>359</v>
      </c>
      <c r="U20" s="124" t="s">
        <v>360</v>
      </c>
      <c r="V20" s="124" t="s">
        <v>361</v>
      </c>
    </row>
    <row r="21" spans="2:22" x14ac:dyDescent="0.2">
      <c r="B21" s="8">
        <v>228</v>
      </c>
      <c r="C21" s="8">
        <v>286</v>
      </c>
      <c r="N21" s="122" t="s">
        <v>349</v>
      </c>
      <c r="O21" s="122">
        <v>41.795925313975204</v>
      </c>
      <c r="P21" s="122">
        <v>9.0857303867626324</v>
      </c>
      <c r="Q21" s="122">
        <v>4.6001723069913432</v>
      </c>
      <c r="R21" s="122">
        <v>1.345311168611025E-5</v>
      </c>
      <c r="S21" s="122">
        <v>23.750880513318844</v>
      </c>
      <c r="T21" s="122">
        <v>59.84097011463156</v>
      </c>
      <c r="U21" s="122">
        <v>23.750880513318844</v>
      </c>
      <c r="V21" s="122">
        <v>59.84097011463156</v>
      </c>
    </row>
    <row r="22" spans="2:22" ht="16" thickBot="1" x14ac:dyDescent="0.25">
      <c r="B22" s="8">
        <v>62</v>
      </c>
      <c r="C22" s="8">
        <v>122</v>
      </c>
      <c r="N22" s="123">
        <v>252</v>
      </c>
      <c r="O22" s="123">
        <v>1.0330175704550482</v>
      </c>
      <c r="P22" s="123">
        <v>3.5670929814361027E-2</v>
      </c>
      <c r="Q22" s="123">
        <v>28.959647977529251</v>
      </c>
      <c r="R22" s="123">
        <v>5.1379397224249375E-48</v>
      </c>
      <c r="S22" s="123">
        <v>0.9621720248378216</v>
      </c>
      <c r="T22" s="123">
        <v>1.1038631160722747</v>
      </c>
      <c r="U22" s="123">
        <v>0.9621720248378216</v>
      </c>
      <c r="V22" s="123">
        <v>1.1038631160722747</v>
      </c>
    </row>
    <row r="23" spans="2:22" x14ac:dyDescent="0.2">
      <c r="B23" s="8">
        <v>393</v>
      </c>
      <c r="C23" s="8">
        <v>443</v>
      </c>
    </row>
    <row r="24" spans="2:22" x14ac:dyDescent="0.2">
      <c r="B24" s="8">
        <v>277</v>
      </c>
      <c r="C24" s="8">
        <v>366</v>
      </c>
    </row>
    <row r="25" spans="2:22" x14ac:dyDescent="0.2">
      <c r="B25" s="8">
        <v>206</v>
      </c>
      <c r="C25" s="8">
        <v>244</v>
      </c>
    </row>
    <row r="26" spans="2:22" x14ac:dyDescent="0.2">
      <c r="B26" s="8">
        <v>229</v>
      </c>
      <c r="C26" s="8">
        <v>241</v>
      </c>
      <c r="N26" t="s">
        <v>362</v>
      </c>
    </row>
    <row r="27" spans="2:22" ht="16" thickBot="1" x14ac:dyDescent="0.25">
      <c r="B27" s="8">
        <v>182</v>
      </c>
      <c r="C27" s="8">
        <v>237</v>
      </c>
    </row>
    <row r="28" spans="2:22" x14ac:dyDescent="0.2">
      <c r="B28" s="8">
        <v>98</v>
      </c>
      <c r="C28" s="8">
        <v>122</v>
      </c>
      <c r="N28" s="124" t="s">
        <v>363</v>
      </c>
      <c r="O28" s="124" t="s">
        <v>365</v>
      </c>
      <c r="P28" s="124" t="s">
        <v>364</v>
      </c>
    </row>
    <row r="29" spans="2:22" x14ac:dyDescent="0.2">
      <c r="B29" s="8">
        <v>125</v>
      </c>
      <c r="C29" s="8">
        <v>129</v>
      </c>
      <c r="N29" s="122">
        <v>1</v>
      </c>
      <c r="O29" s="122">
        <v>478.76235761646058</v>
      </c>
      <c r="P29" s="122">
        <v>-68.762357616460577</v>
      </c>
    </row>
    <row r="30" spans="2:22" x14ac:dyDescent="0.2">
      <c r="B30" s="8">
        <v>164</v>
      </c>
      <c r="C30" s="8">
        <v>236</v>
      </c>
      <c r="N30" s="122">
        <v>2</v>
      </c>
      <c r="O30" s="122">
        <v>146.13069992993508</v>
      </c>
      <c r="P30" s="122">
        <v>-27.130699929935076</v>
      </c>
    </row>
    <row r="31" spans="2:22" x14ac:dyDescent="0.2">
      <c r="B31" s="8">
        <v>186</v>
      </c>
      <c r="C31" s="8">
        <v>251</v>
      </c>
      <c r="N31" s="122">
        <v>3</v>
      </c>
      <c r="O31" s="122">
        <v>339.30498560502906</v>
      </c>
      <c r="P31" s="122">
        <v>-5.30498560502906</v>
      </c>
    </row>
    <row r="32" spans="2:22" x14ac:dyDescent="0.2">
      <c r="B32" s="8">
        <v>235</v>
      </c>
      <c r="C32" s="8">
        <v>283</v>
      </c>
      <c r="N32" s="122">
        <v>4</v>
      </c>
      <c r="O32" s="122">
        <v>297.98428278682712</v>
      </c>
      <c r="P32" s="122">
        <v>-45.984282786827123</v>
      </c>
    </row>
    <row r="33" spans="2:16" x14ac:dyDescent="0.2">
      <c r="B33" s="8">
        <v>184</v>
      </c>
      <c r="C33" s="8">
        <v>225</v>
      </c>
      <c r="N33" s="122">
        <v>5</v>
      </c>
      <c r="O33" s="122">
        <v>191.58347302995719</v>
      </c>
      <c r="P33" s="122">
        <v>17.41652697004281</v>
      </c>
    </row>
    <row r="34" spans="2:16" x14ac:dyDescent="0.2">
      <c r="B34" s="8">
        <v>76</v>
      </c>
      <c r="C34" s="8">
        <v>102</v>
      </c>
      <c r="N34" s="122">
        <v>6</v>
      </c>
      <c r="O34" s="122">
        <v>456.03597106644952</v>
      </c>
      <c r="P34" s="122">
        <v>5.9640289335504804</v>
      </c>
    </row>
    <row r="35" spans="2:16" x14ac:dyDescent="0.2">
      <c r="B35" s="8">
        <v>126</v>
      </c>
      <c r="C35" s="8">
        <v>180</v>
      </c>
      <c r="N35" s="122">
        <v>7</v>
      </c>
      <c r="O35" s="122">
        <v>338.271968034574</v>
      </c>
      <c r="P35" s="122">
        <v>3.7280319654259984</v>
      </c>
    </row>
    <row r="36" spans="2:16" x14ac:dyDescent="0.2">
      <c r="B36" s="8">
        <v>183</v>
      </c>
      <c r="C36" s="8">
        <v>247</v>
      </c>
      <c r="N36" s="122">
        <v>8</v>
      </c>
      <c r="O36" s="122">
        <v>325.87575718911347</v>
      </c>
      <c r="P36" s="122">
        <v>21.124242810886528</v>
      </c>
    </row>
    <row r="37" spans="2:16" x14ac:dyDescent="0.2">
      <c r="B37" s="8">
        <v>242</v>
      </c>
      <c r="C37" s="8">
        <v>343</v>
      </c>
      <c r="N37" s="122">
        <v>9</v>
      </c>
      <c r="O37" s="122">
        <v>304.18238820955742</v>
      </c>
      <c r="P37" s="122">
        <v>8.8176117904425837</v>
      </c>
    </row>
    <row r="38" spans="2:16" x14ac:dyDescent="0.2">
      <c r="B38" s="8">
        <v>207</v>
      </c>
      <c r="C38" s="8">
        <v>283</v>
      </c>
      <c r="N38" s="122">
        <v>10</v>
      </c>
      <c r="O38" s="122">
        <v>229.80512313679398</v>
      </c>
      <c r="P38" s="122">
        <v>2.1948768632060194</v>
      </c>
    </row>
    <row r="39" spans="2:16" x14ac:dyDescent="0.2">
      <c r="B39" s="8">
        <v>181</v>
      </c>
      <c r="C39" s="8">
        <v>253</v>
      </c>
      <c r="N39" s="122">
        <v>11</v>
      </c>
      <c r="O39" s="122">
        <v>162.65898105721584</v>
      </c>
      <c r="P39" s="122">
        <v>0.34101894278416012</v>
      </c>
    </row>
    <row r="40" spans="2:16" x14ac:dyDescent="0.2">
      <c r="B40" s="8">
        <v>239</v>
      </c>
      <c r="C40" s="8">
        <v>263</v>
      </c>
      <c r="N40" s="122">
        <v>12</v>
      </c>
      <c r="O40" s="122">
        <v>176.08820947313146</v>
      </c>
      <c r="P40" s="122">
        <v>-57.088209473131457</v>
      </c>
    </row>
    <row r="41" spans="2:16" x14ac:dyDescent="0.2">
      <c r="B41" s="8">
        <v>216</v>
      </c>
      <c r="C41" s="8">
        <v>291</v>
      </c>
      <c r="N41" s="122">
        <v>13</v>
      </c>
      <c r="O41" s="122">
        <v>268.02677324363071</v>
      </c>
      <c r="P41" s="122">
        <v>35.973226756369286</v>
      </c>
    </row>
    <row r="42" spans="2:16" x14ac:dyDescent="0.2">
      <c r="B42" s="8">
        <v>289</v>
      </c>
      <c r="C42" s="8">
        <v>368</v>
      </c>
      <c r="N42" s="122">
        <v>14</v>
      </c>
      <c r="O42" s="122">
        <v>198.81459602314251</v>
      </c>
      <c r="P42" s="122">
        <v>12.185403976857486</v>
      </c>
    </row>
    <row r="43" spans="2:16" x14ac:dyDescent="0.2">
      <c r="B43" s="8">
        <v>213</v>
      </c>
      <c r="C43" s="8">
        <v>206</v>
      </c>
      <c r="N43" s="122">
        <v>15</v>
      </c>
      <c r="O43" s="122">
        <v>277.32393137772618</v>
      </c>
      <c r="P43" s="122">
        <v>8.6760686222738173</v>
      </c>
    </row>
    <row r="44" spans="2:16" x14ac:dyDescent="0.2">
      <c r="B44" s="8">
        <v>209</v>
      </c>
      <c r="C44" s="8">
        <v>231</v>
      </c>
      <c r="N44" s="122">
        <v>16</v>
      </c>
      <c r="O44" s="122">
        <v>105.84301468218818</v>
      </c>
      <c r="P44" s="122">
        <v>16.156985317811817</v>
      </c>
    </row>
    <row r="45" spans="2:16" x14ac:dyDescent="0.2">
      <c r="B45" s="8">
        <v>376</v>
      </c>
      <c r="C45" s="8">
        <v>389</v>
      </c>
      <c r="N45" s="122">
        <v>17</v>
      </c>
      <c r="O45" s="122">
        <v>447.77183050280911</v>
      </c>
      <c r="P45" s="122">
        <v>-4.7718305028091095</v>
      </c>
    </row>
    <row r="46" spans="2:16" x14ac:dyDescent="0.2">
      <c r="B46" s="8">
        <v>332</v>
      </c>
      <c r="C46" s="8">
        <v>396</v>
      </c>
      <c r="N46" s="122">
        <v>18</v>
      </c>
      <c r="O46" s="122">
        <v>327.94179233002353</v>
      </c>
      <c r="P46" s="122">
        <v>38.058207669976468</v>
      </c>
    </row>
    <row r="47" spans="2:16" x14ac:dyDescent="0.2">
      <c r="B47" s="8">
        <v>249</v>
      </c>
      <c r="C47" s="8">
        <v>339</v>
      </c>
      <c r="N47" s="122">
        <v>19</v>
      </c>
      <c r="O47" s="122">
        <v>254.59754482771513</v>
      </c>
      <c r="P47" s="122">
        <v>-10.597544827715126</v>
      </c>
    </row>
    <row r="48" spans="2:16" x14ac:dyDescent="0.2">
      <c r="B48" s="8">
        <v>228</v>
      </c>
      <c r="C48" s="8">
        <v>286</v>
      </c>
      <c r="N48" s="122">
        <v>20</v>
      </c>
      <c r="O48" s="122">
        <v>278.35694894818124</v>
      </c>
      <c r="P48" s="122">
        <v>-37.356948948181241</v>
      </c>
    </row>
    <row r="49" spans="2:16" x14ac:dyDescent="0.2">
      <c r="B49" s="8">
        <v>124</v>
      </c>
      <c r="C49" s="8">
        <v>146</v>
      </c>
      <c r="N49" s="122">
        <v>21</v>
      </c>
      <c r="O49" s="122">
        <v>229.80512313679398</v>
      </c>
      <c r="P49" s="122">
        <v>7.1948768632060194</v>
      </c>
    </row>
    <row r="50" spans="2:16" x14ac:dyDescent="0.2">
      <c r="B50" s="8">
        <v>194</v>
      </c>
      <c r="C50" s="8">
        <v>315</v>
      </c>
      <c r="N50" s="122">
        <v>22</v>
      </c>
      <c r="O50" s="122">
        <v>143.03164721856993</v>
      </c>
      <c r="P50" s="122">
        <v>-21.03164721856993</v>
      </c>
    </row>
    <row r="51" spans="2:16" x14ac:dyDescent="0.2">
      <c r="B51" s="8">
        <v>157</v>
      </c>
      <c r="C51" s="8">
        <v>183</v>
      </c>
      <c r="N51" s="122">
        <v>23</v>
      </c>
      <c r="O51" s="122">
        <v>170.92312162085622</v>
      </c>
      <c r="P51" s="122">
        <v>-41.923121620856222</v>
      </c>
    </row>
    <row r="52" spans="2:16" x14ac:dyDescent="0.2">
      <c r="B52" s="8">
        <v>402</v>
      </c>
      <c r="C52" s="8">
        <v>481</v>
      </c>
      <c r="N52" s="122">
        <v>24</v>
      </c>
      <c r="O52" s="122">
        <v>211.2108068686031</v>
      </c>
      <c r="P52" s="122">
        <v>24.7891931313969</v>
      </c>
    </row>
    <row r="53" spans="2:16" x14ac:dyDescent="0.2">
      <c r="B53" s="8">
        <v>323</v>
      </c>
      <c r="C53" s="8">
        <v>349</v>
      </c>
      <c r="N53" s="122">
        <v>25</v>
      </c>
      <c r="O53" s="122">
        <v>233.93719341861416</v>
      </c>
      <c r="P53" s="122">
        <v>17.062806581385843</v>
      </c>
    </row>
    <row r="54" spans="2:16" x14ac:dyDescent="0.2">
      <c r="B54" s="8">
        <v>181</v>
      </c>
      <c r="C54" s="8">
        <v>225</v>
      </c>
      <c r="N54" s="122">
        <v>26</v>
      </c>
      <c r="O54" s="122">
        <v>284.55505437091153</v>
      </c>
      <c r="P54" s="122">
        <v>-1.5550543709115345</v>
      </c>
    </row>
    <row r="55" spans="2:16" x14ac:dyDescent="0.2">
      <c r="B55" s="8">
        <v>157</v>
      </c>
      <c r="C55" s="8">
        <v>217</v>
      </c>
      <c r="N55" s="122">
        <v>27</v>
      </c>
      <c r="O55" s="122">
        <v>231.87115827770407</v>
      </c>
      <c r="P55" s="122">
        <v>-6.871158277704069</v>
      </c>
    </row>
    <row r="56" spans="2:16" x14ac:dyDescent="0.2">
      <c r="B56" s="8">
        <v>266</v>
      </c>
      <c r="C56" s="8">
        <v>353</v>
      </c>
      <c r="N56" s="122">
        <v>28</v>
      </c>
      <c r="O56" s="122">
        <v>120.30526066855886</v>
      </c>
      <c r="P56" s="122">
        <v>-18.305260668558859</v>
      </c>
    </row>
    <row r="57" spans="2:16" x14ac:dyDescent="0.2">
      <c r="B57" s="8">
        <v>268</v>
      </c>
      <c r="C57" s="8">
        <v>314</v>
      </c>
      <c r="N57" s="122">
        <v>29</v>
      </c>
      <c r="O57" s="122">
        <v>171.95613919131128</v>
      </c>
      <c r="P57" s="122">
        <v>8.04386080868872</v>
      </c>
    </row>
    <row r="58" spans="2:16" x14ac:dyDescent="0.2">
      <c r="B58" s="8">
        <v>167</v>
      </c>
      <c r="C58" s="8">
        <v>247</v>
      </c>
      <c r="N58" s="122">
        <v>30</v>
      </c>
      <c r="O58" s="122">
        <v>230.83814070724901</v>
      </c>
      <c r="P58" s="122">
        <v>16.161859292750989</v>
      </c>
    </row>
    <row r="59" spans="2:16" x14ac:dyDescent="0.2">
      <c r="B59" s="8">
        <v>342</v>
      </c>
      <c r="C59" s="8">
        <v>410</v>
      </c>
      <c r="N59" s="122">
        <v>31</v>
      </c>
      <c r="O59" s="122">
        <v>291.78617736409683</v>
      </c>
      <c r="P59" s="122">
        <v>51.213822635903171</v>
      </c>
    </row>
    <row r="60" spans="2:16" x14ac:dyDescent="0.2">
      <c r="B60" s="8">
        <v>349</v>
      </c>
      <c r="C60" s="8">
        <v>395</v>
      </c>
      <c r="N60" s="122">
        <v>32</v>
      </c>
      <c r="O60" s="122">
        <v>255.63056239817018</v>
      </c>
      <c r="P60" s="122">
        <v>27.369437601829816</v>
      </c>
    </row>
    <row r="61" spans="2:16" x14ac:dyDescent="0.2">
      <c r="B61" s="8">
        <v>340</v>
      </c>
      <c r="C61" s="8">
        <v>416</v>
      </c>
      <c r="N61" s="122">
        <v>33</v>
      </c>
      <c r="O61" s="122">
        <v>228.77210556633892</v>
      </c>
      <c r="P61" s="122">
        <v>24.227894433661078</v>
      </c>
    </row>
    <row r="62" spans="2:16" x14ac:dyDescent="0.2">
      <c r="B62" s="8">
        <v>227</v>
      </c>
      <c r="C62" s="8">
        <v>342</v>
      </c>
      <c r="N62" s="122">
        <v>34</v>
      </c>
      <c r="O62" s="122">
        <v>288.68712465273171</v>
      </c>
      <c r="P62" s="122">
        <v>-25.687124652731711</v>
      </c>
    </row>
    <row r="63" spans="2:16" x14ac:dyDescent="0.2">
      <c r="B63" s="8">
        <v>409</v>
      </c>
      <c r="C63" s="8">
        <v>446</v>
      </c>
      <c r="N63" s="122">
        <v>35</v>
      </c>
      <c r="O63" s="122">
        <v>264.9277205322656</v>
      </c>
      <c r="P63" s="122">
        <v>26.072279467734404</v>
      </c>
    </row>
    <row r="64" spans="2:16" x14ac:dyDescent="0.2">
      <c r="B64" s="8">
        <v>400</v>
      </c>
      <c r="C64" s="8">
        <v>477</v>
      </c>
      <c r="N64" s="122">
        <v>36</v>
      </c>
      <c r="O64" s="122">
        <v>340.33800317548412</v>
      </c>
      <c r="P64" s="122">
        <v>27.661996824515882</v>
      </c>
    </row>
    <row r="65" spans="2:16" x14ac:dyDescent="0.2">
      <c r="B65" s="8">
        <v>374</v>
      </c>
      <c r="C65" s="8">
        <v>444</v>
      </c>
      <c r="N65" s="122">
        <v>37</v>
      </c>
      <c r="O65" s="122">
        <v>261.82866782090048</v>
      </c>
      <c r="P65" s="122">
        <v>-55.828667820900478</v>
      </c>
    </row>
    <row r="66" spans="2:16" x14ac:dyDescent="0.2">
      <c r="B66" s="8">
        <v>255</v>
      </c>
      <c r="C66" s="8">
        <v>351</v>
      </c>
      <c r="N66" s="122">
        <v>38</v>
      </c>
      <c r="O66" s="122">
        <v>257.69659753908024</v>
      </c>
      <c r="P66" s="122">
        <v>-26.696597539080244</v>
      </c>
    </row>
    <row r="67" spans="2:16" x14ac:dyDescent="0.2">
      <c r="B67" s="8">
        <v>146</v>
      </c>
      <c r="C67" s="8">
        <v>165</v>
      </c>
      <c r="N67" s="122">
        <v>39</v>
      </c>
      <c r="O67" s="122">
        <v>430.21053180507329</v>
      </c>
      <c r="P67" s="122">
        <v>-41.210531805073288</v>
      </c>
    </row>
    <row r="68" spans="2:16" x14ac:dyDescent="0.2">
      <c r="B68" s="8">
        <v>248</v>
      </c>
      <c r="C68" s="8">
        <v>317</v>
      </c>
      <c r="N68" s="122">
        <v>40</v>
      </c>
      <c r="O68" s="122">
        <v>384.75775870505117</v>
      </c>
      <c r="P68" s="122">
        <v>11.242241294948826</v>
      </c>
    </row>
    <row r="69" spans="2:16" x14ac:dyDescent="0.2">
      <c r="B69" s="8">
        <v>198</v>
      </c>
      <c r="C69" s="8">
        <v>250</v>
      </c>
      <c r="N69" s="122">
        <v>41</v>
      </c>
      <c r="O69" s="122">
        <v>299.01730035728218</v>
      </c>
      <c r="P69" s="122">
        <v>39.982699642717819</v>
      </c>
    </row>
    <row r="70" spans="2:16" x14ac:dyDescent="0.2">
      <c r="B70" s="8">
        <v>210</v>
      </c>
      <c r="C70" s="8">
        <v>217</v>
      </c>
      <c r="N70" s="122">
        <v>42</v>
      </c>
      <c r="O70" s="122">
        <v>277.32393137772618</v>
      </c>
      <c r="P70" s="122">
        <v>8.6760686222738173</v>
      </c>
    </row>
    <row r="71" spans="2:16" x14ac:dyDescent="0.2">
      <c r="B71" s="8">
        <v>107</v>
      </c>
      <c r="C71" s="8">
        <v>138</v>
      </c>
      <c r="N71" s="122">
        <v>43</v>
      </c>
      <c r="O71" s="122">
        <v>169.89010405040116</v>
      </c>
      <c r="P71" s="122">
        <v>-23.890104050401163</v>
      </c>
    </row>
    <row r="72" spans="2:16" x14ac:dyDescent="0.2">
      <c r="B72" s="8">
        <v>239</v>
      </c>
      <c r="C72" s="8">
        <v>302</v>
      </c>
      <c r="N72" s="122">
        <v>44</v>
      </c>
      <c r="O72" s="122">
        <v>242.20133398225454</v>
      </c>
      <c r="P72" s="122">
        <v>72.798666017745461</v>
      </c>
    </row>
    <row r="73" spans="2:16" x14ac:dyDescent="0.2">
      <c r="B73" s="8">
        <v>287</v>
      </c>
      <c r="C73" s="8">
        <v>311</v>
      </c>
      <c r="N73" s="122">
        <v>45</v>
      </c>
      <c r="O73" s="122">
        <v>203.97968387541778</v>
      </c>
      <c r="P73" s="122">
        <v>-20.979683875417777</v>
      </c>
    </row>
    <row r="74" spans="2:16" x14ac:dyDescent="0.2">
      <c r="B74" s="8">
        <v>340</v>
      </c>
      <c r="C74" s="8">
        <v>373</v>
      </c>
      <c r="N74" s="122">
        <v>46</v>
      </c>
      <c r="O74" s="122">
        <v>457.06898863690458</v>
      </c>
      <c r="P74" s="122">
        <v>23.931011363095422</v>
      </c>
    </row>
    <row r="75" spans="2:16" x14ac:dyDescent="0.2">
      <c r="B75" s="8">
        <v>155</v>
      </c>
      <c r="C75" s="8">
        <v>196</v>
      </c>
      <c r="N75" s="122">
        <v>47</v>
      </c>
      <c r="O75" s="122">
        <v>375.46060057095576</v>
      </c>
      <c r="P75" s="122">
        <v>-26.460600570955762</v>
      </c>
    </row>
    <row r="76" spans="2:16" x14ac:dyDescent="0.2">
      <c r="B76" s="8">
        <v>263</v>
      </c>
      <c r="C76" s="8">
        <v>306</v>
      </c>
      <c r="N76" s="122">
        <v>48</v>
      </c>
      <c r="O76" s="122">
        <v>228.77210556633892</v>
      </c>
      <c r="P76" s="122">
        <v>-3.7721055663389222</v>
      </c>
    </row>
    <row r="77" spans="2:16" x14ac:dyDescent="0.2">
      <c r="B77" s="8">
        <v>265</v>
      </c>
      <c r="C77" s="8">
        <v>302</v>
      </c>
      <c r="N77" s="122">
        <v>49</v>
      </c>
      <c r="O77" s="122">
        <v>203.97968387541778</v>
      </c>
      <c r="P77" s="122">
        <v>13.020316124582223</v>
      </c>
    </row>
    <row r="78" spans="2:16" x14ac:dyDescent="0.2">
      <c r="B78" s="8">
        <v>249</v>
      </c>
      <c r="C78" s="8">
        <v>278</v>
      </c>
      <c r="N78" s="122">
        <v>50</v>
      </c>
      <c r="O78" s="122">
        <v>316.578599055018</v>
      </c>
      <c r="P78" s="122">
        <v>36.421400944981997</v>
      </c>
    </row>
    <row r="79" spans="2:16" x14ac:dyDescent="0.2">
      <c r="B79" s="8">
        <v>377</v>
      </c>
      <c r="C79" s="8">
        <v>429</v>
      </c>
      <c r="N79" s="122">
        <v>51</v>
      </c>
      <c r="O79" s="122">
        <v>318.64463419592812</v>
      </c>
      <c r="P79" s="122">
        <v>-4.6446341959281199</v>
      </c>
    </row>
    <row r="80" spans="2:16" x14ac:dyDescent="0.2">
      <c r="B80" s="8">
        <v>301</v>
      </c>
      <c r="C80" s="8">
        <v>338</v>
      </c>
      <c r="N80" s="122">
        <v>52</v>
      </c>
      <c r="O80" s="122">
        <v>214.30985957996825</v>
      </c>
      <c r="P80" s="122">
        <v>32.690140420031753</v>
      </c>
    </row>
    <row r="81" spans="2:16" x14ac:dyDescent="0.2">
      <c r="B81" s="8">
        <v>242</v>
      </c>
      <c r="C81" s="8">
        <v>261</v>
      </c>
      <c r="N81" s="122">
        <v>53</v>
      </c>
      <c r="O81" s="122">
        <v>395.0879344096017</v>
      </c>
      <c r="P81" s="122">
        <v>14.912065590398299</v>
      </c>
    </row>
    <row r="82" spans="2:16" x14ac:dyDescent="0.2">
      <c r="B82" s="8">
        <v>211</v>
      </c>
      <c r="C82" s="8">
        <v>256</v>
      </c>
      <c r="N82" s="122">
        <v>54</v>
      </c>
      <c r="O82" s="122">
        <v>402.319057402787</v>
      </c>
      <c r="P82" s="122">
        <v>-7.3190574027869957</v>
      </c>
    </row>
    <row r="83" spans="2:16" x14ac:dyDescent="0.2">
      <c r="B83" s="8">
        <v>160</v>
      </c>
      <c r="C83" s="8">
        <v>183</v>
      </c>
      <c r="N83" s="122">
        <v>55</v>
      </c>
      <c r="O83" s="122">
        <v>393.02189926869158</v>
      </c>
      <c r="P83" s="122">
        <v>22.978100731308416</v>
      </c>
    </row>
    <row r="84" spans="2:16" x14ac:dyDescent="0.2">
      <c r="B84" s="8">
        <v>218</v>
      </c>
      <c r="C84" s="8">
        <v>274</v>
      </c>
      <c r="N84" s="122">
        <v>56</v>
      </c>
      <c r="O84" s="122">
        <v>276.29091380727112</v>
      </c>
      <c r="P84" s="122">
        <v>65.709086192728876</v>
      </c>
    </row>
    <row r="85" spans="2:16" x14ac:dyDescent="0.2">
      <c r="B85" s="8">
        <v>133</v>
      </c>
      <c r="C85" s="8">
        <v>182</v>
      </c>
      <c r="N85" s="122">
        <v>57</v>
      </c>
      <c r="O85" s="122">
        <v>464.30011163008993</v>
      </c>
      <c r="P85" s="122">
        <v>-18.30011163008993</v>
      </c>
    </row>
    <row r="86" spans="2:16" x14ac:dyDescent="0.2">
      <c r="B86" s="8">
        <v>122</v>
      </c>
      <c r="C86" s="8">
        <v>183</v>
      </c>
      <c r="N86" s="122">
        <v>58</v>
      </c>
      <c r="O86" s="122">
        <v>455.00295349599446</v>
      </c>
      <c r="P86" s="122">
        <v>21.997046504005539</v>
      </c>
    </row>
    <row r="87" spans="2:16" x14ac:dyDescent="0.2">
      <c r="B87" s="8">
        <v>236</v>
      </c>
      <c r="C87" s="8">
        <v>309</v>
      </c>
      <c r="N87" s="122">
        <v>59</v>
      </c>
      <c r="O87" s="122">
        <v>428.14449666416323</v>
      </c>
      <c r="P87" s="122">
        <v>15.855503335836772</v>
      </c>
    </row>
    <row r="88" spans="2:16" x14ac:dyDescent="0.2">
      <c r="B88" s="8">
        <v>143</v>
      </c>
      <c r="C88" s="8">
        <v>178</v>
      </c>
      <c r="N88" s="122">
        <v>60</v>
      </c>
      <c r="O88" s="122">
        <v>305.21540578001247</v>
      </c>
      <c r="P88" s="122">
        <v>45.784594219987525</v>
      </c>
    </row>
    <row r="89" spans="2:16" x14ac:dyDescent="0.2">
      <c r="B89" s="8">
        <v>354</v>
      </c>
      <c r="C89" s="8">
        <v>458</v>
      </c>
      <c r="N89" s="122">
        <v>61</v>
      </c>
      <c r="O89" s="122">
        <v>192.61649060041225</v>
      </c>
      <c r="P89" s="122">
        <v>-27.616490600412249</v>
      </c>
    </row>
    <row r="90" spans="2:16" x14ac:dyDescent="0.2">
      <c r="B90" s="8">
        <v>214</v>
      </c>
      <c r="C90" s="8">
        <v>234</v>
      </c>
      <c r="N90" s="122">
        <v>62</v>
      </c>
      <c r="O90" s="122">
        <v>297.98428278682712</v>
      </c>
      <c r="P90" s="122">
        <v>19.015717213172877</v>
      </c>
    </row>
    <row r="91" spans="2:16" x14ac:dyDescent="0.2">
      <c r="B91" s="8">
        <v>225</v>
      </c>
      <c r="C91" s="8">
        <v>306</v>
      </c>
      <c r="N91" s="122">
        <v>63</v>
      </c>
      <c r="O91" s="122">
        <v>246.33340426407474</v>
      </c>
      <c r="P91" s="122">
        <v>3.6665957359252559</v>
      </c>
    </row>
    <row r="92" spans="2:16" x14ac:dyDescent="0.2">
      <c r="B92" s="8">
        <v>261</v>
      </c>
      <c r="C92" s="8">
        <v>400</v>
      </c>
      <c r="N92" s="122">
        <v>64</v>
      </c>
      <c r="O92" s="122">
        <v>258.7296151095353</v>
      </c>
      <c r="P92" s="122">
        <v>-41.729615109535303</v>
      </c>
    </row>
    <row r="93" spans="2:16" x14ac:dyDescent="0.2">
      <c r="B93" s="8">
        <v>277</v>
      </c>
      <c r="C93" s="8">
        <v>337</v>
      </c>
      <c r="N93" s="122">
        <v>65</v>
      </c>
      <c r="O93" s="122">
        <v>152.32880535266537</v>
      </c>
      <c r="P93" s="122">
        <v>-14.32880535266537</v>
      </c>
    </row>
    <row r="94" spans="2:16" x14ac:dyDescent="0.2">
      <c r="B94" s="8">
        <v>282</v>
      </c>
      <c r="C94" s="8">
        <v>325</v>
      </c>
      <c r="N94" s="122">
        <v>66</v>
      </c>
      <c r="O94" s="122">
        <v>288.68712465273171</v>
      </c>
      <c r="P94" s="122">
        <v>13.312875347268289</v>
      </c>
    </row>
    <row r="95" spans="2:16" x14ac:dyDescent="0.2">
      <c r="B95" s="8">
        <v>322</v>
      </c>
      <c r="C95" s="8">
        <v>329</v>
      </c>
      <c r="N95" s="122">
        <v>67</v>
      </c>
      <c r="O95" s="122">
        <v>338.271968034574</v>
      </c>
      <c r="P95" s="122">
        <v>-27.271968034574002</v>
      </c>
    </row>
    <row r="96" spans="2:16" x14ac:dyDescent="0.2">
      <c r="B96" s="8">
        <v>326</v>
      </c>
      <c r="C96" s="8">
        <v>369</v>
      </c>
      <c r="N96" s="122">
        <v>68</v>
      </c>
      <c r="O96" s="122">
        <v>393.02189926869158</v>
      </c>
      <c r="P96" s="122">
        <v>-20.021899268691584</v>
      </c>
    </row>
    <row r="97" spans="2:16" x14ac:dyDescent="0.2">
      <c r="B97" s="8">
        <v>421</v>
      </c>
      <c r="C97" s="8">
        <v>457</v>
      </c>
      <c r="N97" s="122">
        <v>69</v>
      </c>
      <c r="O97" s="122">
        <v>201.91364873450766</v>
      </c>
      <c r="P97" s="122">
        <v>-5.9136487345076603</v>
      </c>
    </row>
    <row r="98" spans="2:16" x14ac:dyDescent="0.2">
      <c r="B98" s="8">
        <v>368</v>
      </c>
      <c r="C98" s="8">
        <v>421</v>
      </c>
      <c r="N98" s="122">
        <v>70</v>
      </c>
      <c r="O98" s="122">
        <v>313.47954634365288</v>
      </c>
      <c r="P98" s="122">
        <v>-7.4795463436528848</v>
      </c>
    </row>
    <row r="99" spans="2:16" x14ac:dyDescent="0.2">
      <c r="B99" s="8">
        <v>279</v>
      </c>
      <c r="C99" s="8">
        <v>282</v>
      </c>
      <c r="N99" s="122">
        <v>71</v>
      </c>
      <c r="O99" s="122">
        <v>315.54558148456294</v>
      </c>
      <c r="P99" s="122">
        <v>-13.545581484562945</v>
      </c>
    </row>
    <row r="100" spans="2:16" x14ac:dyDescent="0.2">
      <c r="B100" s="8">
        <v>268</v>
      </c>
      <c r="C100" s="8">
        <v>256</v>
      </c>
      <c r="N100" s="122">
        <v>72</v>
      </c>
      <c r="O100" s="122">
        <v>299.01730035728218</v>
      </c>
      <c r="P100" s="122">
        <v>-21.017300357282181</v>
      </c>
    </row>
    <row r="101" spans="2:16" x14ac:dyDescent="0.2">
      <c r="N101" s="122">
        <v>73</v>
      </c>
      <c r="O101" s="122">
        <v>431.24354937552835</v>
      </c>
      <c r="P101" s="122">
        <v>-2.243549375528346</v>
      </c>
    </row>
    <row r="102" spans="2:16" x14ac:dyDescent="0.2">
      <c r="N102" s="122">
        <v>74</v>
      </c>
      <c r="O102" s="122">
        <v>352.73421402094471</v>
      </c>
      <c r="P102" s="122">
        <v>-14.734214020944705</v>
      </c>
    </row>
    <row r="103" spans="2:16" x14ac:dyDescent="0.2">
      <c r="N103" s="122">
        <v>75</v>
      </c>
      <c r="O103" s="122">
        <v>291.78617736409683</v>
      </c>
      <c r="P103" s="122">
        <v>-30.786177364096829</v>
      </c>
    </row>
    <row r="104" spans="2:16" x14ac:dyDescent="0.2">
      <c r="N104" s="122">
        <v>76</v>
      </c>
      <c r="O104" s="122">
        <v>259.76263267999036</v>
      </c>
      <c r="P104" s="122">
        <v>-3.7626326799903609</v>
      </c>
    </row>
    <row r="105" spans="2:16" x14ac:dyDescent="0.2">
      <c r="N105" s="122">
        <v>77</v>
      </c>
      <c r="O105" s="122">
        <v>207.0787365867829</v>
      </c>
      <c r="P105" s="122">
        <v>-24.078736586782895</v>
      </c>
    </row>
    <row r="106" spans="2:16" x14ac:dyDescent="0.2">
      <c r="N106" s="122">
        <v>78</v>
      </c>
      <c r="O106" s="122">
        <v>266.99375567317571</v>
      </c>
      <c r="P106" s="122">
        <v>7.0062443268242873</v>
      </c>
    </row>
    <row r="107" spans="2:16" x14ac:dyDescent="0.2">
      <c r="N107" s="122">
        <v>79</v>
      </c>
      <c r="O107" s="122">
        <v>179.1872621844966</v>
      </c>
      <c r="P107" s="122">
        <v>2.8127378155033966</v>
      </c>
    </row>
    <row r="108" spans="2:16" x14ac:dyDescent="0.2">
      <c r="N108" s="122">
        <v>80</v>
      </c>
      <c r="O108" s="122">
        <v>167.82406890949107</v>
      </c>
      <c r="P108" s="122">
        <v>15.175931090508925</v>
      </c>
    </row>
    <row r="109" spans="2:16" x14ac:dyDescent="0.2">
      <c r="N109" s="122">
        <v>81</v>
      </c>
      <c r="O109" s="122">
        <v>285.58807194136659</v>
      </c>
      <c r="P109" s="122">
        <v>23.411928058633407</v>
      </c>
    </row>
    <row r="110" spans="2:16" x14ac:dyDescent="0.2">
      <c r="N110" s="122">
        <v>82</v>
      </c>
      <c r="O110" s="122">
        <v>189.5174378890471</v>
      </c>
      <c r="P110" s="122">
        <v>-11.517437889047102</v>
      </c>
    </row>
    <row r="111" spans="2:16" x14ac:dyDescent="0.2">
      <c r="N111" s="122">
        <v>83</v>
      </c>
      <c r="O111" s="122">
        <v>407.48414525506223</v>
      </c>
      <c r="P111" s="122">
        <v>50.515854744937769</v>
      </c>
    </row>
    <row r="112" spans="2:16" x14ac:dyDescent="0.2">
      <c r="N112" s="122">
        <v>84</v>
      </c>
      <c r="O112" s="122">
        <v>262.86168539135554</v>
      </c>
      <c r="P112" s="122">
        <v>-28.861685391355536</v>
      </c>
    </row>
    <row r="113" spans="14:16" x14ac:dyDescent="0.2">
      <c r="N113" s="122">
        <v>85</v>
      </c>
      <c r="O113" s="122">
        <v>274.22487866636106</v>
      </c>
      <c r="P113" s="122">
        <v>31.775121333638936</v>
      </c>
    </row>
    <row r="114" spans="14:16" x14ac:dyDescent="0.2">
      <c r="N114" s="122">
        <v>86</v>
      </c>
      <c r="O114" s="122">
        <v>311.41351120274277</v>
      </c>
      <c r="P114" s="122">
        <v>88.586488797257232</v>
      </c>
    </row>
    <row r="115" spans="14:16" x14ac:dyDescent="0.2">
      <c r="N115" s="122">
        <v>87</v>
      </c>
      <c r="O115" s="122">
        <v>327.94179233002353</v>
      </c>
      <c r="P115" s="122">
        <v>9.0582076699764684</v>
      </c>
    </row>
    <row r="116" spans="14:16" x14ac:dyDescent="0.2">
      <c r="N116" s="122">
        <v>88</v>
      </c>
      <c r="O116" s="122">
        <v>333.10688018229877</v>
      </c>
      <c r="P116" s="122">
        <v>-8.1068801822987666</v>
      </c>
    </row>
    <row r="117" spans="14:16" x14ac:dyDescent="0.2">
      <c r="N117" s="122">
        <v>89</v>
      </c>
      <c r="O117" s="122">
        <v>374.4275830005007</v>
      </c>
      <c r="P117" s="122">
        <v>-45.427583000500704</v>
      </c>
    </row>
    <row r="118" spans="14:16" x14ac:dyDescent="0.2">
      <c r="N118" s="122">
        <v>90</v>
      </c>
      <c r="O118" s="122">
        <v>378.55965328232088</v>
      </c>
      <c r="P118" s="122">
        <v>-9.5596532823208804</v>
      </c>
    </row>
    <row r="119" spans="14:16" x14ac:dyDescent="0.2">
      <c r="N119" s="122">
        <v>91</v>
      </c>
      <c r="O119" s="122">
        <v>476.69632247555046</v>
      </c>
      <c r="P119" s="122">
        <v>-19.69632247555046</v>
      </c>
    </row>
    <row r="120" spans="14:16" x14ac:dyDescent="0.2">
      <c r="N120" s="122">
        <v>92</v>
      </c>
      <c r="O120" s="122">
        <v>421.94639124143293</v>
      </c>
      <c r="P120" s="122">
        <v>-0.94639124143293429</v>
      </c>
    </row>
    <row r="121" spans="14:16" x14ac:dyDescent="0.2">
      <c r="N121" s="122">
        <v>93</v>
      </c>
      <c r="O121" s="122">
        <v>330.00782747093365</v>
      </c>
      <c r="P121" s="122">
        <v>-48.007827470933648</v>
      </c>
    </row>
    <row r="122" spans="14:16" ht="16" thickBot="1" x14ac:dyDescent="0.25">
      <c r="N122" s="123">
        <v>94</v>
      </c>
      <c r="O122" s="123">
        <v>318.64463419592812</v>
      </c>
      <c r="P122" s="123">
        <v>-62.64463419592812</v>
      </c>
    </row>
  </sheetData>
  <mergeCells count="3">
    <mergeCell ref="E5:F5"/>
    <mergeCell ref="H5:I5"/>
    <mergeCell ref="K5:L5"/>
  </mergeCells>
  <pageMargins left="0.7" right="0.7" top="0.75" bottom="0.75" header="0.3" footer="0.3"/>
  <pageSetup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65B9-B820-4AF4-89FA-6E4E591089E2}">
  <sheetPr codeName="Sheet60">
    <tabColor rgb="FFEFE5F7"/>
  </sheetPr>
  <dimension ref="B1:P124"/>
  <sheetViews>
    <sheetView showGridLines="0" tabSelected="1" workbookViewId="0">
      <selection activeCell="M5" sqref="M5"/>
    </sheetView>
  </sheetViews>
  <sheetFormatPr baseColWidth="10" defaultColWidth="8.83203125" defaultRowHeight="15" x14ac:dyDescent="0.2"/>
  <cols>
    <col min="1" max="1" width="2.83203125" customWidth="1"/>
    <col min="2" max="2" width="16" bestFit="1" customWidth="1"/>
    <col min="3" max="3" width="20.6640625" customWidth="1"/>
    <col min="4" max="4" width="19.33203125" customWidth="1"/>
  </cols>
  <sheetData>
    <row r="1" spans="2:13" ht="25.5" customHeight="1" x14ac:dyDescent="0.25">
      <c r="B1" s="18" t="s">
        <v>245</v>
      </c>
    </row>
    <row r="2" spans="2:13" ht="15" customHeight="1" x14ac:dyDescent="0.2">
      <c r="B2" s="30" t="s">
        <v>266</v>
      </c>
    </row>
    <row r="3" spans="2:13" ht="18" customHeight="1" x14ac:dyDescent="0.2"/>
    <row r="5" spans="2:13" x14ac:dyDescent="0.2">
      <c r="B5" s="43" t="s">
        <v>76</v>
      </c>
      <c r="C5" s="43" t="s">
        <v>22</v>
      </c>
      <c r="D5" s="43" t="s">
        <v>23</v>
      </c>
      <c r="H5" t="s">
        <v>339</v>
      </c>
    </row>
    <row r="6" spans="2:13" ht="16" thickBot="1" x14ac:dyDescent="0.25">
      <c r="B6" s="51">
        <v>68.400000000000006</v>
      </c>
      <c r="C6" s="51">
        <v>252</v>
      </c>
      <c r="D6" s="51">
        <v>276</v>
      </c>
    </row>
    <row r="7" spans="2:13" x14ac:dyDescent="0.2">
      <c r="B7" s="8">
        <v>62.1</v>
      </c>
      <c r="C7" s="8">
        <v>423</v>
      </c>
      <c r="D7" s="51">
        <v>410</v>
      </c>
      <c r="H7" s="125" t="s">
        <v>340</v>
      </c>
      <c r="I7" s="125"/>
      <c r="K7" s="128"/>
      <c r="L7" s="127" t="s">
        <v>76</v>
      </c>
      <c r="M7" s="126">
        <v>70</v>
      </c>
    </row>
    <row r="8" spans="2:13" x14ac:dyDescent="0.2">
      <c r="B8" s="8">
        <v>70.2</v>
      </c>
      <c r="C8" s="8">
        <v>101</v>
      </c>
      <c r="D8" s="51">
        <v>119</v>
      </c>
      <c r="H8" s="122" t="s">
        <v>341</v>
      </c>
      <c r="I8" s="122">
        <v>0.99279109999741466</v>
      </c>
      <c r="L8" s="127" t="s">
        <v>234</v>
      </c>
      <c r="M8" s="126">
        <v>285</v>
      </c>
    </row>
    <row r="9" spans="2:13" x14ac:dyDescent="0.2">
      <c r="B9" s="8">
        <v>75.099999999999994</v>
      </c>
      <c r="C9" s="8">
        <v>288</v>
      </c>
      <c r="D9" s="51">
        <v>334</v>
      </c>
      <c r="H9" s="122" t="s">
        <v>342</v>
      </c>
      <c r="I9" s="122">
        <v>0.98563416823407668</v>
      </c>
      <c r="L9" s="127"/>
    </row>
    <row r="10" spans="2:13" x14ac:dyDescent="0.2">
      <c r="B10" s="8">
        <v>60.9</v>
      </c>
      <c r="C10" s="8">
        <v>248</v>
      </c>
      <c r="D10" s="51">
        <v>252</v>
      </c>
      <c r="H10" s="122" t="s">
        <v>343</v>
      </c>
      <c r="I10" s="122">
        <v>0.98532186754351314</v>
      </c>
      <c r="L10" s="127" t="s">
        <v>235</v>
      </c>
      <c r="M10">
        <f>I21+I22*M7+I23*M8</f>
        <v>315.95174010556502</v>
      </c>
    </row>
    <row r="11" spans="2:13" x14ac:dyDescent="0.2">
      <c r="B11" s="8">
        <v>74.5</v>
      </c>
      <c r="C11" s="8">
        <v>145</v>
      </c>
      <c r="D11" s="51">
        <v>209</v>
      </c>
      <c r="H11" s="122" t="s">
        <v>257</v>
      </c>
      <c r="I11" s="122">
        <v>11.330387674231808</v>
      </c>
    </row>
    <row r="12" spans="2:13" ht="16" thickBot="1" x14ac:dyDescent="0.25">
      <c r="B12" s="8">
        <v>76.400000000000006</v>
      </c>
      <c r="C12" s="8">
        <v>401</v>
      </c>
      <c r="D12" s="51">
        <v>462</v>
      </c>
      <c r="H12" s="123" t="s">
        <v>344</v>
      </c>
      <c r="I12" s="123">
        <v>95</v>
      </c>
    </row>
    <row r="13" spans="2:13" x14ac:dyDescent="0.2">
      <c r="B13" s="8">
        <v>82.6</v>
      </c>
      <c r="C13" s="8">
        <v>287</v>
      </c>
      <c r="D13" s="51">
        <v>342</v>
      </c>
    </row>
    <row r="14" spans="2:13" ht="16" thickBot="1" x14ac:dyDescent="0.25">
      <c r="B14" s="8">
        <v>76.900000000000006</v>
      </c>
      <c r="C14" s="8">
        <v>275</v>
      </c>
      <c r="D14" s="51">
        <v>347</v>
      </c>
      <c r="H14" t="s">
        <v>345</v>
      </c>
    </row>
    <row r="15" spans="2:13" x14ac:dyDescent="0.2">
      <c r="B15" s="8">
        <v>83.3</v>
      </c>
      <c r="C15" s="8">
        <v>254</v>
      </c>
      <c r="D15" s="51">
        <v>313</v>
      </c>
      <c r="H15" s="124"/>
      <c r="I15" s="124" t="s">
        <v>350</v>
      </c>
      <c r="J15" s="124" t="s">
        <v>351</v>
      </c>
      <c r="K15" s="124" t="s">
        <v>352</v>
      </c>
      <c r="L15" s="124" t="s">
        <v>353</v>
      </c>
      <c r="M15" s="124" t="s">
        <v>354</v>
      </c>
    </row>
    <row r="16" spans="2:13" x14ac:dyDescent="0.2">
      <c r="B16" s="8">
        <v>75.8</v>
      </c>
      <c r="C16" s="8">
        <v>182</v>
      </c>
      <c r="D16" s="51">
        <v>232</v>
      </c>
      <c r="H16" s="122" t="s">
        <v>346</v>
      </c>
      <c r="I16" s="122">
        <v>2</v>
      </c>
      <c r="J16" s="122">
        <v>810330.78983605374</v>
      </c>
      <c r="K16" s="122">
        <v>405165.39491802687</v>
      </c>
      <c r="L16" s="122">
        <v>3156.0422311442458</v>
      </c>
      <c r="M16" s="122">
        <v>1.726695298954031E-85</v>
      </c>
    </row>
    <row r="17" spans="2:16" x14ac:dyDescent="0.2">
      <c r="B17" s="8">
        <v>76</v>
      </c>
      <c r="C17" s="8">
        <v>117</v>
      </c>
      <c r="D17" s="51">
        <v>163</v>
      </c>
      <c r="H17" s="122" t="s">
        <v>347</v>
      </c>
      <c r="I17" s="122">
        <v>92</v>
      </c>
      <c r="J17" s="122">
        <v>11810.747006051333</v>
      </c>
      <c r="K17" s="122">
        <v>128.37768484838406</v>
      </c>
      <c r="L17" s="122"/>
      <c r="M17" s="122"/>
    </row>
    <row r="18" spans="2:16" ht="16" thickBot="1" x14ac:dyDescent="0.25">
      <c r="B18" s="8">
        <v>62.8</v>
      </c>
      <c r="C18" s="8">
        <v>130</v>
      </c>
      <c r="D18" s="51">
        <v>119</v>
      </c>
      <c r="H18" s="123" t="s">
        <v>348</v>
      </c>
      <c r="I18" s="123">
        <v>94</v>
      </c>
      <c r="J18" s="123">
        <v>822141.5368421051</v>
      </c>
      <c r="K18" s="123"/>
      <c r="L18" s="123"/>
      <c r="M18" s="123"/>
    </row>
    <row r="19" spans="2:16" ht="16" thickBot="1" x14ac:dyDescent="0.25">
      <c r="B19" s="8">
        <v>82.8</v>
      </c>
      <c r="C19" s="8">
        <v>219</v>
      </c>
      <c r="D19" s="51">
        <v>304</v>
      </c>
    </row>
    <row r="20" spans="2:16" x14ac:dyDescent="0.2">
      <c r="B20" s="8">
        <v>76</v>
      </c>
      <c r="C20" s="8">
        <v>152</v>
      </c>
      <c r="D20" s="51">
        <v>211</v>
      </c>
      <c r="H20" s="124"/>
      <c r="I20" s="124" t="s">
        <v>355</v>
      </c>
      <c r="J20" s="124" t="s">
        <v>257</v>
      </c>
      <c r="K20" s="124" t="s">
        <v>356</v>
      </c>
      <c r="L20" s="124" t="s">
        <v>357</v>
      </c>
      <c r="M20" s="124" t="s">
        <v>358</v>
      </c>
      <c r="N20" s="124" t="s">
        <v>359</v>
      </c>
      <c r="O20" s="124" t="s">
        <v>360</v>
      </c>
      <c r="P20" s="124" t="s">
        <v>361</v>
      </c>
    </row>
    <row r="21" spans="2:16" x14ac:dyDescent="0.2">
      <c r="B21" s="8">
        <v>76.900000000000006</v>
      </c>
      <c r="C21" s="8">
        <v>228</v>
      </c>
      <c r="D21" s="51">
        <v>286</v>
      </c>
      <c r="H21" s="122" t="s">
        <v>349</v>
      </c>
      <c r="I21" s="122">
        <v>-222.42619776853718</v>
      </c>
      <c r="J21" s="122">
        <v>11.817463801380203</v>
      </c>
      <c r="K21" s="122">
        <v>-18.821821797546715</v>
      </c>
      <c r="L21" s="122">
        <v>2.6360711568826702E-33</v>
      </c>
      <c r="M21" s="122">
        <v>-245.89670092552367</v>
      </c>
      <c r="N21" s="122">
        <v>-198.95569461155068</v>
      </c>
      <c r="O21" s="122">
        <v>-245.89670092552367</v>
      </c>
      <c r="P21" s="122">
        <v>-198.95569461155068</v>
      </c>
    </row>
    <row r="22" spans="2:16" x14ac:dyDescent="0.2">
      <c r="B22" s="8">
        <v>75.8</v>
      </c>
      <c r="C22" s="8">
        <v>62</v>
      </c>
      <c r="D22" s="51">
        <v>122</v>
      </c>
      <c r="H22" s="122" t="s">
        <v>76</v>
      </c>
      <c r="I22" s="122">
        <v>3.6500404966015521</v>
      </c>
      <c r="J22" s="122">
        <v>0.15618021349556055</v>
      </c>
      <c r="K22" s="122">
        <v>23.370697317591418</v>
      </c>
      <c r="L22" s="122">
        <v>1.8132199734321842E-40</v>
      </c>
      <c r="M22" s="122">
        <v>3.3398531115995129</v>
      </c>
      <c r="N22" s="122">
        <v>3.9602278816035912</v>
      </c>
      <c r="O22" s="122">
        <v>3.3398531115995129</v>
      </c>
      <c r="P22" s="122">
        <v>3.9602278816035912</v>
      </c>
    </row>
    <row r="23" spans="2:16" ht="16" thickBot="1" x14ac:dyDescent="0.25">
      <c r="B23" s="8">
        <v>78</v>
      </c>
      <c r="C23" s="8">
        <v>393</v>
      </c>
      <c r="D23" s="51">
        <v>443</v>
      </c>
      <c r="H23" s="123" t="s">
        <v>22</v>
      </c>
      <c r="I23" s="123">
        <v>0.99254422144559151</v>
      </c>
      <c r="J23" s="123">
        <v>1.3705636999396694E-2</v>
      </c>
      <c r="K23" s="123">
        <v>72.418685938441399</v>
      </c>
      <c r="L23" s="123">
        <v>6.355192075965976E-83</v>
      </c>
      <c r="M23" s="123">
        <v>0.96532364333599063</v>
      </c>
      <c r="N23" s="123">
        <v>1.0197647995551924</v>
      </c>
      <c r="O23" s="123">
        <v>0.96532364333599063</v>
      </c>
      <c r="P23" s="123">
        <v>1.0197647995551924</v>
      </c>
    </row>
    <row r="24" spans="2:16" x14ac:dyDescent="0.2">
      <c r="B24" s="8">
        <v>82.4</v>
      </c>
      <c r="C24" s="8">
        <v>277</v>
      </c>
      <c r="D24" s="51">
        <v>366</v>
      </c>
    </row>
    <row r="25" spans="2:16" x14ac:dyDescent="0.2">
      <c r="B25" s="8">
        <v>76.2</v>
      </c>
      <c r="C25" s="8">
        <v>206</v>
      </c>
      <c r="D25" s="51">
        <v>244</v>
      </c>
    </row>
    <row r="26" spans="2:16" x14ac:dyDescent="0.2">
      <c r="B26" s="8">
        <v>62.5</v>
      </c>
      <c r="C26" s="8">
        <v>229</v>
      </c>
      <c r="D26" s="51">
        <v>241</v>
      </c>
    </row>
    <row r="27" spans="2:16" x14ac:dyDescent="0.2">
      <c r="B27" s="8">
        <v>78</v>
      </c>
      <c r="C27" s="8">
        <v>182</v>
      </c>
      <c r="D27" s="51">
        <v>237</v>
      </c>
      <c r="H27" t="s">
        <v>362</v>
      </c>
    </row>
    <row r="28" spans="2:16" ht="16" thickBot="1" x14ac:dyDescent="0.25">
      <c r="B28" s="8">
        <v>66.5</v>
      </c>
      <c r="C28" s="8">
        <v>98</v>
      </c>
      <c r="D28" s="51">
        <v>122</v>
      </c>
    </row>
    <row r="29" spans="2:16" x14ac:dyDescent="0.2">
      <c r="B29" s="8">
        <v>63.5</v>
      </c>
      <c r="C29" s="8">
        <v>125</v>
      </c>
      <c r="D29" s="51">
        <v>129</v>
      </c>
      <c r="H29" s="124" t="s">
        <v>363</v>
      </c>
      <c r="I29" s="124" t="s">
        <v>366</v>
      </c>
      <c r="J29" s="124" t="s">
        <v>364</v>
      </c>
    </row>
    <row r="30" spans="2:16" x14ac:dyDescent="0.2">
      <c r="B30" s="8">
        <v>82.6</v>
      </c>
      <c r="C30" s="8">
        <v>164</v>
      </c>
      <c r="D30" s="51">
        <v>236</v>
      </c>
      <c r="H30" s="122">
        <v>1</v>
      </c>
      <c r="I30" s="122">
        <v>277.35771600329804</v>
      </c>
      <c r="J30" s="122">
        <v>-1.3577160032980373</v>
      </c>
    </row>
    <row r="31" spans="2:16" x14ac:dyDescent="0.2">
      <c r="B31" s="8">
        <v>79.2</v>
      </c>
      <c r="C31" s="8">
        <v>186</v>
      </c>
      <c r="D31" s="51">
        <v>251</v>
      </c>
      <c r="H31" s="122">
        <v>2</v>
      </c>
      <c r="I31" s="122">
        <v>424.08752274190442</v>
      </c>
      <c r="J31" s="122">
        <v>-14.087522741904422</v>
      </c>
    </row>
    <row r="32" spans="2:16" x14ac:dyDescent="0.2">
      <c r="B32" s="8">
        <v>75</v>
      </c>
      <c r="C32" s="8">
        <v>235</v>
      </c>
      <c r="D32" s="51">
        <v>283</v>
      </c>
      <c r="H32" s="122">
        <v>3</v>
      </c>
      <c r="I32" s="122">
        <v>134.05361145889657</v>
      </c>
      <c r="J32" s="122">
        <v>-15.053611458896569</v>
      </c>
    </row>
    <row r="33" spans="2:10" x14ac:dyDescent="0.2">
      <c r="B33" s="8">
        <v>74.400000000000006</v>
      </c>
      <c r="C33" s="8">
        <v>184</v>
      </c>
      <c r="D33" s="51">
        <v>225</v>
      </c>
      <c r="H33" s="122">
        <v>4</v>
      </c>
      <c r="I33" s="122">
        <v>337.54457930256973</v>
      </c>
      <c r="J33" s="122">
        <v>-3.5445793025697299</v>
      </c>
    </row>
    <row r="34" spans="2:10" x14ac:dyDescent="0.2">
      <c r="B34" s="8">
        <v>67.900000000000006</v>
      </c>
      <c r="C34" s="8">
        <v>76</v>
      </c>
      <c r="D34" s="51">
        <v>102</v>
      </c>
      <c r="H34" s="122">
        <v>5</v>
      </c>
      <c r="I34" s="122">
        <v>246.01223539300403</v>
      </c>
      <c r="J34" s="122">
        <v>5.9877646069959667</v>
      </c>
    </row>
    <row r="35" spans="2:10" x14ac:dyDescent="0.2">
      <c r="B35" s="8">
        <v>76.8</v>
      </c>
      <c r="C35" s="8">
        <v>126</v>
      </c>
      <c r="D35" s="51">
        <v>180</v>
      </c>
      <c r="H35" s="122">
        <v>6</v>
      </c>
      <c r="I35" s="122">
        <v>193.42073133788924</v>
      </c>
      <c r="J35" s="122">
        <v>15.579268662110763</v>
      </c>
    </row>
    <row r="36" spans="2:10" x14ac:dyDescent="0.2">
      <c r="B36" s="8">
        <v>83</v>
      </c>
      <c r="C36" s="8">
        <v>183</v>
      </c>
      <c r="D36" s="51">
        <v>247</v>
      </c>
      <c r="H36" s="122">
        <v>7</v>
      </c>
      <c r="I36" s="122">
        <v>454.44712897150362</v>
      </c>
      <c r="J36" s="122">
        <v>7.5528710284963836</v>
      </c>
    </row>
    <row r="37" spans="2:10" x14ac:dyDescent="0.2">
      <c r="B37" s="8">
        <v>88.9</v>
      </c>
      <c r="C37" s="8">
        <v>242</v>
      </c>
      <c r="D37" s="51">
        <v>343</v>
      </c>
      <c r="H37" s="122">
        <v>8</v>
      </c>
      <c r="I37" s="122">
        <v>363.92733880563577</v>
      </c>
      <c r="J37" s="122">
        <v>-21.92733880563577</v>
      </c>
    </row>
    <row r="38" spans="2:10" x14ac:dyDescent="0.2">
      <c r="B38" s="8">
        <v>76.5</v>
      </c>
      <c r="C38" s="8">
        <v>207</v>
      </c>
      <c r="D38" s="51">
        <v>283</v>
      </c>
      <c r="H38" s="122">
        <v>9</v>
      </c>
      <c r="I38" s="122">
        <v>331.21157731765987</v>
      </c>
      <c r="J38" s="122">
        <v>15.788422682340126</v>
      </c>
    </row>
    <row r="39" spans="2:10" x14ac:dyDescent="0.2">
      <c r="B39" s="8">
        <v>79.900000000000006</v>
      </c>
      <c r="C39" s="8">
        <v>181</v>
      </c>
      <c r="D39" s="51">
        <v>253</v>
      </c>
      <c r="H39" s="122">
        <v>10</v>
      </c>
      <c r="I39" s="122">
        <v>333.72840784555234</v>
      </c>
      <c r="J39" s="122">
        <v>-20.72840784555234</v>
      </c>
    </row>
    <row r="40" spans="2:10" x14ac:dyDescent="0.2">
      <c r="B40" s="8">
        <v>70.400000000000006</v>
      </c>
      <c r="C40" s="8">
        <v>239</v>
      </c>
      <c r="D40" s="51">
        <v>263</v>
      </c>
      <c r="H40" s="122">
        <v>11</v>
      </c>
      <c r="I40" s="122">
        <v>234.88992017695813</v>
      </c>
      <c r="J40" s="122">
        <v>-2.8899201769581282</v>
      </c>
    </row>
    <row r="41" spans="2:10" x14ac:dyDescent="0.2">
      <c r="B41" s="8">
        <v>83.4</v>
      </c>
      <c r="C41" s="8">
        <v>216</v>
      </c>
      <c r="D41" s="51">
        <v>291</v>
      </c>
      <c r="H41" s="122">
        <v>12</v>
      </c>
      <c r="I41" s="122">
        <v>171.10455388231497</v>
      </c>
      <c r="J41" s="122">
        <v>-8.1045538823149741</v>
      </c>
    </row>
    <row r="42" spans="2:10" x14ac:dyDescent="0.2">
      <c r="B42" s="8">
        <v>79.2</v>
      </c>
      <c r="C42" s="8">
        <v>289</v>
      </c>
      <c r="D42" s="51">
        <v>368</v>
      </c>
      <c r="H42" s="122">
        <v>13</v>
      </c>
      <c r="I42" s="122">
        <v>135.8270942059672</v>
      </c>
      <c r="J42" s="122">
        <v>-16.8270942059672</v>
      </c>
    </row>
    <row r="43" spans="2:10" x14ac:dyDescent="0.2">
      <c r="B43" s="8">
        <v>61.2</v>
      </c>
      <c r="C43" s="8">
        <v>213</v>
      </c>
      <c r="D43" s="51">
        <v>206</v>
      </c>
      <c r="H43" s="122">
        <v>14</v>
      </c>
      <c r="I43" s="122">
        <v>297.16433984665582</v>
      </c>
      <c r="J43" s="122">
        <v>6.835660153344179</v>
      </c>
    </row>
    <row r="44" spans="2:10" x14ac:dyDescent="0.2">
      <c r="B44" s="8">
        <v>64</v>
      </c>
      <c r="C44" s="8">
        <v>209</v>
      </c>
      <c r="D44" s="51">
        <v>231</v>
      </c>
      <c r="H44" s="122">
        <v>15</v>
      </c>
      <c r="I44" s="122">
        <v>205.84360163291066</v>
      </c>
      <c r="J44" s="122">
        <v>5.1563983670893379</v>
      </c>
    </row>
    <row r="45" spans="2:10" x14ac:dyDescent="0.2">
      <c r="B45" s="8">
        <v>68</v>
      </c>
      <c r="C45" s="8">
        <v>376</v>
      </c>
      <c r="D45" s="51">
        <v>389</v>
      </c>
      <c r="H45" s="122">
        <v>16</v>
      </c>
      <c r="I45" s="122">
        <v>284.56199890971709</v>
      </c>
      <c r="J45" s="122">
        <v>1.4380010902829099</v>
      </c>
    </row>
    <row r="46" spans="2:10" x14ac:dyDescent="0.2">
      <c r="B46" s="8">
        <v>78.5</v>
      </c>
      <c r="C46" s="8">
        <v>332</v>
      </c>
      <c r="D46" s="51">
        <v>396</v>
      </c>
      <c r="H46" s="122">
        <v>17</v>
      </c>
      <c r="I46" s="122">
        <v>115.78461360348714</v>
      </c>
      <c r="J46" s="122">
        <v>6.2153863965128551</v>
      </c>
    </row>
    <row r="47" spans="2:10" x14ac:dyDescent="0.2">
      <c r="B47" s="8">
        <v>83</v>
      </c>
      <c r="C47" s="8">
        <v>249</v>
      </c>
      <c r="D47" s="51">
        <v>339</v>
      </c>
      <c r="H47" s="122">
        <v>18</v>
      </c>
      <c r="I47" s="122">
        <v>452.34683999450129</v>
      </c>
      <c r="J47" s="122">
        <v>-9.3468399945012948</v>
      </c>
    </row>
    <row r="48" spans="2:10" x14ac:dyDescent="0.2">
      <c r="B48" s="8">
        <v>75.2</v>
      </c>
      <c r="C48" s="8">
        <v>228</v>
      </c>
      <c r="D48" s="51">
        <v>286</v>
      </c>
      <c r="H48" s="122">
        <v>19</v>
      </c>
      <c r="I48" s="122">
        <v>353.27188849185956</v>
      </c>
      <c r="J48" s="122">
        <v>12.728111508140444</v>
      </c>
    </row>
    <row r="49" spans="2:10" x14ac:dyDescent="0.2">
      <c r="B49" s="8">
        <v>68.099999999999994</v>
      </c>
      <c r="C49" s="8">
        <v>124</v>
      </c>
      <c r="D49" s="51">
        <v>146</v>
      </c>
      <c r="H49" s="122">
        <v>20</v>
      </c>
      <c r="I49" s="122">
        <v>260.17099769029295</v>
      </c>
      <c r="J49" s="122">
        <v>-16.17099769029295</v>
      </c>
    </row>
    <row r="50" spans="2:10" x14ac:dyDescent="0.2">
      <c r="B50" s="8">
        <v>93.6</v>
      </c>
      <c r="C50" s="8">
        <v>194</v>
      </c>
      <c r="D50" s="51">
        <v>315</v>
      </c>
      <c r="H50" s="122">
        <v>21</v>
      </c>
      <c r="I50" s="122">
        <v>232.9939599801003</v>
      </c>
      <c r="J50" s="122">
        <v>8.0060400198997002</v>
      </c>
    </row>
    <row r="51" spans="2:10" x14ac:dyDescent="0.2">
      <c r="B51" s="8">
        <v>75.599999999999994</v>
      </c>
      <c r="C51" s="8">
        <v>157</v>
      </c>
      <c r="D51" s="51">
        <v>183</v>
      </c>
      <c r="H51" s="122">
        <v>22</v>
      </c>
      <c r="I51" s="122">
        <v>242.92000926948151</v>
      </c>
      <c r="J51" s="122">
        <v>-5.9200092694815112</v>
      </c>
    </row>
    <row r="52" spans="2:10" x14ac:dyDescent="0.2">
      <c r="B52" s="8">
        <v>82.3</v>
      </c>
      <c r="C52" s="8">
        <v>402</v>
      </c>
      <c r="D52" s="51">
        <v>481</v>
      </c>
      <c r="H52" s="122">
        <v>23</v>
      </c>
      <c r="I52" s="122">
        <v>117.570828957134</v>
      </c>
      <c r="J52" s="122">
        <v>4.4291710428660025</v>
      </c>
    </row>
    <row r="53" spans="2:10" x14ac:dyDescent="0.2">
      <c r="B53" s="8">
        <v>71.400000000000006</v>
      </c>
      <c r="C53" s="8">
        <v>323</v>
      </c>
      <c r="D53" s="51">
        <v>349</v>
      </c>
      <c r="H53" s="122">
        <v>24</v>
      </c>
      <c r="I53" s="122">
        <v>133.41940144636033</v>
      </c>
      <c r="J53" s="122">
        <v>-4.4194014463603253</v>
      </c>
    </row>
    <row r="54" spans="2:10" x14ac:dyDescent="0.2">
      <c r="B54" s="8">
        <v>71.900000000000006</v>
      </c>
      <c r="C54" s="8">
        <v>181</v>
      </c>
      <c r="D54" s="51">
        <v>225</v>
      </c>
      <c r="H54" s="122">
        <v>25</v>
      </c>
      <c r="I54" s="122">
        <v>241.84439956782802</v>
      </c>
      <c r="J54" s="122">
        <v>-5.8443995678280203</v>
      </c>
    </row>
    <row r="55" spans="2:10" x14ac:dyDescent="0.2">
      <c r="B55" s="8">
        <v>79.099999999999994</v>
      </c>
      <c r="C55" s="8">
        <v>157</v>
      </c>
      <c r="D55" s="51">
        <v>217</v>
      </c>
      <c r="H55" s="122">
        <v>26</v>
      </c>
      <c r="I55" s="122">
        <v>251.27023475118577</v>
      </c>
      <c r="J55" s="122">
        <v>-0.27023475118576812</v>
      </c>
    </row>
    <row r="56" spans="2:10" x14ac:dyDescent="0.2">
      <c r="B56" s="8">
        <v>88.7</v>
      </c>
      <c r="C56" s="8">
        <v>266</v>
      </c>
      <c r="D56" s="51">
        <v>353</v>
      </c>
      <c r="H56" s="122">
        <v>27</v>
      </c>
      <c r="I56" s="122">
        <v>284.57473151629324</v>
      </c>
      <c r="J56" s="122">
        <v>-1.5747315162932409</v>
      </c>
    </row>
    <row r="57" spans="2:10" x14ac:dyDescent="0.2">
      <c r="B57" s="8">
        <v>69.400000000000006</v>
      </c>
      <c r="C57" s="8">
        <v>268</v>
      </c>
      <c r="D57" s="51">
        <v>314</v>
      </c>
      <c r="H57" s="122">
        <v>28</v>
      </c>
      <c r="I57" s="122">
        <v>231.76495192460712</v>
      </c>
      <c r="J57" s="122">
        <v>-6.7649519246071179</v>
      </c>
    </row>
    <row r="58" spans="2:10" x14ac:dyDescent="0.2">
      <c r="B58" s="8">
        <v>80.3</v>
      </c>
      <c r="C58" s="8">
        <v>167</v>
      </c>
      <c r="D58" s="51">
        <v>247</v>
      </c>
      <c r="H58" s="122">
        <v>29</v>
      </c>
      <c r="I58" s="122">
        <v>100.84491278057318</v>
      </c>
      <c r="J58" s="122">
        <v>1.155087219426818</v>
      </c>
    </row>
    <row r="59" spans="2:10" x14ac:dyDescent="0.2">
      <c r="B59" s="8">
        <v>83</v>
      </c>
      <c r="C59" s="8">
        <v>342</v>
      </c>
      <c r="D59" s="51">
        <v>410</v>
      </c>
      <c r="H59" s="122">
        <v>30</v>
      </c>
      <c r="I59" s="122">
        <v>182.95748427260656</v>
      </c>
      <c r="J59" s="122">
        <v>-2.957484272606564</v>
      </c>
    </row>
    <row r="60" spans="2:10" x14ac:dyDescent="0.2">
      <c r="B60" s="8">
        <v>74.099999999999994</v>
      </c>
      <c r="C60" s="8">
        <v>349</v>
      </c>
      <c r="D60" s="51">
        <v>395</v>
      </c>
      <c r="H60" s="122">
        <v>31</v>
      </c>
      <c r="I60" s="122">
        <v>262.16275597393491</v>
      </c>
      <c r="J60" s="122">
        <v>-15.162755973934907</v>
      </c>
    </row>
    <row r="61" spans="2:10" x14ac:dyDescent="0.2">
      <c r="B61" s="8">
        <v>79.400000000000006</v>
      </c>
      <c r="C61" s="8">
        <v>340</v>
      </c>
      <c r="D61" s="51">
        <v>416</v>
      </c>
      <c r="H61" s="122">
        <v>32</v>
      </c>
      <c r="I61" s="122">
        <v>342.25810396917393</v>
      </c>
      <c r="J61" s="122">
        <v>0.74189603082606936</v>
      </c>
    </row>
    <row r="62" spans="2:10" x14ac:dyDescent="0.2">
      <c r="B62" s="8">
        <v>88.1</v>
      </c>
      <c r="C62" s="8">
        <v>227</v>
      </c>
      <c r="D62" s="51">
        <v>342</v>
      </c>
      <c r="H62" s="122">
        <v>33</v>
      </c>
      <c r="I62" s="122">
        <v>262.25855406071901</v>
      </c>
      <c r="J62" s="122">
        <v>20.741445939280993</v>
      </c>
    </row>
    <row r="63" spans="2:10" x14ac:dyDescent="0.2">
      <c r="B63" s="8">
        <v>74.599999999999994</v>
      </c>
      <c r="C63" s="8">
        <v>409</v>
      </c>
      <c r="D63" s="51">
        <v>446</v>
      </c>
      <c r="H63" s="122">
        <v>34</v>
      </c>
      <c r="I63" s="122">
        <v>248.86254199157889</v>
      </c>
      <c r="J63" s="122">
        <v>4.1374580084211061</v>
      </c>
    </row>
    <row r="64" spans="2:10" x14ac:dyDescent="0.2">
      <c r="B64" s="8">
        <v>87.1</v>
      </c>
      <c r="C64" s="8">
        <v>400</v>
      </c>
      <c r="D64" s="51">
        <v>477</v>
      </c>
      <c r="H64" s="122">
        <v>35</v>
      </c>
      <c r="I64" s="122">
        <v>271.75472211770847</v>
      </c>
      <c r="J64" s="122">
        <v>-8.754722117708468</v>
      </c>
    </row>
    <row r="65" spans="2:10" x14ac:dyDescent="0.2">
      <c r="B65" s="8">
        <v>79.7</v>
      </c>
      <c r="C65" s="8">
        <v>374</v>
      </c>
      <c r="D65" s="51">
        <v>444</v>
      </c>
      <c r="H65" s="122">
        <v>36</v>
      </c>
      <c r="I65" s="122">
        <v>296.37673148028006</v>
      </c>
      <c r="J65" s="122">
        <v>-5.376731480280057</v>
      </c>
    </row>
    <row r="66" spans="2:10" x14ac:dyDescent="0.2">
      <c r="B66" s="8">
        <v>82.1</v>
      </c>
      <c r="C66" s="8">
        <v>255</v>
      </c>
      <c r="D66" s="51">
        <v>351</v>
      </c>
      <c r="H66" s="122">
        <v>37</v>
      </c>
      <c r="I66" s="122">
        <v>353.50228956008169</v>
      </c>
      <c r="J66" s="122">
        <v>14.497710439918308</v>
      </c>
    </row>
    <row r="67" spans="2:10" x14ac:dyDescent="0.2">
      <c r="B67" s="8">
        <v>70.2</v>
      </c>
      <c r="C67" s="8">
        <v>146</v>
      </c>
      <c r="D67" s="51">
        <v>165</v>
      </c>
      <c r="H67" s="122">
        <v>38</v>
      </c>
      <c r="I67" s="122">
        <v>212.3681997913888</v>
      </c>
      <c r="J67" s="122">
        <v>-6.368199791388804</v>
      </c>
    </row>
    <row r="68" spans="2:10" x14ac:dyDescent="0.2">
      <c r="B68" s="8">
        <v>81.7</v>
      </c>
      <c r="C68" s="8">
        <v>248</v>
      </c>
      <c r="D68" s="51">
        <v>317</v>
      </c>
      <c r="H68" s="122">
        <v>39</v>
      </c>
      <c r="I68" s="122">
        <v>218.61813629609077</v>
      </c>
      <c r="J68" s="122">
        <v>12.381863703909232</v>
      </c>
    </row>
    <row r="69" spans="2:10" x14ac:dyDescent="0.2">
      <c r="B69" s="8">
        <v>76.099999999999994</v>
      </c>
      <c r="C69" s="8">
        <v>198</v>
      </c>
      <c r="D69" s="51">
        <v>250</v>
      </c>
      <c r="H69" s="122">
        <v>40</v>
      </c>
      <c r="I69" s="122">
        <v>398.97318326391076</v>
      </c>
      <c r="J69" s="122">
        <v>-9.9731832639107552</v>
      </c>
    </row>
    <row r="70" spans="2:10" x14ac:dyDescent="0.2">
      <c r="B70" s="8">
        <v>65.400000000000006</v>
      </c>
      <c r="C70" s="8">
        <v>210</v>
      </c>
      <c r="D70" s="51">
        <v>217</v>
      </c>
      <c r="H70" s="122">
        <v>41</v>
      </c>
      <c r="I70" s="122">
        <v>393.62666273462105</v>
      </c>
      <c r="J70" s="122">
        <v>2.3733372653789502</v>
      </c>
    </row>
    <row r="71" spans="2:10" x14ac:dyDescent="0.2">
      <c r="B71" s="8">
        <v>70.099999999999994</v>
      </c>
      <c r="C71" s="8">
        <v>107</v>
      </c>
      <c r="D71" s="51">
        <v>138</v>
      </c>
      <c r="H71" s="122">
        <v>42</v>
      </c>
      <c r="I71" s="122">
        <v>327.67067458934395</v>
      </c>
      <c r="J71" s="122">
        <v>11.329325410656054</v>
      </c>
    </row>
    <row r="72" spans="2:10" x14ac:dyDescent="0.2">
      <c r="B72" s="8">
        <v>75.3</v>
      </c>
      <c r="C72" s="8">
        <v>239</v>
      </c>
      <c r="D72" s="51">
        <v>302</v>
      </c>
      <c r="H72" s="122">
        <v>43</v>
      </c>
      <c r="I72" s="122">
        <v>278.35693006549445</v>
      </c>
      <c r="J72" s="122">
        <v>7.6430699345055473</v>
      </c>
    </row>
    <row r="73" spans="2:10" x14ac:dyDescent="0.2">
      <c r="B73" s="8">
        <v>68.7</v>
      </c>
      <c r="C73" s="8">
        <v>287</v>
      </c>
      <c r="D73" s="51">
        <v>311</v>
      </c>
      <c r="H73" s="122">
        <v>44</v>
      </c>
      <c r="I73" s="122">
        <v>149.21704350928184</v>
      </c>
      <c r="J73" s="122">
        <v>-3.2170435092818366</v>
      </c>
    </row>
    <row r="74" spans="2:10" x14ac:dyDescent="0.2">
      <c r="B74" s="8">
        <v>75.7</v>
      </c>
      <c r="C74" s="8">
        <v>340</v>
      </c>
      <c r="D74" s="51">
        <v>373</v>
      </c>
      <c r="H74" s="122">
        <v>45</v>
      </c>
      <c r="I74" s="122">
        <v>311.77117167381277</v>
      </c>
      <c r="J74" s="122">
        <v>3.2288283261872266</v>
      </c>
    </row>
    <row r="75" spans="2:10" x14ac:dyDescent="0.2">
      <c r="B75" s="8">
        <v>68.7</v>
      </c>
      <c r="C75" s="8">
        <v>155</v>
      </c>
      <c r="D75" s="51">
        <v>196</v>
      </c>
      <c r="H75" s="122">
        <v>46</v>
      </c>
      <c r="I75" s="122">
        <v>209.346306541498</v>
      </c>
      <c r="J75" s="122">
        <v>-26.346306541497995</v>
      </c>
    </row>
    <row r="76" spans="2:10" x14ac:dyDescent="0.2">
      <c r="B76" s="8">
        <v>70.400000000000006</v>
      </c>
      <c r="C76" s="8">
        <v>263</v>
      </c>
      <c r="D76" s="51">
        <v>306</v>
      </c>
      <c r="H76" s="122">
        <v>47</v>
      </c>
      <c r="I76" s="122">
        <v>476.97491212289833</v>
      </c>
      <c r="J76" s="122">
        <v>4.0250878771016687</v>
      </c>
    </row>
    <row r="77" spans="2:10" x14ac:dyDescent="0.2">
      <c r="B77" s="8">
        <v>68.3</v>
      </c>
      <c r="C77" s="8">
        <v>265</v>
      </c>
      <c r="D77" s="51">
        <v>302</v>
      </c>
      <c r="H77" s="122">
        <v>48</v>
      </c>
      <c r="I77" s="122">
        <v>358.77847721573971</v>
      </c>
      <c r="J77" s="122">
        <v>-9.7784772157397128</v>
      </c>
    </row>
    <row r="78" spans="2:10" x14ac:dyDescent="0.2">
      <c r="B78" s="8">
        <v>71.7</v>
      </c>
      <c r="C78" s="8">
        <v>249</v>
      </c>
      <c r="D78" s="51">
        <v>278</v>
      </c>
      <c r="H78" s="122">
        <v>49</v>
      </c>
      <c r="I78" s="122">
        <v>219.66221801876651</v>
      </c>
      <c r="J78" s="122">
        <v>5.3377819812334906</v>
      </c>
    </row>
    <row r="79" spans="2:10" x14ac:dyDescent="0.2">
      <c r="B79" s="8">
        <v>70.900000000000006</v>
      </c>
      <c r="C79" s="8">
        <v>377</v>
      </c>
      <c r="D79" s="51">
        <v>429</v>
      </c>
      <c r="H79" s="122">
        <v>50</v>
      </c>
      <c r="I79" s="122">
        <v>222.12144827960344</v>
      </c>
      <c r="J79" s="122">
        <v>-5.1214482796034417</v>
      </c>
    </row>
    <row r="80" spans="2:10" x14ac:dyDescent="0.2">
      <c r="B80" s="8">
        <v>66.3</v>
      </c>
      <c r="C80" s="8">
        <v>301</v>
      </c>
      <c r="D80" s="51">
        <v>338</v>
      </c>
      <c r="H80" s="122">
        <v>51</v>
      </c>
      <c r="I80" s="122">
        <v>365.34915718454783</v>
      </c>
      <c r="J80" s="122">
        <v>-12.349157184547835</v>
      </c>
    </row>
    <row r="81" spans="2:10" x14ac:dyDescent="0.2">
      <c r="B81" s="8">
        <v>65.3</v>
      </c>
      <c r="C81" s="8">
        <v>242</v>
      </c>
      <c r="D81" s="51">
        <v>261</v>
      </c>
      <c r="H81" s="122">
        <v>52</v>
      </c>
      <c r="I81" s="122">
        <v>296.8884640430291</v>
      </c>
      <c r="J81" s="122">
        <v>17.111535956970897</v>
      </c>
    </row>
    <row r="82" spans="2:10" x14ac:dyDescent="0.2">
      <c r="B82" s="8">
        <v>75.7</v>
      </c>
      <c r="C82" s="8">
        <v>211</v>
      </c>
      <c r="D82" s="51">
        <v>256</v>
      </c>
      <c r="H82" s="122">
        <v>53</v>
      </c>
      <c r="I82" s="122">
        <v>236.42693908998126</v>
      </c>
      <c r="J82" s="122">
        <v>10.573060910018739</v>
      </c>
    </row>
    <row r="83" spans="2:10" x14ac:dyDescent="0.2">
      <c r="B83" s="8">
        <v>66</v>
      </c>
      <c r="C83" s="8">
        <v>160</v>
      </c>
      <c r="D83" s="51">
        <v>183</v>
      </c>
      <c r="H83" s="122">
        <v>54</v>
      </c>
      <c r="I83" s="122">
        <v>419.97728718378397</v>
      </c>
      <c r="J83" s="122">
        <v>-9.9772871837839716</v>
      </c>
    </row>
    <row r="84" spans="2:10" x14ac:dyDescent="0.2">
      <c r="B84" s="8">
        <v>78.900000000000006</v>
      </c>
      <c r="C84" s="8">
        <v>218</v>
      </c>
      <c r="D84" s="51">
        <v>274</v>
      </c>
      <c r="H84" s="122">
        <v>55</v>
      </c>
      <c r="I84" s="122">
        <v>394.43973631414929</v>
      </c>
      <c r="J84" s="122">
        <v>0.56026368585071396</v>
      </c>
    </row>
    <row r="85" spans="2:10" x14ac:dyDescent="0.2">
      <c r="B85" s="8">
        <v>74</v>
      </c>
      <c r="C85" s="8">
        <v>133</v>
      </c>
      <c r="D85" s="51">
        <v>182</v>
      </c>
      <c r="H85" s="122">
        <v>56</v>
      </c>
      <c r="I85" s="122">
        <v>404.85205295312721</v>
      </c>
      <c r="J85" s="122">
        <v>11.147947046872787</v>
      </c>
    </row>
    <row r="86" spans="2:10" x14ac:dyDescent="0.2">
      <c r="B86" s="8">
        <v>74.599999999999994</v>
      </c>
      <c r="C86" s="8">
        <v>122</v>
      </c>
      <c r="D86" s="51">
        <v>183</v>
      </c>
      <c r="H86" s="122">
        <v>57</v>
      </c>
      <c r="I86" s="122">
        <v>324.44990825020886</v>
      </c>
      <c r="J86" s="122">
        <v>17.550091749791136</v>
      </c>
    </row>
    <row r="87" spans="2:10" x14ac:dyDescent="0.2">
      <c r="B87" s="8">
        <v>79.3</v>
      </c>
      <c r="C87" s="8">
        <v>236</v>
      </c>
      <c r="D87" s="51">
        <v>309</v>
      </c>
      <c r="H87" s="122">
        <v>58</v>
      </c>
      <c r="I87" s="122">
        <v>455.81740984918548</v>
      </c>
      <c r="J87" s="122">
        <v>-9.8174098491854807</v>
      </c>
    </row>
    <row r="88" spans="2:10" x14ac:dyDescent="0.2">
      <c r="B88" s="8">
        <v>70.099999999999994</v>
      </c>
      <c r="C88" s="8">
        <v>143</v>
      </c>
      <c r="D88" s="51">
        <v>178</v>
      </c>
      <c r="H88" s="122">
        <v>59</v>
      </c>
      <c r="I88" s="122">
        <v>492.51001806369459</v>
      </c>
      <c r="J88" s="122">
        <v>-15.510018063694588</v>
      </c>
    </row>
    <row r="89" spans="2:10" x14ac:dyDescent="0.2">
      <c r="B89" s="8">
        <v>88.8</v>
      </c>
      <c r="C89" s="8">
        <v>354</v>
      </c>
      <c r="D89" s="51">
        <v>458</v>
      </c>
      <c r="H89" s="122">
        <v>60</v>
      </c>
      <c r="I89" s="122">
        <v>439.69356863125779</v>
      </c>
      <c r="J89" s="122">
        <v>4.30643136874221</v>
      </c>
    </row>
    <row r="90" spans="2:10" x14ac:dyDescent="0.2">
      <c r="B90" s="8">
        <v>66</v>
      </c>
      <c r="C90" s="8">
        <v>214</v>
      </c>
      <c r="D90" s="51">
        <v>234</v>
      </c>
      <c r="H90" s="122">
        <v>61</v>
      </c>
      <c r="I90" s="122">
        <v>330.34090347107605</v>
      </c>
      <c r="J90" s="122">
        <v>20.659096528923953</v>
      </c>
    </row>
    <row r="91" spans="2:10" x14ac:dyDescent="0.2">
      <c r="B91" s="8">
        <v>82.9</v>
      </c>
      <c r="C91" s="8">
        <v>225</v>
      </c>
      <c r="D91" s="51">
        <v>306</v>
      </c>
      <c r="H91" s="122">
        <v>62</v>
      </c>
      <c r="I91" s="122">
        <v>178.71810142394818</v>
      </c>
      <c r="J91" s="122">
        <v>-13.718101423948184</v>
      </c>
    </row>
    <row r="92" spans="2:10" x14ac:dyDescent="0.2">
      <c r="B92" s="8">
        <v>100</v>
      </c>
      <c r="C92" s="8">
        <v>261</v>
      </c>
      <c r="D92" s="51">
        <v>400</v>
      </c>
      <c r="H92" s="122">
        <v>63</v>
      </c>
      <c r="I92" s="122">
        <v>321.93307772231634</v>
      </c>
      <c r="J92" s="122">
        <v>-4.9330777223163409</v>
      </c>
    </row>
    <row r="93" spans="2:10" x14ac:dyDescent="0.2">
      <c r="B93" s="8">
        <v>75.599999999999994</v>
      </c>
      <c r="C93" s="8">
        <v>277</v>
      </c>
      <c r="D93" s="51">
        <v>337</v>
      </c>
      <c r="H93" s="122">
        <v>64</v>
      </c>
      <c r="I93" s="122">
        <v>251.86563986906805</v>
      </c>
      <c r="J93" s="122">
        <v>-1.8656398690680476</v>
      </c>
    </row>
    <row r="94" spans="2:10" x14ac:dyDescent="0.2">
      <c r="B94" s="8">
        <v>67.5</v>
      </c>
      <c r="C94" s="8">
        <v>282</v>
      </c>
      <c r="D94" s="51">
        <v>325</v>
      </c>
      <c r="H94" s="122">
        <v>65</v>
      </c>
      <c r="I94" s="122">
        <v>224.72073721277857</v>
      </c>
      <c r="J94" s="122">
        <v>-7.7207372127785732</v>
      </c>
    </row>
    <row r="95" spans="2:10" x14ac:dyDescent="0.2">
      <c r="B95" s="8">
        <v>68.7</v>
      </c>
      <c r="C95" s="8">
        <v>322</v>
      </c>
      <c r="D95" s="51">
        <v>329</v>
      </c>
      <c r="H95" s="122">
        <v>66</v>
      </c>
      <c r="I95" s="122">
        <v>139.6438727379099</v>
      </c>
      <c r="J95" s="122">
        <v>-1.6438727379099021</v>
      </c>
    </row>
    <row r="96" spans="2:10" x14ac:dyDescent="0.2">
      <c r="B96" s="8">
        <v>76</v>
      </c>
      <c r="C96" s="8">
        <v>326</v>
      </c>
      <c r="D96" s="51">
        <v>369</v>
      </c>
      <c r="H96" s="122">
        <v>67</v>
      </c>
      <c r="I96" s="122">
        <v>289.63992055105604</v>
      </c>
      <c r="J96" s="122">
        <v>12.360079448943964</v>
      </c>
    </row>
    <row r="97" spans="2:10" x14ac:dyDescent="0.2">
      <c r="B97" s="8">
        <v>67.7</v>
      </c>
      <c r="C97" s="8">
        <v>421</v>
      </c>
      <c r="D97" s="51">
        <v>457</v>
      </c>
      <c r="H97" s="122">
        <v>68</v>
      </c>
      <c r="I97" s="122">
        <v>313.19177590287421</v>
      </c>
      <c r="J97" s="122">
        <v>-2.1917759028742125</v>
      </c>
    </row>
    <row r="98" spans="2:10" x14ac:dyDescent="0.2">
      <c r="B98" s="8">
        <v>75.3</v>
      </c>
      <c r="C98" s="8">
        <v>368</v>
      </c>
      <c r="D98" s="51">
        <v>421</v>
      </c>
      <c r="H98" s="122">
        <v>69</v>
      </c>
      <c r="I98" s="122">
        <v>391.34690311570142</v>
      </c>
      <c r="J98" s="122">
        <v>-18.346903115701423</v>
      </c>
    </row>
    <row r="99" spans="2:10" x14ac:dyDescent="0.2">
      <c r="B99" s="8">
        <v>68.099999999999994</v>
      </c>
      <c r="C99" s="8">
        <v>279</v>
      </c>
      <c r="D99" s="51">
        <v>282</v>
      </c>
      <c r="H99" s="122">
        <v>70</v>
      </c>
      <c r="I99" s="122">
        <v>182.17593867205613</v>
      </c>
      <c r="J99" s="122">
        <v>13.824061327943866</v>
      </c>
    </row>
    <row r="100" spans="2:10" x14ac:dyDescent="0.2">
      <c r="B100" s="8">
        <v>63.3</v>
      </c>
      <c r="C100" s="8">
        <v>268</v>
      </c>
      <c r="D100" s="51">
        <v>256</v>
      </c>
      <c r="H100" s="122">
        <v>71</v>
      </c>
      <c r="I100" s="122">
        <v>295.57578343240266</v>
      </c>
      <c r="J100" s="122">
        <v>10.424216567597341</v>
      </c>
    </row>
    <row r="101" spans="2:10" x14ac:dyDescent="0.2">
      <c r="H101" s="122">
        <v>72</v>
      </c>
      <c r="I101" s="122">
        <v>289.89578683243053</v>
      </c>
      <c r="J101" s="122">
        <v>12.104213167569469</v>
      </c>
    </row>
    <row r="102" spans="2:10" x14ac:dyDescent="0.2">
      <c r="H102" s="122">
        <v>73</v>
      </c>
      <c r="I102" s="122">
        <v>286.4252169777464</v>
      </c>
      <c r="J102" s="122">
        <v>-8.4252169777464019</v>
      </c>
    </row>
    <row r="103" spans="2:10" x14ac:dyDescent="0.2">
      <c r="H103" s="122">
        <v>74</v>
      </c>
      <c r="I103" s="122">
        <v>410.55084492550088</v>
      </c>
      <c r="J103" s="122">
        <v>18.449155074499117</v>
      </c>
    </row>
    <row r="104" spans="2:10" x14ac:dyDescent="0.2">
      <c r="H104" s="122">
        <v>75</v>
      </c>
      <c r="I104" s="122">
        <v>318.32729781126875</v>
      </c>
      <c r="J104" s="122">
        <v>19.67270218873125</v>
      </c>
    </row>
    <row r="105" spans="2:10" x14ac:dyDescent="0.2">
      <c r="H105" s="122">
        <v>76</v>
      </c>
      <c r="I105" s="122">
        <v>256.11714824937729</v>
      </c>
      <c r="J105" s="122">
        <v>4.8828517506227058</v>
      </c>
    </row>
    <row r="106" spans="2:10" x14ac:dyDescent="0.2">
      <c r="H106" s="122">
        <v>77</v>
      </c>
      <c r="I106" s="122">
        <v>263.30869854922014</v>
      </c>
      <c r="J106" s="122">
        <v>-7.3086985492201393</v>
      </c>
    </row>
    <row r="107" spans="2:10" x14ac:dyDescent="0.2">
      <c r="H107" s="122">
        <v>78</v>
      </c>
      <c r="I107" s="122">
        <v>177.28355043845988</v>
      </c>
      <c r="J107" s="122">
        <v>5.7164495615401165</v>
      </c>
    </row>
    <row r="108" spans="2:10" x14ac:dyDescent="0.2">
      <c r="H108" s="122">
        <v>79</v>
      </c>
      <c r="I108" s="122">
        <v>281.9366376884642</v>
      </c>
      <c r="J108" s="122">
        <v>-7.9366376884642023</v>
      </c>
    </row>
    <row r="109" spans="2:10" x14ac:dyDescent="0.2">
      <c r="H109" s="122">
        <v>80</v>
      </c>
      <c r="I109" s="122">
        <v>179.68518043224134</v>
      </c>
      <c r="J109" s="122">
        <v>2.3148195677586614</v>
      </c>
    </row>
    <row r="110" spans="2:10" x14ac:dyDescent="0.2">
      <c r="H110" s="122">
        <v>81</v>
      </c>
      <c r="I110" s="122">
        <v>170.95721829430073</v>
      </c>
      <c r="J110" s="122">
        <v>12.042781705699269</v>
      </c>
    </row>
    <row r="111" spans="2:10" x14ac:dyDescent="0.2">
      <c r="H111" s="122">
        <v>82</v>
      </c>
      <c r="I111" s="122">
        <v>301.26244987312543</v>
      </c>
      <c r="J111" s="122">
        <v>7.7375501268745666</v>
      </c>
    </row>
    <row r="112" spans="2:10" x14ac:dyDescent="0.2">
      <c r="H112" s="122">
        <v>83</v>
      </c>
      <c r="I112" s="122">
        <v>175.37546470995119</v>
      </c>
      <c r="J112" s="122">
        <v>2.6245352900488115</v>
      </c>
    </row>
    <row r="113" spans="8:10" x14ac:dyDescent="0.2">
      <c r="H113" s="122">
        <v>84</v>
      </c>
      <c r="I113" s="122">
        <v>453.05805272142004</v>
      </c>
      <c r="J113" s="122">
        <v>4.9419472785799599</v>
      </c>
    </row>
    <row r="114" spans="8:10" x14ac:dyDescent="0.2">
      <c r="H114" s="122">
        <v>85</v>
      </c>
      <c r="I114" s="122">
        <v>230.88093839652183</v>
      </c>
      <c r="J114" s="122">
        <v>3.1190616034781726</v>
      </c>
    </row>
    <row r="115" spans="8:10" x14ac:dyDescent="0.2">
      <c r="H115" s="122">
        <v>86</v>
      </c>
      <c r="I115" s="122">
        <v>303.48460922498958</v>
      </c>
      <c r="J115" s="122">
        <v>2.5153907750104167</v>
      </c>
    </row>
    <row r="116" spans="8:10" x14ac:dyDescent="0.2">
      <c r="H116" s="122">
        <v>87</v>
      </c>
      <c r="I116" s="122">
        <v>401.63189368891739</v>
      </c>
      <c r="J116" s="122">
        <v>-1.631893688917387</v>
      </c>
    </row>
    <row r="117" spans="8:10" x14ac:dyDescent="0.2">
      <c r="H117" s="122">
        <v>88</v>
      </c>
      <c r="I117" s="122">
        <v>328.45161311496895</v>
      </c>
      <c r="J117" s="122">
        <v>8.54838688503105</v>
      </c>
    </row>
    <row r="118" spans="8:10" x14ac:dyDescent="0.2">
      <c r="H118" s="122">
        <v>89</v>
      </c>
      <c r="I118" s="122">
        <v>303.84900619972439</v>
      </c>
      <c r="J118" s="122">
        <v>21.150993800275614</v>
      </c>
    </row>
    <row r="119" spans="8:10" x14ac:dyDescent="0.2">
      <c r="H119" s="122">
        <v>90</v>
      </c>
      <c r="I119" s="122">
        <v>347.93082365346993</v>
      </c>
      <c r="J119" s="122">
        <v>-18.930823653469929</v>
      </c>
    </row>
    <row r="120" spans="8:10" x14ac:dyDescent="0.2">
      <c r="H120" s="122">
        <v>91</v>
      </c>
      <c r="I120" s="122">
        <v>378.54629616444362</v>
      </c>
      <c r="J120" s="122">
        <v>-9.5462961644436177</v>
      </c>
    </row>
    <row r="121" spans="8:10" x14ac:dyDescent="0.2">
      <c r="H121" s="122">
        <v>92</v>
      </c>
      <c r="I121" s="122">
        <v>442.54266107998194</v>
      </c>
      <c r="J121" s="122">
        <v>14.45733892001806</v>
      </c>
    </row>
    <row r="122" spans="8:10" x14ac:dyDescent="0.2">
      <c r="H122" s="122">
        <v>93</v>
      </c>
      <c r="I122" s="122">
        <v>417.67812511753732</v>
      </c>
      <c r="J122" s="122">
        <v>3.32187488246268</v>
      </c>
    </row>
    <row r="123" spans="8:10" x14ac:dyDescent="0.2">
      <c r="H123" s="122">
        <v>94</v>
      </c>
      <c r="I123" s="122">
        <v>303.06139783334851</v>
      </c>
      <c r="J123" s="122">
        <v>-21.061397833348508</v>
      </c>
    </row>
    <row r="124" spans="8:10" ht="16" thickBot="1" x14ac:dyDescent="0.25">
      <c r="H124" s="123">
        <v>95</v>
      </c>
      <c r="I124" s="123">
        <v>274.62321701375959</v>
      </c>
      <c r="J124" s="123">
        <v>-18.623217013759586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RAW DATA</vt:lpstr>
      <vt:lpstr>TABLE OF CONTENTS</vt:lpstr>
      <vt:lpstr>Categorical Distributions</vt:lpstr>
      <vt:lpstr>Numerical Distributions</vt:lpstr>
      <vt:lpstr>Histograms</vt:lpstr>
      <vt:lpstr>Frequency Distributions</vt:lpstr>
      <vt:lpstr>Mean, Median, Mode</vt:lpstr>
      <vt:lpstr>Skew</vt:lpstr>
      <vt:lpstr>Central Tendency</vt:lpstr>
      <vt:lpstr>Min, Max, Range</vt:lpstr>
      <vt:lpstr>Quartiles &amp; IQR</vt:lpstr>
      <vt:lpstr>Box &amp; Whisker</vt:lpstr>
      <vt:lpstr>Variance &amp; Std Dev</vt:lpstr>
      <vt:lpstr>Coefficient of Variation</vt:lpstr>
      <vt:lpstr>Variability</vt:lpstr>
      <vt:lpstr>Normal Distribution</vt:lpstr>
      <vt:lpstr>Z-Scores</vt:lpstr>
      <vt:lpstr>Empirical Rule</vt:lpstr>
      <vt:lpstr>Normal Distributions</vt:lpstr>
      <vt:lpstr>NORM.DIST</vt:lpstr>
      <vt:lpstr>NORM.S.DIST</vt:lpstr>
      <vt:lpstr>Calculating Probabilities</vt:lpstr>
      <vt:lpstr>Normal Curve</vt:lpstr>
      <vt:lpstr>NORM.INV</vt:lpstr>
      <vt:lpstr>NORM.S.INV</vt:lpstr>
      <vt:lpstr>Estimating Values</vt:lpstr>
      <vt:lpstr>Margin of Error</vt:lpstr>
      <vt:lpstr>Confidence Intervals (z)</vt:lpstr>
      <vt:lpstr>T Distribution</vt:lpstr>
      <vt:lpstr>Confidence Intervals (t)</vt:lpstr>
      <vt:lpstr>Proportions</vt:lpstr>
      <vt:lpstr>Confidence Intervals (p)</vt:lpstr>
      <vt:lpstr>Dependent Samples</vt:lpstr>
      <vt:lpstr>Confidence Intervals (d)</vt:lpstr>
      <vt:lpstr>Independent Samples</vt:lpstr>
      <vt:lpstr>Confidence Intervals (x1-x2)</vt:lpstr>
      <vt:lpstr>Confidence Intervals (p1-p2)</vt:lpstr>
      <vt:lpstr>Null &amp; Alternative Hypothesis</vt:lpstr>
      <vt:lpstr>Significance Level</vt:lpstr>
      <vt:lpstr>Test Statistic</vt:lpstr>
      <vt:lpstr>P-Value</vt:lpstr>
      <vt:lpstr>Conclusion</vt:lpstr>
      <vt:lpstr>Hypothesis Tests (Two Tail)</vt:lpstr>
      <vt:lpstr>One Tail Hypothesis Test</vt:lpstr>
      <vt:lpstr>Hypothesis Tests (p)</vt:lpstr>
      <vt:lpstr>Hypothesis Tests (d)</vt:lpstr>
      <vt:lpstr>Hypothesis Tests (x1-x2)</vt:lpstr>
      <vt:lpstr>Scatterplots</vt:lpstr>
      <vt:lpstr>Correlation</vt:lpstr>
      <vt:lpstr>Linear Relationships</vt:lpstr>
      <vt:lpstr>Linear Regression</vt:lpstr>
      <vt:lpstr>Predictions</vt:lpstr>
      <vt:lpstr>Linear Regression Model</vt:lpstr>
      <vt:lpstr>R-Squared</vt:lpstr>
      <vt:lpstr>Standard Error</vt:lpstr>
      <vt:lpstr>Homoskedasticity</vt:lpstr>
      <vt:lpstr>Hypothesis Test</vt:lpstr>
      <vt:lpstr>Model Evaluation</vt:lpstr>
      <vt:lpstr>Analysis ToolPak</vt:lpstr>
      <vt:lpstr>Multiple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Melissa Soto Prieto</cp:lastModifiedBy>
  <dcterms:created xsi:type="dcterms:W3CDTF">2022-08-25T18:47:42Z</dcterms:created>
  <dcterms:modified xsi:type="dcterms:W3CDTF">2023-03-05T14:54:01Z</dcterms:modified>
</cp:coreProperties>
</file>