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/Users/jorgesoto/Desktop/Maven_Analytics/Excel/ExcelDashboard_4 projects/"/>
    </mc:Choice>
  </mc:AlternateContent>
  <xr:revisionPtr revIDLastSave="0" documentId="13_ncr:1_{5DBA1196-F8DA-C043-AE1B-F1FA3DE52192}" xr6:coauthVersionLast="47" xr6:coauthVersionMax="47" xr10:uidLastSave="{00000000-0000-0000-0000-000000000000}"/>
  <bookViews>
    <workbookView xWindow="0" yWindow="500" windowWidth="25720" windowHeight="20120" activeTab="1" xr2:uid="{EA944FB1-DE3F-40F9-BBAA-0980B1568DEE}"/>
  </bookViews>
  <sheets>
    <sheet name="Data" sheetId="16" r:id="rId1"/>
    <sheet name="Data Prep" sheetId="22" r:id="rId2"/>
    <sheet name="New Data (Aug 2021)" sheetId="21" r:id="rId3"/>
    <sheet name="New Data (Sep 2021)" sheetId="18" r:id="rId4"/>
  </sheets>
  <definedNames>
    <definedName name="_xlnm._FilterDatabase" localSheetId="0" hidden="1">Data!$A$1:$J$4266</definedName>
    <definedName name="CurMonth">'Data Prep'!$B$9</definedName>
    <definedName name="CurYear">'Data Prep'!$B$8</definedName>
    <definedName name="PMYear">'Data Prep'!$B$12</definedName>
    <definedName name="PreMonth">'Data Prep'!$B$11</definedName>
    <definedName name="Pre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22" l="1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AA28" i="22" s="1"/>
  <c r="Z29" i="22"/>
  <c r="Z30" i="22"/>
  <c r="Z31" i="22"/>
  <c r="Z32" i="22"/>
  <c r="Z33" i="22"/>
  <c r="Z34" i="22"/>
  <c r="AA34" i="22" s="1"/>
  <c r="Z35" i="22"/>
  <c r="Z36" i="22"/>
  <c r="Z3" i="22"/>
  <c r="AA7" i="22"/>
  <c r="AA13" i="22"/>
  <c r="AA19" i="22"/>
  <c r="AA21" i="22"/>
  <c r="AA31" i="22"/>
  <c r="Y3" i="22"/>
  <c r="AA3" i="22" s="1"/>
  <c r="Y4" i="22"/>
  <c r="AA4" i="22" s="1"/>
  <c r="Y5" i="22"/>
  <c r="AA5" i="22" s="1"/>
  <c r="Y6" i="22"/>
  <c r="AA6" i="22" s="1"/>
  <c r="Y7" i="22"/>
  <c r="Y8" i="22"/>
  <c r="AA8" i="22" s="1"/>
  <c r="Y9" i="22"/>
  <c r="AA9" i="22" s="1"/>
  <c r="Y10" i="22"/>
  <c r="AA10" i="22" s="1"/>
  <c r="Y11" i="22"/>
  <c r="AA11" i="22" s="1"/>
  <c r="Y12" i="22"/>
  <c r="AA12" i="22" s="1"/>
  <c r="Y13" i="22"/>
  <c r="Y14" i="22"/>
  <c r="AA14" i="22" s="1"/>
  <c r="Y15" i="22"/>
  <c r="AA15" i="22" s="1"/>
  <c r="Y16" i="22"/>
  <c r="Y17" i="22"/>
  <c r="AA17" i="22" s="1"/>
  <c r="Y18" i="22"/>
  <c r="AA18" i="22" s="1"/>
  <c r="Y19" i="22"/>
  <c r="Y20" i="22"/>
  <c r="Y21" i="22"/>
  <c r="Y22" i="22"/>
  <c r="AA22" i="22" s="1"/>
  <c r="Y23" i="22"/>
  <c r="AA23" i="22" s="1"/>
  <c r="Y24" i="22"/>
  <c r="Y25" i="22"/>
  <c r="AA25" i="22" s="1"/>
  <c r="Y26" i="22"/>
  <c r="Y27" i="22"/>
  <c r="AA27" i="22" s="1"/>
  <c r="Y28" i="22"/>
  <c r="Y29" i="22"/>
  <c r="AA29" i="22" s="1"/>
  <c r="Y30" i="22"/>
  <c r="Y31" i="22"/>
  <c r="Y32" i="22"/>
  <c r="Y33" i="22"/>
  <c r="AA33" i="22" s="1"/>
  <c r="Y34" i="22"/>
  <c r="Y35" i="22"/>
  <c r="AA35" i="22" s="1"/>
  <c r="Y36" i="22"/>
  <c r="B8" i="22"/>
  <c r="B10" i="22" s="1"/>
  <c r="I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AA16" i="22" l="1"/>
  <c r="AA32" i="22"/>
  <c r="AA26" i="22"/>
  <c r="AC26" i="22" s="1"/>
  <c r="AA20" i="22"/>
  <c r="AA36" i="22"/>
  <c r="AA30" i="22"/>
  <c r="AA24" i="22"/>
  <c r="AB9" i="22"/>
  <c r="AB29" i="22"/>
  <c r="AB4" i="22"/>
  <c r="AB11" i="22"/>
  <c r="AB5" i="22"/>
  <c r="AB14" i="22"/>
  <c r="I4" i="22"/>
  <c r="I11" i="22"/>
  <c r="I5" i="22"/>
  <c r="I12" i="22"/>
  <c r="I6" i="22"/>
  <c r="I13" i="22"/>
  <c r="I10" i="22"/>
  <c r="I7" i="22"/>
  <c r="I14" i="22"/>
  <c r="I9" i="22"/>
  <c r="I8" i="22"/>
  <c r="I3" i="22"/>
  <c r="B9" i="22"/>
  <c r="M5" i="22" s="1"/>
  <c r="J2" i="22"/>
  <c r="AC6" i="22" l="1"/>
  <c r="AC9" i="22"/>
  <c r="AC21" i="22"/>
  <c r="AC31" i="22"/>
  <c r="AB31" i="22"/>
  <c r="AB20" i="22"/>
  <c r="AB34" i="22"/>
  <c r="AB32" i="22"/>
  <c r="AB17" i="22"/>
  <c r="AC32" i="22"/>
  <c r="AC12" i="22"/>
  <c r="AC27" i="22"/>
  <c r="AC3" i="22"/>
  <c r="AC15" i="22"/>
  <c r="AB25" i="22"/>
  <c r="AB3" i="22"/>
  <c r="AB28" i="22"/>
  <c r="AB8" i="22"/>
  <c r="AB33" i="22"/>
  <c r="AC24" i="22"/>
  <c r="AC16" i="22"/>
  <c r="AC18" i="22"/>
  <c r="AC33" i="22"/>
  <c r="AC7" i="22"/>
  <c r="AC4" i="22"/>
  <c r="AB26" i="22"/>
  <c r="AB24" i="22"/>
  <c r="AB13" i="22"/>
  <c r="AB22" i="22"/>
  <c r="AB19" i="22"/>
  <c r="AB27" i="22"/>
  <c r="AC30" i="22"/>
  <c r="AC28" i="22"/>
  <c r="AC25" i="22"/>
  <c r="AC10" i="22"/>
  <c r="AC22" i="22"/>
  <c r="AC5" i="22"/>
  <c r="AB7" i="22"/>
  <c r="AB35" i="22"/>
  <c r="AB36" i="22"/>
  <c r="AB16" i="22"/>
  <c r="AB30" i="22"/>
  <c r="AB21" i="22"/>
  <c r="AC36" i="22"/>
  <c r="AC34" i="22"/>
  <c r="AC8" i="22"/>
  <c r="AC11" i="22"/>
  <c r="AC17" i="22"/>
  <c r="AC29" i="22"/>
  <c r="AB18" i="22"/>
  <c r="AB23" i="22"/>
  <c r="AB12" i="22"/>
  <c r="AB10" i="22"/>
  <c r="AB6" i="22"/>
  <c r="AF3" i="22" s="1"/>
  <c r="AB15" i="22"/>
  <c r="AC20" i="22"/>
  <c r="AC19" i="22"/>
  <c r="AC14" i="22"/>
  <c r="AC23" i="22"/>
  <c r="AC35" i="22"/>
  <c r="AC13" i="22"/>
  <c r="M12" i="22"/>
  <c r="M10" i="22"/>
  <c r="M6" i="22"/>
  <c r="M3" i="22"/>
  <c r="M8" i="22"/>
  <c r="M7" i="22"/>
  <c r="M11" i="22"/>
  <c r="M9" i="22"/>
  <c r="M4" i="22"/>
  <c r="P4" i="22" s="1"/>
  <c r="AY8" i="16"/>
  <c r="J4" i="22"/>
  <c r="J10" i="22"/>
  <c r="J5" i="22"/>
  <c r="J11" i="22"/>
  <c r="J12" i="22"/>
  <c r="J13" i="22"/>
  <c r="J14" i="22"/>
  <c r="J3" i="22"/>
  <c r="J6" i="22"/>
  <c r="J7" i="22"/>
  <c r="J8" i="22"/>
  <c r="J9" i="22"/>
  <c r="AY6" i="16"/>
  <c r="AY44" i="16"/>
  <c r="AY12" i="16"/>
  <c r="AY36" i="16"/>
  <c r="AY34" i="16"/>
  <c r="AY22" i="16"/>
  <c r="AY16" i="16"/>
  <c r="AY29" i="16"/>
  <c r="AY43" i="16"/>
  <c r="AY26" i="16"/>
  <c r="AY3" i="16"/>
  <c r="AY45" i="16"/>
  <c r="AY47" i="16"/>
  <c r="AY31" i="16"/>
  <c r="AY35" i="16"/>
  <c r="AY15" i="16"/>
  <c r="AY48" i="16"/>
  <c r="AY7" i="16"/>
  <c r="AY14" i="16"/>
  <c r="AY37" i="16"/>
  <c r="AY23" i="16"/>
  <c r="AY18" i="16"/>
  <c r="AY17" i="16"/>
  <c r="AY10" i="16"/>
  <c r="AY27" i="16"/>
  <c r="AY38" i="16"/>
  <c r="AY19" i="16"/>
  <c r="AY39" i="16"/>
  <c r="AY20" i="16"/>
  <c r="AY28" i="16"/>
  <c r="AY46" i="16"/>
  <c r="AY40" i="16"/>
  <c r="AY50" i="16"/>
  <c r="AY49" i="16"/>
  <c r="AY25" i="16"/>
  <c r="AY11" i="16"/>
  <c r="AY51" i="16"/>
  <c r="AY9" i="16"/>
  <c r="AY13" i="16"/>
  <c r="AY32" i="16"/>
  <c r="AY41" i="16"/>
  <c r="AY4" i="16"/>
  <c r="AY33" i="16"/>
  <c r="AY42" i="16"/>
  <c r="AY21" i="16"/>
  <c r="AY30" i="16"/>
  <c r="AY24" i="16"/>
  <c r="AY52" i="16"/>
  <c r="AY5" i="16"/>
  <c r="B11" i="22"/>
  <c r="B12" i="22"/>
  <c r="E3" i="22"/>
  <c r="E2" i="22"/>
  <c r="AG12" i="22" l="1"/>
  <c r="AG4" i="22"/>
  <c r="AG6" i="22"/>
  <c r="AH4" i="22"/>
  <c r="AH6" i="22"/>
  <c r="AF5" i="22"/>
  <c r="AF7" i="22"/>
  <c r="AG5" i="22"/>
  <c r="AG7" i="22"/>
  <c r="AH5" i="22"/>
  <c r="AH7" i="22"/>
  <c r="AF4" i="22"/>
  <c r="AF6" i="22"/>
  <c r="AH3" i="22"/>
  <c r="AG3" i="22"/>
  <c r="AH13" i="22"/>
  <c r="AF14" i="22"/>
  <c r="AH15" i="22"/>
  <c r="AG11" i="22"/>
  <c r="AH11" i="22"/>
  <c r="AF11" i="22"/>
  <c r="AF12" i="22"/>
  <c r="AF15" i="22"/>
  <c r="AF13" i="22"/>
  <c r="AH14" i="22"/>
  <c r="AH12" i="22"/>
  <c r="AG15" i="22"/>
  <c r="AG14" i="22"/>
  <c r="AG13" i="22"/>
  <c r="P8" i="22"/>
  <c r="P3" i="22"/>
  <c r="P6" i="22"/>
  <c r="P9" i="22"/>
  <c r="P10" i="22"/>
  <c r="P11" i="22"/>
  <c r="P12" i="22"/>
  <c r="P7" i="22"/>
  <c r="P5" i="22"/>
  <c r="N3" i="22"/>
  <c r="O3" i="22" s="1"/>
  <c r="N7" i="22"/>
  <c r="O7" i="22" s="1"/>
  <c r="N9" i="22"/>
  <c r="O9" i="22" s="1"/>
  <c r="N5" i="22"/>
  <c r="O5" i="22" s="1"/>
  <c r="N6" i="22"/>
  <c r="N8" i="22"/>
  <c r="O8" i="22" s="1"/>
  <c r="N11" i="22"/>
  <c r="O11" i="22" s="1"/>
  <c r="N4" i="22"/>
  <c r="O4" i="22" s="1"/>
  <c r="N12" i="22"/>
  <c r="O12" i="22" s="1"/>
  <c r="N10" i="22"/>
  <c r="O10" i="22" s="1"/>
  <c r="O6" i="22"/>
  <c r="E5" i="22"/>
  <c r="E4" i="22"/>
  <c r="E6" i="22" s="1"/>
  <c r="T3" i="22" l="1"/>
  <c r="T6" i="22"/>
  <c r="T9" i="22"/>
  <c r="T12" i="22"/>
  <c r="S8" i="22"/>
  <c r="U3" i="22"/>
  <c r="U6" i="22"/>
  <c r="U9" i="22"/>
  <c r="U12" i="22"/>
  <c r="S9" i="22"/>
  <c r="T4" i="22"/>
  <c r="T7" i="22"/>
  <c r="T10" i="22"/>
  <c r="S4" i="22"/>
  <c r="S10" i="22"/>
  <c r="U4" i="22"/>
  <c r="U7" i="22"/>
  <c r="U10" i="22"/>
  <c r="S5" i="22"/>
  <c r="S11" i="22"/>
  <c r="T5" i="22"/>
  <c r="T8" i="22"/>
  <c r="T11" i="22"/>
  <c r="S6" i="22"/>
  <c r="S12" i="22"/>
  <c r="U5" i="22"/>
  <c r="U8" i="22"/>
  <c r="U11" i="22"/>
  <c r="S7" i="22"/>
  <c r="S3" i="22"/>
</calcChain>
</file>

<file path=xl/sharedStrings.xml><?xml version="1.0" encoding="utf-8"?>
<sst xmlns="http://schemas.openxmlformats.org/spreadsheetml/2006/main" count="24191" uniqueCount="111">
  <si>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</si>
  <si>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</si>
  <si>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</si>
  <si>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</si>
  <si>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</si>
  <si>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</si>
  <si>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</si>
  <si>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</si>
  <si>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</si>
  <si>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</si>
  <si>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</si>
  <si>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</si>
  <si>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</si>
  <si>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</si>
  <si>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</si>
  <si>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</si>
  <si>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</si>
  <si>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</si>
  <si>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</si>
  <si>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</si>
  <si>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</si>
  <si>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</si>
  <si>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</si>
  <si>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</si>
  <si>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</si>
  <si>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</si>
  <si>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</si>
  <si>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</si>
  <si>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</si>
  <si>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</si>
  <si>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</si>
  <si>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</si>
  <si>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</si>
  <si>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</si>
  <si>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</si>
  <si>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</si>
  <si>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</si>
  <si>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</si>
  <si>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</si>
  <si>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</si>
  <si>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</si>
  <si>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</si>
  <si>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</si>
  <si>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</si>
  <si>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</si>
  <si>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</si>
  <si>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</si>
  <si>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</si>
  <si>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</si>
  <si>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</si>
  <si>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</si>
  <si>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</si>
  <si>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</si>
  <si>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</si>
  <si>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</si>
  <si>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</si>
  <si>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</si>
  <si>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</si>
  <si>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</si>
  <si>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</si>
  <si>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</si>
  <si>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</si>
  <si>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</si>
  <si>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</si>
  <si>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</si>
  <si>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</si>
  <si>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</si>
  <si>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</si>
  <si>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</si>
  <si>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</si>
  <si>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</si>
  <si>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</si>
  <si>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</si>
  <si>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</si>
  <si>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</si>
  <si>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</si>
  <si>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</si>
  <si>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</si>
  <si>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</si>
  <si>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</si>
  <si>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</si>
  <si>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</si>
  <si>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KPIs</t>
  </si>
  <si>
    <t>Total Revenue:</t>
  </si>
  <si>
    <t>PY Revenue:</t>
  </si>
  <si>
    <t>PM Revenue:</t>
  </si>
  <si>
    <t>PM Year:</t>
  </si>
  <si>
    <t>Yoy % Δ:</t>
  </si>
  <si>
    <t>Mom % Δ:</t>
  </si>
  <si>
    <t>REVENUE TREND</t>
  </si>
  <si>
    <t>Month #</t>
  </si>
  <si>
    <t>J</t>
  </si>
  <si>
    <t>F</t>
  </si>
  <si>
    <t>M</t>
  </si>
  <si>
    <t>A</t>
  </si>
  <si>
    <t>S</t>
  </si>
  <si>
    <t>O</t>
  </si>
  <si>
    <t>N</t>
  </si>
  <si>
    <t>D</t>
  </si>
  <si>
    <t>STORE PERFORMANCE</t>
  </si>
  <si>
    <t>PM Revenue</t>
  </si>
  <si>
    <t>Mom % Δ</t>
  </si>
  <si>
    <t>Raank</t>
  </si>
  <si>
    <t>STORE PERFORMANCE(SORTED)</t>
  </si>
  <si>
    <t>Rank</t>
  </si>
  <si>
    <t>PRODUCT PERFORMANCE</t>
  </si>
  <si>
    <t>Product</t>
  </si>
  <si>
    <t>Rank (+)</t>
  </si>
  <si>
    <t>Rank (-)</t>
  </si>
  <si>
    <t>TOP PERFORMING PRODUCTS</t>
  </si>
  <si>
    <t>BOTTOM PERFORMING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</si>
</sst>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Continuous"/>
    </xf>
    <xf numFmtId="165" fontId="1" fillId="8" borderId="0" xfId="0" applyNumberFormat="1" applyFont="1" applyFill="1" applyAlignment="1">
      <alignment horizontal="left"/>
    </xf>
    <xf numFmtId="0" fontId="1" fillId="8" borderId="0" xfId="0" applyFont="1" applyFill="1" applyAlignment="1">
      <alignment horizontal="right"/>
    </xf>
    <xf numFmtId="164" fontId="0" fillId="8" borderId="0" xfId="0" applyNumberFormat="1" applyFill="1" applyAlignment="1">
      <alignment horizontal="left"/>
    </xf>
    <xf numFmtId="0" fontId="1" fillId="9" borderId="0" xfId="0" applyFont="1" applyFill="1"/>
    <xf numFmtId="9" fontId="0" fillId="0" borderId="0" xfId="0" applyNumberFormat="1"/>
  </cellXfs>
  <cellStyles count="1">
    <cellStyle name="Normal" xfId="0" builtinId="0"/>
  </cellStyles>
  <dxfs count="5">
    <dxf>
      <font>
        <color theme="9" tint="-0.499984740745262"/>
      </font>
    </dxf>
    <dxf>
      <font>
        <color rgb="FFFF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63051.609999999993</c:v>
                </c:pt>
                <c:pt idx="1">
                  <c:v>65298.220000000023</c:v>
                </c:pt>
                <c:pt idx="2">
                  <c:v>64161.95</c:v>
                </c:pt>
                <c:pt idx="3">
                  <c:v>80619.25999999998</c:v>
                </c:pt>
                <c:pt idx="4">
                  <c:v>79560.950000000026</c:v>
                </c:pt>
                <c:pt idx="5">
                  <c:v>85430.399999999965</c:v>
                </c:pt>
                <c:pt idx="6">
                  <c:v>70835.710000000006</c:v>
                </c:pt>
                <c:pt idx="7">
                  <c:v>55171.65</c:v>
                </c:pt>
                <c:pt idx="8">
                  <c:v>67569.269999999975</c:v>
                </c:pt>
                <c:pt idx="9">
                  <c:v>64882.340000000018</c:v>
                </c:pt>
                <c:pt idx="10">
                  <c:v>73732.52</c:v>
                </c:pt>
                <c:pt idx="11">
                  <c:v>93356.910000000018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A-CA49-8EA1-80E381A17B4A}"/>
            </c:ext>
          </c:extLst>
        </c:ser>
        <c:ser>
          <c:idx val="1"/>
          <c:order val="1"/>
          <c:tx>
            <c:v>2021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81321.820000000022</c:v>
                </c:pt>
                <c:pt idx="1">
                  <c:v>87902.16</c:v>
                </c:pt>
                <c:pt idx="2">
                  <c:v>105385.7199999999</c:v>
                </c:pt>
                <c:pt idx="3">
                  <c:v>99650.11000000003</c:v>
                </c:pt>
                <c:pt idx="4">
                  <c:v>93467.969999999972</c:v>
                </c:pt>
                <c:pt idx="5">
                  <c:v>91637.330000000016</c:v>
                </c:pt>
                <c:pt idx="6">
                  <c:v>94953.469999999958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A-CA49-8EA1-80E381A17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239600"/>
        <c:axId val="354277296"/>
      </c:lineChart>
      <c:catAx>
        <c:axId val="35423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15304931809407521"/>
              <c:y val="0.8901741203918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77296"/>
        <c:crosses val="autoZero"/>
        <c:auto val="1"/>
        <c:lblAlgn val="ctr"/>
        <c:lblOffset val="100"/>
        <c:noMultiLvlLbl val="0"/>
      </c:catAx>
      <c:valAx>
        <c:axId val="354277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Revenue</a:t>
                </a:r>
              </a:p>
            </c:rich>
          </c:tx>
          <c:layout>
            <c:manualLayout>
              <c:xMode val="edge"/>
              <c:yMode val="edge"/>
              <c:x val="1.8244013683010263E-2"/>
              <c:y val="4.0777108743759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3960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55555555555559"/>
          <c:y val="0.14893445610965292"/>
          <c:w val="0.11001140250855188"/>
          <c:h val="0.1470598528125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Prep'!$T$2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Prep'!$S$3:$S$12</c:f>
              <c:strCache>
                <c:ptCount val="10"/>
                <c:pt idx="0">
                  <c:v>Hollywood</c:v>
                </c:pt>
                <c:pt idx="1">
                  <c:v>Beverly Hills</c:v>
                </c:pt>
                <c:pt idx="2">
                  <c:v>Michigan Ave</c:v>
                </c:pt>
                <c:pt idx="3">
                  <c:v>Millenium</c:v>
                </c:pt>
                <c:pt idx="4">
                  <c:v>Lincoln Park</c:v>
                </c:pt>
                <c:pt idx="5">
                  <c:v>Fifth Avenue</c:v>
                </c:pt>
                <c:pt idx="6">
                  <c:v>Times Square</c:v>
                </c:pt>
                <c:pt idx="7">
                  <c:v>JFK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Prep'!$T$3:$T$12</c:f>
              <c:numCache>
                <c:formatCode>"$"#,##0</c:formatCode>
                <c:ptCount val="10"/>
                <c:pt idx="0">
                  <c:v>12894.550000000001</c:v>
                </c:pt>
                <c:pt idx="1">
                  <c:v>14836.320000000002</c:v>
                </c:pt>
                <c:pt idx="2">
                  <c:v>16131.78</c:v>
                </c:pt>
                <c:pt idx="3">
                  <c:v>20890.14</c:v>
                </c:pt>
                <c:pt idx="4">
                  <c:v>21829.790000000008</c:v>
                </c:pt>
                <c:pt idx="5">
                  <c:v>22152.709999999995</c:v>
                </c:pt>
                <c:pt idx="6">
                  <c:v>22817.06</c:v>
                </c:pt>
                <c:pt idx="7">
                  <c:v>24068.03</c:v>
                </c:pt>
                <c:pt idx="8">
                  <c:v>32052.109999999993</c:v>
                </c:pt>
                <c:pt idx="9">
                  <c:v>36101.759999999995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9-3F4C-8C82-A0F28E1241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5"/>
        <c:axId val="2139028287"/>
        <c:axId val="2139046639"/>
      </c:barChart>
      <c:catAx>
        <c:axId val="213902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46639"/>
        <c:crosses val="autoZero"/>
        <c:auto val="1"/>
        <c:lblAlgn val="ctr"/>
        <c:lblOffset val="100"/>
        <c:noMultiLvlLbl val="0"/>
      </c:catAx>
      <c:valAx>
        <c:axId val="213904663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Revenue</a:t>
                </a:r>
              </a:p>
            </c:rich>
          </c:tx>
          <c:layout>
            <c:manualLayout>
              <c:xMode val="edge"/>
              <c:yMode val="edge"/>
              <c:x val="0.20827340332458444"/>
              <c:y val="0.93496671105193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21390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Prep'!$O$2</c:f>
              <c:strCache>
                <c:ptCount val="1"/>
                <c:pt idx="0">
                  <c:v>Mom % Δ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Prep'!$P$3:$P$12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'Data Prep'!$U$3:$U$12</c:f>
              <c:numCache>
                <c:formatCode>0%</c:formatCode>
                <c:ptCount val="10"/>
                <c:pt idx="0">
                  <c:v>0.38778064659166622</c:v>
                </c:pt>
                <c:pt idx="1">
                  <c:v>0.27062777215864209</c:v>
                </c:pt>
                <c:pt idx="2">
                  <c:v>-0.1788871560156039</c:v>
                </c:pt>
                <c:pt idx="3">
                  <c:v>-0.13320683521372423</c:v>
                </c:pt>
                <c:pt idx="4">
                  <c:v>0.23712440332117013</c:v>
                </c:pt>
                <c:pt idx="5">
                  <c:v>0.1474812113225703</c:v>
                </c:pt>
                <c:pt idx="6">
                  <c:v>0.13137771166480761</c:v>
                </c:pt>
                <c:pt idx="7">
                  <c:v>8.5297768847375277E-2</c:v>
                </c:pt>
                <c:pt idx="8">
                  <c:v>0.27047933357538878</c:v>
                </c:pt>
                <c:pt idx="9">
                  <c:v>0.19364351342585118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289-3F4C-8C82-A0F28E1241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axId val="2139028287"/>
        <c:axId val="2139046639"/>
      </c:barChart>
      <c:catAx>
        <c:axId val="2139028287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46639"/>
        <c:crosses val="autoZero"/>
        <c:auto val="1"/>
        <c:lblAlgn val="ctr"/>
        <c:lblOffset val="100"/>
        <c:noMultiLvlLbl val="0"/>
      </c:catAx>
      <c:valAx>
        <c:axId val="213904663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solidFill>
                      <a:schemeClr val="tx1"/>
                    </a:solidFill>
                    <a:effectLst/>
                  </a:rPr>
                  <a:t>Mom % </a:t>
                </a:r>
                <a:r>
                  <a:rPr lang="el-GR" sz="1100" b="0" i="0" u="none" strike="noStrike" baseline="0">
                    <a:solidFill>
                      <a:schemeClr val="tx1"/>
                    </a:solidFill>
                    <a:effectLst/>
                  </a:rPr>
                  <a:t>Δ</a:t>
                </a:r>
                <a:r>
                  <a:rPr lang="el-GR" sz="1100" b="0" i="0" u="none" strike="noStrike" baseline="0">
                    <a:solidFill>
                      <a:schemeClr val="tx1"/>
                    </a:solidFill>
                  </a:rPr>
                  <a:t> </a:t>
                </a:r>
                <a:endParaRPr lang="en-US" sz="11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21390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8</xdr:row>
      <xdr:rowOff>0</xdr:rowOff>
    </xdr:from>
    <xdr:to>
      <xdr:col>4</xdr:col>
      <xdr:colOff>800100</xdr:colOff>
      <xdr:row>11</xdr:row>
      <xdr:rowOff>38100</xdr:rowOff>
    </xdr:to>
    <xdr:sp macro="" textlink="$E$2">
      <xdr:nvSpPr>
        <xdr:cNvPr id="2" name="TextBox 1">
          <a:extLst>
            <a:ext uri="{FF2B5EF4-FFF2-40B4-BE49-F238E27FC236}">
              <a16:creationId xmlns:a16="http://schemas.microsoft.com/office/drawing/2014/main" id="{27F2D308-314E-F17D-E9BA-A12DACE13D86}"/>
            </a:ext>
          </a:extLst>
        </xdr:cNvPr>
        <xdr:cNvSpPr txBox="1"/>
      </xdr:nvSpPr>
      <xdr:spPr>
        <a:xfrm>
          <a:off x="2895600" y="1524000"/>
          <a:ext cx="1524000" cy="609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A66D925-8F91-8D46-A3E3-FAC0DC1D427B}" type="TxLink">
            <a:rPr lang="en-US" sz="3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$94,953</a:t>
          </a:fld>
          <a:endParaRPr lang="en-US" sz="32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165099</xdr:colOff>
          <xdr:row>10</xdr:row>
          <xdr:rowOff>127000</xdr:rowOff>
        </xdr:from>
        <xdr:to>
          <xdr:col>6</xdr:col>
          <xdr:colOff>114300</xdr:colOff>
          <xdr:row>14</xdr:row>
          <xdr:rowOff>12700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2399E1FE-87AE-05A5-8E6B-F7CDA823EBE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5" spid="_x0000_s471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499" y="2032000"/>
              <a:ext cx="2527301" cy="647700"/>
            </a:xfrm>
            <a:prstGeom prst="rect">
              <a:avLst/>
            </a:prstGeom>
            <a:noFill/>
            <a:ln>
              <a:noFill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165100</xdr:colOff>
          <xdr:row>13</xdr:row>
          <xdr:rowOff>152400</xdr:rowOff>
        </xdr:from>
        <xdr:to>
          <xdr:col>6</xdr:col>
          <xdr:colOff>101600</xdr:colOff>
          <xdr:row>17</xdr:row>
          <xdr:rowOff>0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C3B7CFCF-70D7-22F4-14BC-9369852A6AC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6" spid="_x0000_s471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857500" y="2628900"/>
              <a:ext cx="2514600" cy="609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</xdr:col>
      <xdr:colOff>793750</xdr:colOff>
      <xdr:row>16</xdr:row>
      <xdr:rowOff>57150</xdr:rowOff>
    </xdr:from>
    <xdr:to>
      <xdr:col>11</xdr:col>
      <xdr:colOff>584200</xdr:colOff>
      <xdr:row>31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107754-4CD5-7D6A-B0BC-CA4CCC644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31750</xdr:colOff>
      <xdr:row>15</xdr:row>
      <xdr:rowOff>69850</xdr:rowOff>
    </xdr:from>
    <xdr:to>
      <xdr:col>17</xdr:col>
      <xdr:colOff>476250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F24031-E54C-5149-5BE4-844A84F7C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749300</xdr:colOff>
      <xdr:row>15</xdr:row>
      <xdr:rowOff>95250</xdr:rowOff>
    </xdr:from>
    <xdr:to>
      <xdr:col>20</xdr:col>
      <xdr:colOff>762000</xdr:colOff>
      <xdr:row>40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148AE9-B5F8-1844-C293-7840850CD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9F2315-37B8-8B42-A345-C26C2F9A79F0}" name="Data" displayName="Data" ref="A1:J4266" totalsRowShown="0" headerRowDxfId="4">
  <autoFilter ref="A1:J4266" xr:uid="{9A9F2315-37B8-8B42-A345-C26C2F9A79F0}"/>
  <tableColumns count="10">
    <tableColumn id="1" xr3:uid="{D811C8DE-6EDE-C649-961A-6212C0F1726B}" name="Year"/>
    <tableColumn id="2" xr3:uid="{0E7B0AE9-459E-894A-A29A-EDD1D99D7352}" name="Month"/>
    <tableColumn id="3" xr3:uid="{3A2B8E4A-2CCD-004B-A078-648914E89459}" name="Store Name"/>
    <tableColumn id="4" xr3:uid="{C42530F0-CF38-3648-8C56-17AB62295B95}" name="Region"/>
    <tableColumn id="5" xr3:uid="{1408D77C-9DED-8144-BF96-6255AC389119}" name="Store Type"/>
    <tableColumn id="6" xr3:uid="{B8CC13B2-1AB4-F44D-B7F4-20228D589B94}" name="Product Name"/>
    <tableColumn id="7" xr3:uid="{2F30A099-B253-5A42-91F1-50DDDBE05963}" name="Product Category"/>
    <tableColumn id="8" xr3:uid="{AB6C0578-719B-7D42-B95E-9DC77F7E167A}" name="Units Sold"/>
    <tableColumn id="9" xr3:uid="{F5A49F87-77D9-CA4C-8093-DD08C3E34E63}" name="Revenue" dataDxfId="3"/>
    <tableColumn id="10" xr3:uid="{13DECD54-6ADC-0C4F-A8E6-FF4F7A9E4CF9}" name="Profit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266"/>
  <sheetViews>
    <sheetView showGridLines="0" zoomScaleNormal="100" workbookViewId="0">
      <selection activeCell="F2" sqref="F2:F4266"/>
    </sheetView>
  </sheetViews>
  <sheetFormatPr baseColWidth="10" defaultColWidth="8.83203125" defaultRowHeight="15" x14ac:dyDescent="0.2"/>
  <cols>
    <col min="1" max="1" width="7.1640625" customWidth="1"/>
    <col min="2" max="2" width="9.1640625" customWidth="1"/>
    <col min="3" max="3" width="14.33203125" customWidth="1"/>
    <col min="4" max="4" width="15" customWidth="1"/>
    <col min="5" max="5" width="16.33203125" customWidth="1"/>
    <col min="6" max="6" width="20.5" bestFit="1" customWidth="1"/>
    <col min="7" max="7" width="18.83203125" customWidth="1"/>
    <col min="8" max="8" width="12.1640625" customWidth="1"/>
    <col min="9" max="9" width="11" customWidth="1"/>
    <col min="12" max="13" width="11.5" bestFit="1" customWidth="1"/>
    <col min="16" max="16" width="15.5" bestFit="1" customWidth="1"/>
    <col min="18" max="18" width="18.33203125" bestFit="1" customWidth="1"/>
    <col min="27" max="27" width="14.33203125" customWidth="1"/>
    <col min="28" max="28" width="11.5" customWidth="1"/>
    <col min="32" max="33" width="14.33203125" customWidth="1"/>
    <col min="34" max="34" width="11.5" customWidth="1"/>
    <col min="37" max="37" width="12.33203125" bestFit="1" customWidth="1"/>
    <col min="38" max="38" width="17.6640625" bestFit="1" customWidth="1"/>
    <col min="48" max="49" width="14.33203125" customWidth="1"/>
    <col min="50" max="50" width="17.5" bestFit="1" customWidth="1"/>
    <col min="51" max="51" width="11.5" customWidth="1"/>
  </cols>
  <sheetData>
    <row r="1" spans="1:51" x14ac:dyDescent="0.2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>_xlfn.XLOOKUP(AW3,C:C,D:D)</f>
        <v>Los Angeles</v>
      </c>
      <c r="AW3" t="s">
        <v>56</v>
      </c>
      <c r="AX3" t="s">
        <v>14</v>
      </c>
      <c r="AY3" s="3">
        <f>SUMIFS(I:I,D:D,_xlfn.SINGLE(Region),C:C,AW3,G:G,AX3,A:A,_xlfn.SINGLE(CurYear),B:B,_xlfn.SINGLE(CurMonth))</f>
        <v>0</v>
      </c>
    </row>
    <row r="4" spans="1:51" x14ac:dyDescent="0.2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>_xlfn.XLOOKUP(AW4,C:C,D:D)</f>
        <v>Los Angeles</v>
      </c>
      <c r="AW4" t="s">
        <v>56</v>
      </c>
      <c r="AX4" t="s">
        <v>9</v>
      </c>
      <c r="AY4" s="3">
        <f>SUMIFS(I:I,D:D,_xlfn.SINGLE(Region),C:C,AW4,G:G,AX4,A:A,_xlfn.SINGLE(CurYear),B:B,_xlfn.SINGLE(CurMonth))</f>
        <v>0</v>
      </c>
    </row>
    <row r="5" spans="1:51" x14ac:dyDescent="0.2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>_xlfn.XLOOKUP(AW5,C:C,D:D)</f>
        <v>Los Angeles</v>
      </c>
      <c r="AW5" t="s">
        <v>56</v>
      </c>
      <c r="AX5" t="s">
        <v>21</v>
      </c>
      <c r="AY5" s="3">
        <f>SUMIFS(I:I,D:D,_xlfn.SINGLE(Region),C:C,AW5,G:G,AX5,A:A,_xlfn.SINGLE(CurYear),B:B,_xlfn.SINGLE(CurMonth))</f>
        <v>0</v>
      </c>
    </row>
    <row r="6" spans="1:51" x14ac:dyDescent="0.2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>_xlfn.XLOOKUP(AW6,C:C,D:D)</f>
        <v>Los Angeles</v>
      </c>
      <c r="AW6" t="s">
        <v>56</v>
      </c>
      <c r="AX6" t="s">
        <v>7</v>
      </c>
      <c r="AY6" s="3">
        <f>SUMIFS(I:I,D:D,_xlfn.SINGLE(Region),C:C,AW6,G:G,AX6,A:A,_xlfn.SINGLE(CurYear),B:B,_xlfn.SINGLE(CurMonth))</f>
        <v>0</v>
      </c>
    </row>
    <row r="7" spans="1:51" x14ac:dyDescent="0.2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>_xlfn.XLOOKUP(AW7,C:C,D:D)</f>
        <v>Los Angeles</v>
      </c>
      <c r="AW7" t="s">
        <v>56</v>
      </c>
      <c r="AX7" t="s">
        <v>12</v>
      </c>
      <c r="AY7" s="3">
        <f>SUMIFS(I:I,D:D,_xlfn.SINGLE(Region),C:C,AW7,G:G,AX7,A:A,_xlfn.SINGLE(CurYear),B:B,_xlfn.SINGLE(CurMonth))</f>
        <v>0</v>
      </c>
    </row>
    <row r="8" spans="1:51" x14ac:dyDescent="0.2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>_xlfn.XLOOKUP(AW8,C:C,D:D)</f>
        <v>New York</v>
      </c>
      <c r="AW8" t="s">
        <v>58</v>
      </c>
      <c r="AX8" t="s">
        <v>14</v>
      </c>
      <c r="AY8" s="3">
        <f>SUMIFS(I:I,D:D,_xlfn.SINGLE(Region),C:C,AW8,G:G,AX8,A:A,_xlfn.SINGLE(CurYear),B:B,_xlfn.SINGLE(CurMonth))</f>
        <v>0</v>
      </c>
    </row>
    <row r="9" spans="1:51" x14ac:dyDescent="0.2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>_xlfn.XLOOKUP(AW9,C:C,D:D)</f>
        <v>New York</v>
      </c>
      <c r="AW9" t="s">
        <v>58</v>
      </c>
      <c r="AX9" t="s">
        <v>9</v>
      </c>
      <c r="AY9" s="3">
        <f>SUMIFS(I:I,D:D,_xlfn.SINGLE(Region),C:C,AW9,G:G,AX9,A:A,_xlfn.SINGLE(CurYear),B:B,_xlfn.SINGLE(CurMonth))</f>
        <v>0</v>
      </c>
    </row>
    <row r="10" spans="1:51" x14ac:dyDescent="0.2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>_xlfn.XLOOKUP(AW10,C:C,D:D)</f>
        <v>New York</v>
      </c>
      <c r="AW10" t="s">
        <v>58</v>
      </c>
      <c r="AX10" t="s">
        <v>21</v>
      </c>
      <c r="AY10" s="3">
        <f>SUMIFS(I:I,D:D,_xlfn.SINGLE(Region),C:C,AW10,G:G,AX10,A:A,_xlfn.SINGLE(CurYear),B:B,_xlfn.SINGLE(CurMonth))</f>
        <v>0</v>
      </c>
    </row>
    <row r="11" spans="1:51" x14ac:dyDescent="0.2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>_xlfn.XLOOKUP(AW11,C:C,D:D)</f>
        <v>New York</v>
      </c>
      <c r="AW11" t="s">
        <v>58</v>
      </c>
      <c r="AX11" t="s">
        <v>7</v>
      </c>
      <c r="AY11" s="3">
        <f>SUMIFS(I:I,D:D,_xlfn.SINGLE(Region),C:C,AW11,G:G,AX11,A:A,_xlfn.SINGLE(CurYear),B:B,_xlfn.SINGLE(CurMonth))</f>
        <v>0</v>
      </c>
    </row>
    <row r="12" spans="1:51" x14ac:dyDescent="0.2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>_xlfn.XLOOKUP(AW12,C:C,D:D)</f>
        <v>New York</v>
      </c>
      <c r="AW12" t="s">
        <v>58</v>
      </c>
      <c r="AX12" t="s">
        <v>12</v>
      </c>
      <c r="AY12" s="3">
        <f>SUMIFS(I:I,D:D,_xlfn.SINGLE(Region),C:C,AW12,G:G,AX12,A:A,_xlfn.SINGLE(CurYear),B:B,_xlfn.SINGLE(CurMonth))</f>
        <v>0</v>
      </c>
    </row>
    <row r="13" spans="1:51" x14ac:dyDescent="0.2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>_xlfn.XLOOKUP(AW13,C:C,D:D)</f>
        <v>Los Angeles</v>
      </c>
      <c r="AW13" t="s">
        <v>59</v>
      </c>
      <c r="AX13" t="s">
        <v>14</v>
      </c>
      <c r="AY13" s="3">
        <f>SUMIFS(I:I,D:D,_xlfn.SINGLE(Region),C:C,AW13,G:G,AX13,A:A,_xlfn.SINGLE(CurYear),B:B,_xlfn.SINGLE(CurMonth))</f>
        <v>0</v>
      </c>
    </row>
    <row r="14" spans="1:51" x14ac:dyDescent="0.2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>_xlfn.XLOOKUP(AW14,C:C,D:D)</f>
        <v>Los Angeles</v>
      </c>
      <c r="AW14" t="s">
        <v>59</v>
      </c>
      <c r="AX14" t="s">
        <v>9</v>
      </c>
      <c r="AY14" s="3">
        <f>SUMIFS(I:I,D:D,_xlfn.SINGLE(Region),C:C,AW14,G:G,AX14,A:A,_xlfn.SINGLE(CurYear),B:B,_xlfn.SINGLE(CurMonth))</f>
        <v>0</v>
      </c>
    </row>
    <row r="15" spans="1:51" x14ac:dyDescent="0.2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>_xlfn.XLOOKUP(AW15,C:C,D:D)</f>
        <v>Los Angeles</v>
      </c>
      <c r="AW15" t="s">
        <v>59</v>
      </c>
      <c r="AX15" t="s">
        <v>21</v>
      </c>
      <c r="AY15" s="3">
        <f>SUMIFS(I:I,D:D,_xlfn.SINGLE(Region),C:C,AW15,G:G,AX15,A:A,_xlfn.SINGLE(CurYear),B:B,_xlfn.SINGLE(CurMonth))</f>
        <v>0</v>
      </c>
    </row>
    <row r="16" spans="1:51" x14ac:dyDescent="0.2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>_xlfn.XLOOKUP(AW16,C:C,D:D)</f>
        <v>Los Angeles</v>
      </c>
      <c r="AW16" t="s">
        <v>59</v>
      </c>
      <c r="AX16" t="s">
        <v>7</v>
      </c>
      <c r="AY16" s="3">
        <f>SUMIFS(I:I,D:D,_xlfn.SINGLE(Region),C:C,AW16,G:G,AX16,A:A,_xlfn.SINGLE(CurYear),B:B,_xlfn.SINGLE(CurMonth))</f>
        <v>0</v>
      </c>
    </row>
    <row r="17" spans="1:51" x14ac:dyDescent="0.2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>_xlfn.XLOOKUP(AW17,C:C,D:D)</f>
        <v>Los Angeles</v>
      </c>
      <c r="AW17" t="s">
        <v>59</v>
      </c>
      <c r="AX17" t="s">
        <v>12</v>
      </c>
      <c r="AY17" s="3">
        <f>SUMIFS(I:I,D:D,_xlfn.SINGLE(Region),C:C,AW17,G:G,AX17,A:A,_xlfn.SINGLE(CurYear),B:B,_xlfn.SINGLE(CurMonth))</f>
        <v>0</v>
      </c>
    </row>
    <row r="18" spans="1:51" x14ac:dyDescent="0.2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>_xlfn.XLOOKUP(AW18,C:C,D:D)</f>
        <v>New York</v>
      </c>
      <c r="AW18" t="s">
        <v>60</v>
      </c>
      <c r="AX18" t="s">
        <v>14</v>
      </c>
      <c r="AY18" s="3">
        <f>SUMIFS(I:I,D:D,_xlfn.SINGLE(Region),C:C,AW18,G:G,AX18,A:A,_xlfn.SINGLE(CurYear),B:B,_xlfn.SINGLE(CurMonth))</f>
        <v>0</v>
      </c>
    </row>
    <row r="19" spans="1:51" x14ac:dyDescent="0.2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>_xlfn.XLOOKUP(AW19,C:C,D:D)</f>
        <v>New York</v>
      </c>
      <c r="AW19" t="s">
        <v>60</v>
      </c>
      <c r="AX19" t="s">
        <v>9</v>
      </c>
      <c r="AY19" s="3">
        <f>SUMIFS(I:I,D:D,_xlfn.SINGLE(Region),C:C,AW19,G:G,AX19,A:A,_xlfn.SINGLE(CurYear),B:B,_xlfn.SINGLE(CurMonth))</f>
        <v>0</v>
      </c>
    </row>
    <row r="20" spans="1:51" x14ac:dyDescent="0.2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>_xlfn.XLOOKUP(AW20,C:C,D:D)</f>
        <v>New York</v>
      </c>
      <c r="AW20" t="s">
        <v>60</v>
      </c>
      <c r="AX20" t="s">
        <v>21</v>
      </c>
      <c r="AY20" s="3">
        <f>SUMIFS(I:I,D:D,_xlfn.SINGLE(Region),C:C,AW20,G:G,AX20,A:A,_xlfn.SINGLE(CurYear),B:B,_xlfn.SINGLE(CurMonth))</f>
        <v>0</v>
      </c>
    </row>
    <row r="21" spans="1:51" x14ac:dyDescent="0.2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>_xlfn.XLOOKUP(AW21,C:C,D:D)</f>
        <v>New York</v>
      </c>
      <c r="AW21" t="s">
        <v>60</v>
      </c>
      <c r="AX21" t="s">
        <v>7</v>
      </c>
      <c r="AY21" s="3">
        <f>SUMIFS(I:I,D:D,_xlfn.SINGLE(Region),C:C,AW21,G:G,AX21,A:A,_xlfn.SINGLE(CurYear),B:B,_xlfn.SINGLE(CurMonth))</f>
        <v>0</v>
      </c>
    </row>
    <row r="22" spans="1:51" x14ac:dyDescent="0.2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>_xlfn.XLOOKUP(AW22,C:C,D:D)</f>
        <v>New York</v>
      </c>
      <c r="AW22" t="s">
        <v>60</v>
      </c>
      <c r="AX22" t="s">
        <v>12</v>
      </c>
      <c r="AY22" s="3">
        <f>SUMIFS(I:I,D:D,_xlfn.SINGLE(Region),C:C,AW22,G:G,AX22,A:A,_xlfn.SINGLE(CurYear),B:B,_xlfn.SINGLE(CurMonth))</f>
        <v>0</v>
      </c>
    </row>
    <row r="23" spans="1:51" x14ac:dyDescent="0.2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>_xlfn.XLOOKUP(AW23,C:C,D:D)</f>
        <v>Los Angeles</v>
      </c>
      <c r="AW23" t="s">
        <v>61</v>
      </c>
      <c r="AX23" t="s">
        <v>14</v>
      </c>
      <c r="AY23" s="3">
        <f>SUMIFS(I:I,D:D,_xlfn.SINGLE(Region),C:C,AW23,G:G,AX23,A:A,_xlfn.SINGLE(CurYear),B:B,_xlfn.SINGLE(CurMonth))</f>
        <v>0</v>
      </c>
    </row>
    <row r="24" spans="1:51" x14ac:dyDescent="0.2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>_xlfn.XLOOKUP(AW24,C:C,D:D)</f>
        <v>Los Angeles</v>
      </c>
      <c r="AW24" t="s">
        <v>61</v>
      </c>
      <c r="AX24" t="s">
        <v>9</v>
      </c>
      <c r="AY24" s="3">
        <f>SUMIFS(I:I,D:D,_xlfn.SINGLE(Region),C:C,AW24,G:G,AX24,A:A,_xlfn.SINGLE(CurYear),B:B,_xlfn.SINGLE(CurMonth))</f>
        <v>0</v>
      </c>
    </row>
    <row r="25" spans="1:51" x14ac:dyDescent="0.2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>_xlfn.XLOOKUP(AW25,C:C,D:D)</f>
        <v>Los Angeles</v>
      </c>
      <c r="AW25" t="s">
        <v>61</v>
      </c>
      <c r="AX25" t="s">
        <v>21</v>
      </c>
      <c r="AY25" s="3">
        <f>SUMIFS(I:I,D:D,_xlfn.SINGLE(Region),C:C,AW25,G:G,AX25,A:A,_xlfn.SINGLE(CurYear),B:B,_xlfn.SINGLE(CurMonth))</f>
        <v>0</v>
      </c>
    </row>
    <row r="26" spans="1:51" x14ac:dyDescent="0.2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>_xlfn.XLOOKUP(AW26,C:C,D:D)</f>
        <v>Los Angeles</v>
      </c>
      <c r="AW26" t="s">
        <v>61</v>
      </c>
      <c r="AX26" t="s">
        <v>7</v>
      </c>
      <c r="AY26" s="3">
        <f>SUMIFS(I:I,D:D,_xlfn.SINGLE(Region),C:C,AW26,G:G,AX26,A:A,_xlfn.SINGLE(CurYear),B:B,_xlfn.SINGLE(CurMonth))</f>
        <v>0</v>
      </c>
    </row>
    <row r="27" spans="1:51" x14ac:dyDescent="0.2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>_xlfn.XLOOKUP(AW27,C:C,D:D)</f>
        <v>Los Angeles</v>
      </c>
      <c r="AW27" t="s">
        <v>61</v>
      </c>
      <c r="AX27" t="s">
        <v>12</v>
      </c>
      <c r="AY27" s="3">
        <f>SUMIFS(I:I,D:D,_xlfn.SINGLE(Region),C:C,AW27,G:G,AX27,A:A,_xlfn.SINGLE(CurYear),B:B,_xlfn.SINGLE(CurMonth))</f>
        <v>0</v>
      </c>
    </row>
    <row r="28" spans="1:51" x14ac:dyDescent="0.2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>_xlfn.XLOOKUP(AW28,C:C,D:D)</f>
        <v>Chicago</v>
      </c>
      <c r="AW28" t="s">
        <v>53</v>
      </c>
      <c r="AX28" t="s">
        <v>14</v>
      </c>
      <c r="AY28" s="3">
        <f>SUMIFS(I:I,D:D,_xlfn.SINGLE(Region),C:C,AW28,G:G,AX28,A:A,_xlfn.SINGLE(CurYear),B:B,_xlfn.SINGLE(CurMonth))</f>
        <v>11614.690000000002</v>
      </c>
    </row>
    <row r="29" spans="1:51" x14ac:dyDescent="0.2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>_xlfn.XLOOKUP(AW29,C:C,D:D)</f>
        <v>Chicago</v>
      </c>
      <c r="AW29" t="s">
        <v>53</v>
      </c>
      <c r="AX29" t="s">
        <v>9</v>
      </c>
      <c r="AY29" s="3">
        <f>SUMIFS(I:I,D:D,_xlfn.SINGLE(Region),C:C,AW29,G:G,AX29,A:A,_xlfn.SINGLE(CurYear),B:B,_xlfn.SINGLE(CurMonth))</f>
        <v>2064.44</v>
      </c>
    </row>
    <row r="30" spans="1:51" x14ac:dyDescent="0.2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>_xlfn.XLOOKUP(AW30,C:C,D:D)</f>
        <v>Chicago</v>
      </c>
      <c r="AW30" t="s">
        <v>53</v>
      </c>
      <c r="AX30" t="s">
        <v>21</v>
      </c>
      <c r="AY30" s="3">
        <f>SUMIFS(I:I,D:D,_xlfn.SINGLE(Region),C:C,AW30,G:G,AX30,A:A,_xlfn.SINGLE(CurYear),B:B,_xlfn.SINGLE(CurMonth))</f>
        <v>389.74</v>
      </c>
    </row>
    <row r="31" spans="1:51" x14ac:dyDescent="0.2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>_xlfn.XLOOKUP(AW31,C:C,D:D)</f>
        <v>Chicago</v>
      </c>
      <c r="AW31" t="s">
        <v>53</v>
      </c>
      <c r="AX31" t="s">
        <v>7</v>
      </c>
      <c r="AY31" s="3">
        <f>SUMIFS(I:I,D:D,_xlfn.SINGLE(Region),C:C,AW31,G:G,AX31,A:A,_xlfn.SINGLE(CurYear),B:B,_xlfn.SINGLE(CurMonth))</f>
        <v>3356.0000000000005</v>
      </c>
    </row>
    <row r="32" spans="1:51" x14ac:dyDescent="0.2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>_xlfn.XLOOKUP(AW32,C:C,D:D)</f>
        <v>Chicago</v>
      </c>
      <c r="AW32" t="s">
        <v>53</v>
      </c>
      <c r="AX32" t="s">
        <v>12</v>
      </c>
      <c r="AY32" s="3">
        <f>SUMIFS(I:I,D:D,_xlfn.SINGLE(Region),C:C,AW32,G:G,AX32,A:A,_xlfn.SINGLE(CurYear),B:B,_xlfn.SINGLE(CurMonth))</f>
        <v>4404.9199999999992</v>
      </c>
    </row>
    <row r="33" spans="1:51" x14ac:dyDescent="0.2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>_xlfn.XLOOKUP(AW33,C:C,D:D)</f>
        <v>Chicago</v>
      </c>
      <c r="AW33" t="s">
        <v>54</v>
      </c>
      <c r="AX33" t="s">
        <v>14</v>
      </c>
      <c r="AY33" s="3">
        <f>SUMIFS(I:I,D:D,_xlfn.SINGLE(Region),C:C,AW33,G:G,AX33,A:A,_xlfn.SINGLE(CurYear),B:B,_xlfn.SINGLE(CurMonth))</f>
        <v>7264.0700000000006</v>
      </c>
    </row>
    <row r="34" spans="1:51" x14ac:dyDescent="0.2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>_xlfn.XLOOKUP(AW34,C:C,D:D)</f>
        <v>Chicago</v>
      </c>
      <c r="AW34" t="s">
        <v>54</v>
      </c>
      <c r="AX34" t="s">
        <v>9</v>
      </c>
      <c r="AY34" s="3">
        <f>SUMIFS(I:I,D:D,_xlfn.SINGLE(Region),C:C,AW34,G:G,AX34,A:A,_xlfn.SINGLE(CurYear),B:B,_xlfn.SINGLE(CurMonth))</f>
        <v>1870.42</v>
      </c>
    </row>
    <row r="35" spans="1:51" x14ac:dyDescent="0.2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>_xlfn.XLOOKUP(AW35,C:C,D:D)</f>
        <v>Chicago</v>
      </c>
      <c r="AW35" t="s">
        <v>54</v>
      </c>
      <c r="AX35" t="s">
        <v>21</v>
      </c>
      <c r="AY35" s="3">
        <f>SUMIFS(I:I,D:D,_xlfn.SINGLE(Region),C:C,AW35,G:G,AX35,A:A,_xlfn.SINGLE(CurYear),B:B,_xlfn.SINGLE(CurMonth))</f>
        <v>2643.4500000000003</v>
      </c>
    </row>
    <row r="36" spans="1:51" x14ac:dyDescent="0.2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>_xlfn.XLOOKUP(AW36,C:C,D:D)</f>
        <v>Chicago</v>
      </c>
      <c r="AW36" t="s">
        <v>54</v>
      </c>
      <c r="AX36" t="s">
        <v>7</v>
      </c>
      <c r="AY36" s="3">
        <f>SUMIFS(I:I,D:D,_xlfn.SINGLE(Region),C:C,AW36,G:G,AX36,A:A,_xlfn.SINGLE(CurYear),B:B,_xlfn.SINGLE(CurMonth))</f>
        <v>1386.08</v>
      </c>
    </row>
    <row r="37" spans="1:51" x14ac:dyDescent="0.2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>_xlfn.XLOOKUP(AW37,C:C,D:D)</f>
        <v>Chicago</v>
      </c>
      <c r="AW37" t="s">
        <v>54</v>
      </c>
      <c r="AX37" t="s">
        <v>12</v>
      </c>
      <c r="AY37" s="3">
        <f>SUMIFS(I:I,D:D,_xlfn.SINGLE(Region),C:C,AW37,G:G,AX37,A:A,_xlfn.SINGLE(CurYear),B:B,_xlfn.SINGLE(CurMonth))</f>
        <v>2967.7599999999998</v>
      </c>
    </row>
    <row r="38" spans="1:51" x14ac:dyDescent="0.2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>_xlfn.XLOOKUP(AW38,C:C,D:D)</f>
        <v>Chicago</v>
      </c>
      <c r="AW38" t="s">
        <v>55</v>
      </c>
      <c r="AX38" t="s">
        <v>14</v>
      </c>
      <c r="AY38" s="3">
        <f>SUMIFS(I:I,D:D,_xlfn.SINGLE(Region),C:C,AW38,G:G,AX38,A:A,_xlfn.SINGLE(CurYear),B:B,_xlfn.SINGLE(CurMonth))</f>
        <v>5912.5400000000009</v>
      </c>
    </row>
    <row r="39" spans="1:51" x14ac:dyDescent="0.2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>_xlfn.XLOOKUP(AW39,C:C,D:D)</f>
        <v>Chicago</v>
      </c>
      <c r="AW39" t="s">
        <v>55</v>
      </c>
      <c r="AX39" t="s">
        <v>9</v>
      </c>
      <c r="AY39" s="3">
        <f>SUMIFS(I:I,D:D,_xlfn.SINGLE(Region),C:C,AW39,G:G,AX39,A:A,_xlfn.SINGLE(CurYear),B:B,_xlfn.SINGLE(CurMonth))</f>
        <v>2679.7799999999997</v>
      </c>
    </row>
    <row r="40" spans="1:51" x14ac:dyDescent="0.2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>_xlfn.XLOOKUP(AW40,C:C,D:D)</f>
        <v>Chicago</v>
      </c>
      <c r="AW40" t="s">
        <v>55</v>
      </c>
      <c r="AX40" t="s">
        <v>21</v>
      </c>
      <c r="AY40" s="3">
        <f>SUMIFS(I:I,D:D,_xlfn.SINGLE(Region),C:C,AW40,G:G,AX40,A:A,_xlfn.SINGLE(CurYear),B:B,_xlfn.SINGLE(CurMonth))</f>
        <v>1759.0099999999998</v>
      </c>
    </row>
    <row r="41" spans="1:51" x14ac:dyDescent="0.2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>_xlfn.XLOOKUP(AW41,C:C,D:D)</f>
        <v>Chicago</v>
      </c>
      <c r="AW41" t="s">
        <v>55</v>
      </c>
      <c r="AX41" t="s">
        <v>7</v>
      </c>
      <c r="AY41" s="3">
        <f>SUMIFS(I:I,D:D,_xlfn.SINGLE(Region),C:C,AW41,G:G,AX41,A:A,_xlfn.SINGLE(CurYear),B:B,_xlfn.SINGLE(CurMonth))</f>
        <v>4014.55</v>
      </c>
    </row>
    <row r="42" spans="1:51" x14ac:dyDescent="0.2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>_xlfn.XLOOKUP(AW42,C:C,D:D)</f>
        <v>Chicago</v>
      </c>
      <c r="AW42" t="s">
        <v>55</v>
      </c>
      <c r="AX42" t="s">
        <v>12</v>
      </c>
      <c r="AY42" s="3">
        <f>SUMIFS(I:I,D:D,_xlfn.SINGLE(Region),C:C,AW42,G:G,AX42,A:A,_xlfn.SINGLE(CurYear),B:B,_xlfn.SINGLE(CurMonth))</f>
        <v>6524.26</v>
      </c>
    </row>
    <row r="43" spans="1:51" x14ac:dyDescent="0.2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>_xlfn.XLOOKUP(AW43,C:C,D:D)</f>
        <v>Chicago</v>
      </c>
      <c r="AW43" t="s">
        <v>57</v>
      </c>
      <c r="AX43" t="s">
        <v>14</v>
      </c>
      <c r="AY43" s="3">
        <f>SUMIFS(I:I,D:D,_xlfn.SINGLE(Region),C:C,AW43,G:G,AX43,A:A,_xlfn.SINGLE(CurYear),B:B,_xlfn.SINGLE(CurMonth))</f>
        <v>13971.98</v>
      </c>
    </row>
    <row r="44" spans="1:51" x14ac:dyDescent="0.2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>_xlfn.XLOOKUP(AW44,C:C,D:D)</f>
        <v>Chicago</v>
      </c>
      <c r="AW44" t="s">
        <v>57</v>
      </c>
      <c r="AX44" t="s">
        <v>9</v>
      </c>
      <c r="AY44" s="3">
        <f>SUMIFS(I:I,D:D,_xlfn.SINGLE(Region),C:C,AW44,G:G,AX44,A:A,_xlfn.SINGLE(CurYear),B:B,_xlfn.SINGLE(CurMonth))</f>
        <v>4241.28</v>
      </c>
    </row>
    <row r="45" spans="1:51" x14ac:dyDescent="0.2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>_xlfn.XLOOKUP(AW45,C:C,D:D)</f>
        <v>Chicago</v>
      </c>
      <c r="AW45" t="s">
        <v>57</v>
      </c>
      <c r="AX45" t="s">
        <v>21</v>
      </c>
      <c r="AY45" s="3">
        <f>SUMIFS(I:I,D:D,_xlfn.SINGLE(Region),C:C,AW45,G:G,AX45,A:A,_xlfn.SINGLE(CurYear),B:B,_xlfn.SINGLE(CurMonth))</f>
        <v>2660.5299999999997</v>
      </c>
    </row>
    <row r="46" spans="1:51" x14ac:dyDescent="0.2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>_xlfn.XLOOKUP(AW46,C:C,D:D)</f>
        <v>Chicago</v>
      </c>
      <c r="AW46" t="s">
        <v>57</v>
      </c>
      <c r="AX46" t="s">
        <v>7</v>
      </c>
      <c r="AY46" s="3">
        <f>SUMIFS(I:I,D:D,_xlfn.SINGLE(Region),C:C,AW46,G:G,AX46,A:A,_xlfn.SINGLE(CurYear),B:B,_xlfn.SINGLE(CurMonth))</f>
        <v>7464.3899999999994</v>
      </c>
    </row>
    <row r="47" spans="1:51" x14ac:dyDescent="0.2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>_xlfn.XLOOKUP(AW47,C:C,D:D)</f>
        <v>Chicago</v>
      </c>
      <c r="AW47" t="s">
        <v>57</v>
      </c>
      <c r="AX47" t="s">
        <v>12</v>
      </c>
      <c r="AY47" s="3">
        <f>SUMIFS(I:I,D:D,_xlfn.SINGLE(Region),C:C,AW47,G:G,AX47,A:A,_xlfn.SINGLE(CurYear),B:B,_xlfn.SINGLE(CurMonth))</f>
        <v>7763.5800000000008</v>
      </c>
    </row>
    <row r="48" spans="1:51" x14ac:dyDescent="0.2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>_xlfn.XLOOKUP(AW48,C:C,D:D)</f>
        <v>New York</v>
      </c>
      <c r="AW48" t="s">
        <v>62</v>
      </c>
      <c r="AX48" t="s">
        <v>14</v>
      </c>
      <c r="AY48" s="3">
        <f>SUMIFS(I:I,D:D,_xlfn.SINGLE(Region),C:C,AW48,G:G,AX48,A:A,_xlfn.SINGLE(CurYear),B:B,_xlfn.SINGLE(CurMonth))</f>
        <v>0</v>
      </c>
    </row>
    <row r="49" spans="1:51" x14ac:dyDescent="0.2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>_xlfn.XLOOKUP(AW49,C:C,D:D)</f>
        <v>New York</v>
      </c>
      <c r="AW49" t="s">
        <v>62</v>
      </c>
      <c r="AX49" t="s">
        <v>9</v>
      </c>
      <c r="AY49" s="3">
        <f>SUMIFS(I:I,D:D,_xlfn.SINGLE(Region),C:C,AW49,G:G,AX49,A:A,_xlfn.SINGLE(CurYear),B:B,_xlfn.SINGLE(CurMonth))</f>
        <v>0</v>
      </c>
    </row>
    <row r="50" spans="1:51" x14ac:dyDescent="0.2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>_xlfn.XLOOKUP(AW50,C:C,D:D)</f>
        <v>New York</v>
      </c>
      <c r="AW50" t="s">
        <v>62</v>
      </c>
      <c r="AX50" t="s">
        <v>21</v>
      </c>
      <c r="AY50" s="3">
        <f>SUMIFS(I:I,D:D,_xlfn.SINGLE(Region),C:C,AW50,G:G,AX50,A:A,_xlfn.SINGLE(CurYear),B:B,_xlfn.SINGLE(CurMonth))</f>
        <v>0</v>
      </c>
    </row>
    <row r="51" spans="1:51" x14ac:dyDescent="0.2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>_xlfn.XLOOKUP(AW51,C:C,D:D)</f>
        <v>New York</v>
      </c>
      <c r="AW51" t="s">
        <v>62</v>
      </c>
      <c r="AX51" t="s">
        <v>7</v>
      </c>
      <c r="AY51" s="3">
        <f>SUMIFS(I:I,D:D,_xlfn.SINGLE(Region),C:C,AW51,G:G,AX51,A:A,_xlfn.SINGLE(CurYear),B:B,_xlfn.SINGLE(CurMonth))</f>
        <v>0</v>
      </c>
    </row>
    <row r="52" spans="1:51" x14ac:dyDescent="0.2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>_xlfn.XLOOKUP(AW52,C:C,D:D)</f>
        <v>New York</v>
      </c>
      <c r="AW52" t="s">
        <v>62</v>
      </c>
      <c r="AX52" t="s">
        <v>12</v>
      </c>
      <c r="AY52" s="3">
        <f>SUMIFS(I:I,D:D,_xlfn.SINGLE(Region),C:C,AW52,G:G,AX52,A:A,_xlfn.SINGLE(CurYear),B:B,_xlfn.SINGLE(CurMonth))</f>
        <v>0</v>
      </c>
    </row>
    <row r="53" spans="1:51" x14ac:dyDescent="0.2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DD077-55E7-1B4A-8E3F-B36F4AC8A012}">
  <dimension ref="A1:AH36"/>
  <sheetViews>
    <sheetView showGridLines="0" tabSelected="1" topLeftCell="R1" workbookViewId="0">
      <selection activeCell="B3" sqref="B3"/>
    </sheetView>
  </sheetViews>
  <sheetFormatPr baseColWidth="10" defaultRowHeight="15" x14ac:dyDescent="0.2"/>
  <cols>
    <col min="1" max="1" width="13.6640625" bestFit="1" customWidth="1"/>
    <col min="4" max="4" width="12.1640625" bestFit="1" customWidth="1"/>
    <col min="24" max="24" width="14.1640625" bestFit="1" customWidth="1"/>
    <col min="32" max="32" width="13.6640625" bestFit="1" customWidth="1"/>
  </cols>
  <sheetData>
    <row r="1" spans="1:34" x14ac:dyDescent="0.2">
      <c r="A1" s="6" t="s">
        <v>75</v>
      </c>
      <c r="B1" s="6"/>
      <c r="D1" s="10" t="s">
        <v>82</v>
      </c>
      <c r="E1" s="10"/>
      <c r="G1" s="10" t="s">
        <v>89</v>
      </c>
      <c r="H1" s="10"/>
      <c r="I1" s="10"/>
      <c r="J1" s="10"/>
      <c r="L1" s="10" t="s">
        <v>99</v>
      </c>
      <c r="M1" s="10"/>
      <c r="N1" s="10"/>
      <c r="O1" s="10"/>
      <c r="P1" s="10"/>
      <c r="R1" s="10" t="s">
        <v>103</v>
      </c>
      <c r="S1" s="10"/>
      <c r="T1" s="10"/>
      <c r="U1" s="10"/>
      <c r="V1" s="10"/>
      <c r="X1" s="10" t="s">
        <v>105</v>
      </c>
      <c r="Y1" s="10"/>
      <c r="Z1" s="10"/>
      <c r="AA1" s="10"/>
      <c r="AB1" s="10"/>
      <c r="AC1" s="10"/>
      <c r="AE1" s="10" t="s">
        <v>109</v>
      </c>
      <c r="AF1" s="10"/>
      <c r="AG1" s="10"/>
      <c r="AH1" s="10"/>
    </row>
    <row r="2" spans="1:34" x14ac:dyDescent="0.2">
      <c r="A2" s="7" t="s">
        <v>52</v>
      </c>
      <c r="B2" s="7" t="s">
        <v>76</v>
      </c>
      <c r="D2" s="12" t="s">
        <v>83</v>
      </c>
      <c r="E2" s="13">
        <f>SUMIFS(Data[Revenue],Data[Region],Region,Data[Month],CurMonth,Data[Year],CurYear)</f>
        <v>94953.469999999958</v>
      </c>
      <c r="G2" s="14" t="s">
        <v>90</v>
      </c>
      <c r="H2" s="14" t="s">
        <v>49</v>
      </c>
      <c r="I2" s="14">
        <f>PreYear</f>
        <v>2020</v>
      </c>
      <c r="J2" s="14">
        <f>CurYear</f>
        <v>2021</v>
      </c>
      <c r="L2" s="14" t="s">
        <v>63</v>
      </c>
      <c r="M2" s="14" t="s">
        <v>46</v>
      </c>
      <c r="N2" s="14" t="s">
        <v>100</v>
      </c>
      <c r="O2" s="14" t="s">
        <v>101</v>
      </c>
      <c r="P2" s="14" t="s">
        <v>102</v>
      </c>
      <c r="R2" s="14" t="s">
        <v>104</v>
      </c>
      <c r="S2" s="14" t="s">
        <v>63</v>
      </c>
      <c r="T2" s="14" t="s">
        <v>46</v>
      </c>
      <c r="U2" s="14" t="s">
        <v>101</v>
      </c>
      <c r="V2" s="14"/>
      <c r="X2" s="14" t="s">
        <v>106</v>
      </c>
      <c r="Y2" s="14" t="s">
        <v>46</v>
      </c>
      <c r="Z2" s="14" t="s">
        <v>100</v>
      </c>
      <c r="AA2" s="14" t="s">
        <v>101</v>
      </c>
      <c r="AB2" s="14" t="s">
        <v>107</v>
      </c>
      <c r="AC2" s="14" t="s">
        <v>108</v>
      </c>
      <c r="AE2" s="14" t="s">
        <v>104</v>
      </c>
      <c r="AF2" s="14" t="s">
        <v>106</v>
      </c>
      <c r="AG2" s="14" t="s">
        <v>46</v>
      </c>
      <c r="AH2" s="14" t="s">
        <v>101</v>
      </c>
    </row>
    <row r="3" spans="1:34" x14ac:dyDescent="0.2">
      <c r="A3" t="s">
        <v>4</v>
      </c>
      <c r="B3" s="8" t="s">
        <v>48</v>
      </c>
      <c r="D3" s="12" t="s">
        <v>84</v>
      </c>
      <c r="E3" s="13">
        <f>SUMIFS(Data[Revenue],Data[Region],Region,Data[Month],CurMonth,Data[Year],PreYear)</f>
        <v>70835.710000000006</v>
      </c>
      <c r="G3">
        <v>1</v>
      </c>
      <c r="H3" t="s">
        <v>91</v>
      </c>
      <c r="I3" s="13">
        <f>SUMIFS(Data[[Revenue]:[Revenue]],Data[[Region]:[Region]],Region,Data[[Month]:[Month]],'Data Prep'!$G3,Data[[Year]:[Year]],'Data Prep'!I$2)</f>
        <v>63051.609999999993</v>
      </c>
      <c r="J3" s="13">
        <f>IF(G3&gt;CurMonth,NA(),SUMIFS(Data[[Revenue]:[Revenue]],Data[[Region]:[Region]],Region,Data[[Month]:[Month]],'Data Prep'!$G3,Data[[Year]:[Year]],'Data Prep'!J$2))</f>
        <v>81321.820000000022</v>
      </c>
      <c r="L3" t="s">
        <v>59</v>
      </c>
      <c r="M3" s="13">
        <f>SUMIFS(Data[Revenue],Data[Store Name],L3,Data[Year],CurYear,Data[Month],CurMonth)</f>
        <v>12894.550000000001</v>
      </c>
      <c r="N3" s="13">
        <f>SUMIFS(Data[Revenue],Data[Store Name],L3,Data[Month],PreMonth,Data[Year],PMYear)</f>
        <v>9291.49</v>
      </c>
      <c r="O3" s="15">
        <f>M3/N3-1</f>
        <v>0.38778064659166622</v>
      </c>
      <c r="P3">
        <f>_xlfn.RANK.AVG(M3,$M$3:$M$12,1)</f>
        <v>1</v>
      </c>
      <c r="R3">
        <v>1</v>
      </c>
      <c r="S3" t="str">
        <f>INDEX($L$3:$O$12,MATCH($R3,$P$3:$P$12,0),MATCH(S$2,$L$2:$O$2,0))</f>
        <v>Hollywood</v>
      </c>
      <c r="T3" s="13">
        <f t="shared" ref="T3:U3" si="0">INDEX($L$3:$O$12,MATCH($R3,$P$3:$P$12,0),MATCH(T$2,$L$2:$O$2,0))</f>
        <v>12894.550000000001</v>
      </c>
      <c r="U3" s="15">
        <f t="shared" si="0"/>
        <v>0.38778064659166622</v>
      </c>
      <c r="X3" t="s">
        <v>13</v>
      </c>
      <c r="Y3" s="13">
        <f>SUMIFS(Data[Revenue],Data[Region],Region,Data[Month],CurMonth,Data[Year],CurYear,Data[Product Name],'Data Prep'!X3)</f>
        <v>3965.52</v>
      </c>
      <c r="Z3" s="13">
        <f>SUMIFS(Data[Revenue],Data[Region],Region,Data[Month],PreMonth,Data[Year],PMYear,Data[Product Name],'Data Prep'!X3)</f>
        <v>6300.0599999999995</v>
      </c>
      <c r="AA3" s="2">
        <f>Y3-Z3</f>
        <v>-2334.5399999999995</v>
      </c>
      <c r="AB3">
        <f>_xlfn.RANK.AVG(AA3,$AA$3:$AA$36,0)</f>
        <v>32</v>
      </c>
      <c r="AC3">
        <f>_xlfn.RANK.AVG(AA3,$AA$3:$AA$36,1)</f>
        <v>3</v>
      </c>
      <c r="AE3">
        <v>1</v>
      </c>
      <c r="AF3" t="str">
        <f>INDEX($X$3:$AA$36,MATCH($AE3,$AB$3:$AB$36,0),MATCH(AF$2,$X$2:$AA$2,0))</f>
        <v>Lego Bricks</v>
      </c>
      <c r="AG3" s="13">
        <f t="shared" ref="AG3:AH7" si="1">INDEX($X$3:$AA$36,MATCH($AE3,$AB$3:$AB$36,0),MATCH(AG$2,$X$2:$AA$2,0))</f>
        <v>19035.240000000002</v>
      </c>
      <c r="AH3" s="13">
        <f t="shared" si="1"/>
        <v>4718.8200000000033</v>
      </c>
    </row>
    <row r="4" spans="1:34" x14ac:dyDescent="0.2">
      <c r="A4" t="s">
        <v>5</v>
      </c>
      <c r="D4" s="12" t="s">
        <v>85</v>
      </c>
      <c r="E4" s="13">
        <f>SUMIFS(Data[Revenue],Data[Region],Region,Data[Month],PreMonth,Data[Year],PMYear)</f>
        <v>91637.330000000016</v>
      </c>
      <c r="G4">
        <v>2</v>
      </c>
      <c r="H4" t="s">
        <v>92</v>
      </c>
      <c r="I4" s="13">
        <f>SUMIFS(Data[[Revenue]:[Revenue]],Data[[Region]:[Region]],Region,Data[[Month]:[Month]],'Data Prep'!$G4,Data[[Year]:[Year]],'Data Prep'!I$2)</f>
        <v>65298.220000000023</v>
      </c>
      <c r="J4" s="13">
        <f>IF(G4&gt;CurMonth,NA(),SUMIFS(Data[[Revenue]:[Revenue]],Data[[Region]:[Region]],Region,Data[[Month]:[Month]],'Data Prep'!$G4,Data[[Year]:[Year]],'Data Prep'!J$2))</f>
        <v>87902.16</v>
      </c>
      <c r="L4" t="s">
        <v>56</v>
      </c>
      <c r="M4" s="13">
        <f>SUMIFS(Data[Revenue],Data[Store Name],L4,Data[Year],CurYear,Data[Month],CurMonth)</f>
        <v>14836.320000000002</v>
      </c>
      <c r="N4" s="13">
        <f>SUMIFS(Data[Revenue],Data[Store Name],L4,Data[Month],PreMonth,Data[Year],PMYear)</f>
        <v>11676.369999999999</v>
      </c>
      <c r="O4" s="15">
        <f>M4/N4-1</f>
        <v>0.27062777215864209</v>
      </c>
      <c r="P4">
        <f t="shared" ref="P4:P12" si="2">_xlfn.RANK.AVG(M4,$M$3:$M$12,1)</f>
        <v>2</v>
      </c>
      <c r="R4">
        <v>2</v>
      </c>
      <c r="S4" t="str">
        <f t="shared" ref="S4:U12" si="3">INDEX($L$3:$O$12,MATCH($R4,$P$3:$P$12,0),MATCH(S$2,$L$2:$O$2,0))</f>
        <v>Beverly Hills</v>
      </c>
      <c r="T4" s="13">
        <f t="shared" si="3"/>
        <v>14836.320000000002</v>
      </c>
      <c r="U4" s="15">
        <f t="shared" si="3"/>
        <v>0.27062777215864209</v>
      </c>
      <c r="X4" t="s">
        <v>24</v>
      </c>
      <c r="Y4" s="13">
        <f>SUMIFS(Data[Revenue],Data[Region],Region,Data[Month],CurMonth,Data[Year],CurYear,Data[Product Name],'Data Prep'!X4)</f>
        <v>5066.1000000000004</v>
      </c>
      <c r="Z4" s="13">
        <f>SUMIFS(Data[Revenue],Data[Region],Region,Data[Month],PreMonth,Data[Year],PMYear,Data[Product Name],'Data Prep'!X4)</f>
        <v>3234.5099999999998</v>
      </c>
      <c r="AA4" s="2">
        <f t="shared" ref="AA4:AA36" si="4">Y4-Z4</f>
        <v>1831.5900000000006</v>
      </c>
      <c r="AB4">
        <f t="shared" ref="AB4:AB36" si="5">_xlfn.RANK.AVG(AA4,$AA$3:$AA$36,0)</f>
        <v>4</v>
      </c>
      <c r="AC4">
        <f t="shared" ref="AC4:AC36" si="6">_xlfn.RANK.AVG(AA4,$AA$3:$AA$36,1)</f>
        <v>31</v>
      </c>
      <c r="AE4">
        <v>2</v>
      </c>
      <c r="AF4" t="str">
        <f t="shared" ref="AF4:AF7" si="7">INDEX($X$3:$AA$36,MATCH($AE4,$AB$3:$AB$36,0),MATCH(AF$2,$X$2:$AA$2,0))</f>
        <v>Etch A Sketch</v>
      </c>
      <c r="AG4" s="13">
        <f t="shared" si="1"/>
        <v>4407.8999999999996</v>
      </c>
      <c r="AH4" s="13">
        <f t="shared" si="1"/>
        <v>2896.62</v>
      </c>
    </row>
    <row r="5" spans="1:34" x14ac:dyDescent="0.2">
      <c r="A5" t="s">
        <v>48</v>
      </c>
      <c r="D5" s="12" t="s">
        <v>87</v>
      </c>
      <c r="E5" s="11">
        <f>E2/E3-1</f>
        <v>0.34047459960519832</v>
      </c>
      <c r="G5">
        <v>3</v>
      </c>
      <c r="H5" t="s">
        <v>93</v>
      </c>
      <c r="I5" s="13">
        <f>SUMIFS(Data[[Revenue]:[Revenue]],Data[[Region]:[Region]],Region,Data[[Month]:[Month]],'Data Prep'!$G5,Data[[Year]:[Year]],'Data Prep'!I$2)</f>
        <v>64161.95</v>
      </c>
      <c r="J5" s="13">
        <f>IF(G5&gt;CurMonth,NA(),SUMIFS(Data[[Revenue]:[Revenue]],Data[[Region]:[Region]],Region,Data[[Month]:[Month]],'Data Prep'!$G5,Data[[Year]:[Year]],'Data Prep'!J$2))</f>
        <v>105385.7199999999</v>
      </c>
      <c r="L5" t="s">
        <v>54</v>
      </c>
      <c r="M5" s="13">
        <f>SUMIFS(Data[Revenue],Data[Store Name],L5,Data[Year],CurYear,Data[Month],CurMonth)</f>
        <v>16131.78</v>
      </c>
      <c r="N5" s="13">
        <f>SUMIFS(Data[Revenue],Data[Store Name],L5,Data[Month],PreMonth,Data[Year],PMYear)</f>
        <v>19646.239999999998</v>
      </c>
      <c r="O5" s="15">
        <f>M5/N5-1</f>
        <v>-0.1788871560156039</v>
      </c>
      <c r="P5">
        <f t="shared" si="2"/>
        <v>3</v>
      </c>
      <c r="R5">
        <v>3</v>
      </c>
      <c r="S5" t="str">
        <f t="shared" si="3"/>
        <v>Michigan Ave</v>
      </c>
      <c r="T5" s="13">
        <f t="shared" si="3"/>
        <v>16131.78</v>
      </c>
      <c r="U5" s="15">
        <f t="shared" si="3"/>
        <v>-0.1788871560156039</v>
      </c>
      <c r="X5" t="s">
        <v>18</v>
      </c>
      <c r="Y5" s="13">
        <f>SUMIFS(Data[Revenue],Data[Region],Region,Data[Month],CurMonth,Data[Year],CurYear,Data[Product Name],'Data Prep'!X5)</f>
        <v>0</v>
      </c>
      <c r="Z5" s="13">
        <f>SUMIFS(Data[Revenue],Data[Region],Region,Data[Month],PreMonth,Data[Year],PMYear,Data[Product Name],'Data Prep'!X5)</f>
        <v>64.95</v>
      </c>
      <c r="AA5" s="2">
        <f t="shared" si="4"/>
        <v>-64.95</v>
      </c>
      <c r="AB5">
        <f t="shared" si="5"/>
        <v>18</v>
      </c>
      <c r="AC5">
        <f t="shared" si="6"/>
        <v>17</v>
      </c>
      <c r="AE5">
        <v>3</v>
      </c>
      <c r="AF5" t="str">
        <f t="shared" si="7"/>
        <v>Nerf Gun</v>
      </c>
      <c r="AG5" s="13">
        <f t="shared" si="1"/>
        <v>5617.19</v>
      </c>
      <c r="AH5" s="13">
        <f t="shared" si="1"/>
        <v>2538.73</v>
      </c>
    </row>
    <row r="6" spans="1:34" x14ac:dyDescent="0.2">
      <c r="D6" s="12" t="s">
        <v>88</v>
      </c>
      <c r="E6" s="11">
        <f>E2/E4-1</f>
        <v>3.6187654092496357E-2</v>
      </c>
      <c r="G6">
        <v>4</v>
      </c>
      <c r="H6" t="s">
        <v>94</v>
      </c>
      <c r="I6" s="13">
        <f>SUMIFS(Data[[Revenue]:[Revenue]],Data[[Region]:[Region]],Region,Data[[Month]:[Month]],'Data Prep'!$G6,Data[[Year]:[Year]],'Data Prep'!I$2)</f>
        <v>80619.25999999998</v>
      </c>
      <c r="J6" s="13">
        <f>IF(G6&gt;CurMonth,NA(),SUMIFS(Data[[Revenue]:[Revenue]],Data[[Region]:[Region]],Region,Data[[Month]:[Month]],'Data Prep'!$G6,Data[[Year]:[Year]],'Data Prep'!J$2))</f>
        <v>99650.11000000003</v>
      </c>
      <c r="L6" t="s">
        <v>55</v>
      </c>
      <c r="M6" s="13">
        <f>SUMIFS(Data[Revenue],Data[Store Name],L6,Data[Year],CurYear,Data[Month],CurMonth)</f>
        <v>20890.14</v>
      </c>
      <c r="N6" s="13">
        <f>SUMIFS(Data[Revenue],Data[Store Name],L6,Data[Month],PreMonth,Data[Year],PMYear)</f>
        <v>24100.490000000009</v>
      </c>
      <c r="O6" s="15">
        <f>M6/N6-1</f>
        <v>-0.13320683521372423</v>
      </c>
      <c r="P6">
        <f t="shared" si="2"/>
        <v>4</v>
      </c>
      <c r="R6">
        <v>4</v>
      </c>
      <c r="S6" t="str">
        <f t="shared" si="3"/>
        <v>Millenium</v>
      </c>
      <c r="T6" s="13">
        <f t="shared" si="3"/>
        <v>20890.14</v>
      </c>
      <c r="U6" s="15">
        <f t="shared" si="3"/>
        <v>-0.13320683521372423</v>
      </c>
      <c r="X6" t="s">
        <v>30</v>
      </c>
      <c r="Y6" s="13">
        <f>SUMIFS(Data[Revenue],Data[Region],Region,Data[Month],CurMonth,Data[Year],CurYear,Data[Product Name],'Data Prep'!X6)</f>
        <v>299.7</v>
      </c>
      <c r="Z6" s="13">
        <f>SUMIFS(Data[Revenue],Data[Region],Region,Data[Month],PreMonth,Data[Year],PMYear,Data[Product Name],'Data Prep'!X6)</f>
        <v>129.87</v>
      </c>
      <c r="AA6" s="2">
        <f t="shared" si="4"/>
        <v>169.82999999999998</v>
      </c>
      <c r="AB6">
        <f t="shared" si="5"/>
        <v>12</v>
      </c>
      <c r="AC6">
        <f t="shared" si="6"/>
        <v>23</v>
      </c>
      <c r="AE6">
        <v>4</v>
      </c>
      <c r="AF6" t="str">
        <f t="shared" si="7"/>
        <v>Animal Figures</v>
      </c>
      <c r="AG6" s="13">
        <f t="shared" si="1"/>
        <v>5066.1000000000004</v>
      </c>
      <c r="AH6" s="13">
        <f t="shared" si="1"/>
        <v>1831.5900000000006</v>
      </c>
    </row>
    <row r="7" spans="1:34" x14ac:dyDescent="0.2">
      <c r="A7" s="6" t="s">
        <v>77</v>
      </c>
      <c r="B7" s="6"/>
      <c r="G7">
        <v>5</v>
      </c>
      <c r="H7" t="s">
        <v>93</v>
      </c>
      <c r="I7" s="13">
        <f>SUMIFS(Data[[Revenue]:[Revenue]],Data[[Region]:[Region]],Region,Data[[Month]:[Month]],'Data Prep'!$G7,Data[[Year]:[Year]],'Data Prep'!I$2)</f>
        <v>79560.950000000026</v>
      </c>
      <c r="J7" s="13">
        <f>IF(G7&gt;CurMonth,NA(),SUMIFS(Data[[Revenue]:[Revenue]],Data[[Region]:[Region]],Region,Data[[Month]:[Month]],'Data Prep'!$G7,Data[[Year]:[Year]],'Data Prep'!J$2))</f>
        <v>93467.969999999972</v>
      </c>
      <c r="L7" t="s">
        <v>53</v>
      </c>
      <c r="M7" s="13">
        <f>SUMIFS(Data[Revenue],Data[Store Name],L7,Data[Year],CurYear,Data[Month],CurMonth)</f>
        <v>21829.790000000008</v>
      </c>
      <c r="N7" s="13">
        <f>SUMIFS(Data[Revenue],Data[Store Name],L7,Data[Month],PreMonth,Data[Year],PMYear)</f>
        <v>17645.59</v>
      </c>
      <c r="O7" s="15">
        <f>M7/N7-1</f>
        <v>0.23712440332117013</v>
      </c>
      <c r="P7">
        <f t="shared" si="2"/>
        <v>5</v>
      </c>
      <c r="R7">
        <v>5</v>
      </c>
      <c r="S7" t="str">
        <f t="shared" si="3"/>
        <v>Lincoln Park</v>
      </c>
      <c r="T7" s="13">
        <f t="shared" si="3"/>
        <v>21829.790000000008</v>
      </c>
      <c r="U7" s="15">
        <f t="shared" si="3"/>
        <v>0.23712440332117013</v>
      </c>
      <c r="X7" t="s">
        <v>20</v>
      </c>
      <c r="Y7" s="13">
        <f>SUMIFS(Data[Revenue],Data[Region],Region,Data[Month],CurMonth,Data[Year],CurYear,Data[Product Name],'Data Prep'!X7)</f>
        <v>4272.1500000000005</v>
      </c>
      <c r="Z7" s="13">
        <f>SUMIFS(Data[Revenue],Data[Region],Region,Data[Month],PreMonth,Data[Year],PMYear,Data[Product Name],'Data Prep'!X7)</f>
        <v>6610.59</v>
      </c>
      <c r="AA7" s="2">
        <f t="shared" si="4"/>
        <v>-2338.4399999999996</v>
      </c>
      <c r="AB7">
        <f t="shared" si="5"/>
        <v>33</v>
      </c>
      <c r="AC7">
        <f t="shared" si="6"/>
        <v>2</v>
      </c>
      <c r="AE7">
        <v>5</v>
      </c>
      <c r="AF7" t="str">
        <f t="shared" si="7"/>
        <v>Kids Makeup Kit</v>
      </c>
      <c r="AG7" s="13">
        <f t="shared" si="1"/>
        <v>3098.45</v>
      </c>
      <c r="AH7" s="13">
        <f t="shared" si="1"/>
        <v>1659.17</v>
      </c>
    </row>
    <row r="8" spans="1:34" x14ac:dyDescent="0.2">
      <c r="A8" s="9" t="s">
        <v>78</v>
      </c>
      <c r="B8">
        <f>MAX(Data[Year])</f>
        <v>2021</v>
      </c>
      <c r="G8">
        <v>6</v>
      </c>
      <c r="H8" t="s">
        <v>91</v>
      </c>
      <c r="I8" s="13">
        <f>SUMIFS(Data[[Revenue]:[Revenue]],Data[[Region]:[Region]],Region,Data[[Month]:[Month]],'Data Prep'!$G8,Data[[Year]:[Year]],'Data Prep'!I$2)</f>
        <v>85430.399999999965</v>
      </c>
      <c r="J8" s="13">
        <f>IF(G8&gt;CurMonth,NA(),SUMIFS(Data[[Revenue]:[Revenue]],Data[[Region]:[Region]],Region,Data[[Month]:[Month]],'Data Prep'!$G8,Data[[Year]:[Year]],'Data Prep'!J$2))</f>
        <v>91637.330000000016</v>
      </c>
      <c r="L8" t="s">
        <v>58</v>
      </c>
      <c r="M8" s="13">
        <f>SUMIFS(Data[Revenue],Data[Store Name],L8,Data[Year],CurYear,Data[Month],CurMonth)</f>
        <v>22152.709999999995</v>
      </c>
      <c r="N8" s="13">
        <f>SUMIFS(Data[Revenue],Data[Store Name],L8,Data[Month],PreMonth,Data[Year],PMYear)</f>
        <v>19305.510000000002</v>
      </c>
      <c r="O8" s="15">
        <f>M8/N8-1</f>
        <v>0.1474812113225703</v>
      </c>
      <c r="P8">
        <f t="shared" si="2"/>
        <v>6</v>
      </c>
      <c r="R8">
        <v>6</v>
      </c>
      <c r="S8" t="str">
        <f t="shared" si="3"/>
        <v>Fifth Avenue</v>
      </c>
      <c r="T8" s="13">
        <f t="shared" si="3"/>
        <v>22152.709999999995</v>
      </c>
      <c r="U8" s="15">
        <f t="shared" si="3"/>
        <v>0.1474812113225703</v>
      </c>
      <c r="X8" t="s">
        <v>25</v>
      </c>
      <c r="Y8" s="13">
        <f>SUMIFS(Data[Revenue],Data[Region],Region,Data[Month],CurMonth,Data[Year],CurYear,Data[Product Name],'Data Prep'!X8)</f>
        <v>1375.1399999999999</v>
      </c>
      <c r="Z8" s="13">
        <f>SUMIFS(Data[Revenue],Data[Region],Region,Data[Month],PreMonth,Data[Year],PMYear,Data[Product Name],'Data Prep'!X8)</f>
        <v>2126.67</v>
      </c>
      <c r="AA8" s="2">
        <f t="shared" si="4"/>
        <v>-751.5300000000002</v>
      </c>
      <c r="AB8">
        <f t="shared" si="5"/>
        <v>28</v>
      </c>
      <c r="AC8">
        <f t="shared" si="6"/>
        <v>7</v>
      </c>
    </row>
    <row r="9" spans="1:34" x14ac:dyDescent="0.2">
      <c r="A9" s="9" t="s">
        <v>79</v>
      </c>
      <c r="B9">
        <f>_xlfn.MAXIFS(Data[Month],Data[Year],CurYear)</f>
        <v>7</v>
      </c>
      <c r="G9">
        <v>7</v>
      </c>
      <c r="H9" t="s">
        <v>91</v>
      </c>
      <c r="I9" s="13">
        <f>SUMIFS(Data[[Revenue]:[Revenue]],Data[[Region]:[Region]],Region,Data[[Month]:[Month]],'Data Prep'!$G9,Data[[Year]:[Year]],'Data Prep'!I$2)</f>
        <v>70835.710000000006</v>
      </c>
      <c r="J9" s="13">
        <f>IF(G9&gt;CurMonth,NA(),SUMIFS(Data[[Revenue]:[Revenue]],Data[[Region]:[Region]],Region,Data[[Month]:[Month]],'Data Prep'!$G9,Data[[Year]:[Year]],'Data Prep'!J$2))</f>
        <v>94953.469999999958</v>
      </c>
      <c r="L9" t="s">
        <v>62</v>
      </c>
      <c r="M9" s="13">
        <f>SUMIFS(Data[Revenue],Data[Store Name],L9,Data[Year],CurYear,Data[Month],CurMonth)</f>
        <v>22817.06</v>
      </c>
      <c r="N9" s="13">
        <f>SUMIFS(Data[Revenue],Data[Store Name],L9,Data[Month],PreMonth,Data[Year],PMYear)</f>
        <v>20167.499999999996</v>
      </c>
      <c r="O9" s="15">
        <f>M9/N9-1</f>
        <v>0.13137771166480761</v>
      </c>
      <c r="P9">
        <f t="shared" si="2"/>
        <v>7</v>
      </c>
      <c r="R9">
        <v>7</v>
      </c>
      <c r="S9" t="str">
        <f t="shared" si="3"/>
        <v>Times Square</v>
      </c>
      <c r="T9" s="13">
        <f t="shared" si="3"/>
        <v>22817.06</v>
      </c>
      <c r="U9" s="15">
        <f t="shared" si="3"/>
        <v>0.13137771166480761</v>
      </c>
      <c r="X9" t="s">
        <v>8</v>
      </c>
      <c r="Y9" s="13">
        <f>SUMIFS(Data[Revenue],Data[Region],Region,Data[Month],CurMonth,Data[Year],CurYear,Data[Product Name],'Data Prep'!X9)</f>
        <v>2621.2500000000005</v>
      </c>
      <c r="Z9" s="13">
        <f>SUMIFS(Data[Revenue],Data[Region],Region,Data[Month],PreMonth,Data[Year],PMYear,Data[Product Name],'Data Prep'!X9)</f>
        <v>3292.29</v>
      </c>
      <c r="AA9" s="2">
        <f t="shared" si="4"/>
        <v>-671.03999999999951</v>
      </c>
      <c r="AB9">
        <f t="shared" si="5"/>
        <v>27</v>
      </c>
      <c r="AC9">
        <f t="shared" si="6"/>
        <v>8</v>
      </c>
      <c r="AE9" s="10" t="s">
        <v>110</v>
      </c>
      <c r="AF9" s="10"/>
      <c r="AG9" s="10"/>
      <c r="AH9" s="10"/>
    </row>
    <row r="10" spans="1:34" x14ac:dyDescent="0.2">
      <c r="A10" s="9" t="s">
        <v>80</v>
      </c>
      <c r="B10">
        <f>B8-1</f>
        <v>2020</v>
      </c>
      <c r="G10">
        <v>8</v>
      </c>
      <c r="H10" t="s">
        <v>94</v>
      </c>
      <c r="I10" s="13">
        <f>SUMIFS(Data[[Revenue]:[Revenue]],Data[[Region]:[Region]],Region,Data[[Month]:[Month]],'Data Prep'!$G10,Data[[Year]:[Year]],'Data Prep'!I$2)</f>
        <v>55171.65</v>
      </c>
      <c r="J10" s="13" t="e">
        <f>IF(G10&gt;CurMonth,NA(),SUMIFS(Data[[Revenue]:[Revenue]],Data[[Region]:[Region]],Region,Data[[Month]:[Month]],'Data Prep'!$G10,Data[[Year]:[Year]],'Data Prep'!J$2))</f>
        <v>#N/A</v>
      </c>
      <c r="L10" t="s">
        <v>60</v>
      </c>
      <c r="M10" s="13">
        <f>SUMIFS(Data[Revenue],Data[Store Name],L10,Data[Year],CurYear,Data[Month],CurMonth)</f>
        <v>24068.03</v>
      </c>
      <c r="N10" s="13">
        <f>SUMIFS(Data[Revenue],Data[Store Name],L10,Data[Month],PreMonth,Data[Year],PMYear)</f>
        <v>22176.43</v>
      </c>
      <c r="O10" s="15">
        <f>M10/N10-1</f>
        <v>8.5297768847375277E-2</v>
      </c>
      <c r="P10">
        <f t="shared" si="2"/>
        <v>8</v>
      </c>
      <c r="R10">
        <v>8</v>
      </c>
      <c r="S10" t="str">
        <f t="shared" si="3"/>
        <v>JFK</v>
      </c>
      <c r="T10" s="13">
        <f t="shared" si="3"/>
        <v>24068.03</v>
      </c>
      <c r="U10" s="15">
        <f t="shared" si="3"/>
        <v>8.5297768847375277E-2</v>
      </c>
      <c r="X10" t="s">
        <v>17</v>
      </c>
      <c r="Y10" s="13">
        <f>SUMIFS(Data[Revenue],Data[Region],Region,Data[Month],CurMonth,Data[Year],CurYear,Data[Product Name],'Data Prep'!X10)</f>
        <v>4659.76</v>
      </c>
      <c r="Z10" s="13">
        <f>SUMIFS(Data[Revenue],Data[Region],Region,Data[Month],PreMonth,Data[Year],PMYear,Data[Product Name],'Data Prep'!X10)</f>
        <v>4516.8900000000003</v>
      </c>
      <c r="AA10" s="2">
        <f t="shared" si="4"/>
        <v>142.86999999999989</v>
      </c>
      <c r="AB10">
        <f t="shared" si="5"/>
        <v>13</v>
      </c>
      <c r="AC10">
        <f t="shared" si="6"/>
        <v>22</v>
      </c>
      <c r="AE10" s="14" t="s">
        <v>104</v>
      </c>
      <c r="AF10" s="14" t="s">
        <v>106</v>
      </c>
      <c r="AG10" s="14" t="s">
        <v>46</v>
      </c>
      <c r="AH10" s="14" t="s">
        <v>101</v>
      </c>
    </row>
    <row r="11" spans="1:34" x14ac:dyDescent="0.2">
      <c r="A11" s="9" t="s">
        <v>81</v>
      </c>
      <c r="B11">
        <f>IF(CurMonth=1,12,CurMonth-1)</f>
        <v>6</v>
      </c>
      <c r="G11">
        <v>9</v>
      </c>
      <c r="H11" t="s">
        <v>95</v>
      </c>
      <c r="I11" s="13">
        <f>SUMIFS(Data[[Revenue]:[Revenue]],Data[[Region]:[Region]],Region,Data[[Month]:[Month]],'Data Prep'!$G11,Data[[Year]:[Year]],'Data Prep'!I$2)</f>
        <v>67569.269999999975</v>
      </c>
      <c r="J11" s="13" t="e">
        <f>IF(G11&gt;CurMonth,NA(),SUMIFS(Data[[Revenue]:[Revenue]],Data[[Region]:[Region]],Region,Data[[Month]:[Month]],'Data Prep'!$G11,Data[[Year]:[Year]],'Data Prep'!J$2))</f>
        <v>#N/A</v>
      </c>
      <c r="L11" t="s">
        <v>61</v>
      </c>
      <c r="M11" s="13">
        <f>SUMIFS(Data[Revenue],Data[Store Name],L11,Data[Year],CurYear,Data[Month],CurMonth)</f>
        <v>32052.109999999993</v>
      </c>
      <c r="N11" s="13">
        <f>SUMIFS(Data[Revenue],Data[Store Name],L11,Data[Month],PreMonth,Data[Year],PMYear)</f>
        <v>25228.359999999997</v>
      </c>
      <c r="O11" s="15">
        <f>M11/N11-1</f>
        <v>0.27047933357538878</v>
      </c>
      <c r="P11">
        <f t="shared" si="2"/>
        <v>9</v>
      </c>
      <c r="R11">
        <v>9</v>
      </c>
      <c r="S11" t="str">
        <f t="shared" si="3"/>
        <v>LAX</v>
      </c>
      <c r="T11" s="13">
        <f t="shared" si="3"/>
        <v>32052.109999999993</v>
      </c>
      <c r="U11" s="15">
        <f t="shared" si="3"/>
        <v>0.27047933357538878</v>
      </c>
      <c r="X11" t="s">
        <v>28</v>
      </c>
      <c r="Y11" s="13">
        <f>SUMIFS(Data[Revenue],Data[Region],Region,Data[Month],CurMonth,Data[Year],CurYear,Data[Product Name],'Data Prep'!X11)</f>
        <v>1858.76</v>
      </c>
      <c r="Z11" s="13">
        <f>SUMIFS(Data[Revenue],Data[Region],Region,Data[Month],PreMonth,Data[Year],PMYear,Data[Product Name],'Data Prep'!X11)</f>
        <v>1334.1100000000001</v>
      </c>
      <c r="AA11" s="2">
        <f t="shared" si="4"/>
        <v>524.64999999999986</v>
      </c>
      <c r="AB11">
        <f t="shared" si="5"/>
        <v>9</v>
      </c>
      <c r="AC11">
        <f t="shared" si="6"/>
        <v>26</v>
      </c>
      <c r="AE11">
        <v>1</v>
      </c>
      <c r="AF11" t="str">
        <f>INDEX($X$3:$AA$36,MATCH($AE11,$AC$3:$AC$36,0),MATCH(AF$2,$X$2:$AA$2,0))</f>
        <v>Magic Sand</v>
      </c>
      <c r="AG11" s="13">
        <f t="shared" ref="AG11:AH15" si="8">INDEX($X$3:$AA$36,MATCH($AE11,$AC$3:$AC$36,0),MATCH(AG$2,$X$2:$AA$2,0))</f>
        <v>7243.47</v>
      </c>
      <c r="AH11" s="13">
        <f t="shared" si="8"/>
        <v>-3277.95</v>
      </c>
    </row>
    <row r="12" spans="1:34" x14ac:dyDescent="0.2">
      <c r="A12" s="9" t="s">
        <v>86</v>
      </c>
      <c r="B12">
        <f>IF(CurMonth=1,PreYear,CurYear)</f>
        <v>2021</v>
      </c>
      <c r="G12">
        <v>10</v>
      </c>
      <c r="H12" t="s">
        <v>96</v>
      </c>
      <c r="I12" s="13">
        <f>SUMIFS(Data[[Revenue]:[Revenue]],Data[[Region]:[Region]],Region,Data[[Month]:[Month]],'Data Prep'!$G12,Data[[Year]:[Year]],'Data Prep'!I$2)</f>
        <v>64882.340000000018</v>
      </c>
      <c r="J12" s="13" t="e">
        <f>IF(G12&gt;CurMonth,NA(),SUMIFS(Data[[Revenue]:[Revenue]],Data[[Region]:[Region]],Region,Data[[Month]:[Month]],'Data Prep'!$G12,Data[[Year]:[Year]],'Data Prep'!J$2))</f>
        <v>#N/A</v>
      </c>
      <c r="L12" t="s">
        <v>57</v>
      </c>
      <c r="M12" s="13">
        <f>SUMIFS(Data[Revenue],Data[Store Name],L12,Data[Year],CurYear,Data[Month],CurMonth)</f>
        <v>36101.759999999995</v>
      </c>
      <c r="N12" s="13">
        <f>SUMIFS(Data[Revenue],Data[Store Name],L12,Data[Month],PreMonth,Data[Year],PMYear)</f>
        <v>30245.009999999995</v>
      </c>
      <c r="O12" s="15">
        <f>M12/N12-1</f>
        <v>0.19364351342585118</v>
      </c>
      <c r="P12">
        <f t="shared" si="2"/>
        <v>10</v>
      </c>
      <c r="R12">
        <v>10</v>
      </c>
      <c r="S12" t="str">
        <f t="shared" si="3"/>
        <v>O'Hare</v>
      </c>
      <c r="T12" s="13">
        <f t="shared" si="3"/>
        <v>36101.759999999995</v>
      </c>
      <c r="U12" s="15">
        <f t="shared" si="3"/>
        <v>0.19364351342585118</v>
      </c>
      <c r="X12" t="s">
        <v>32</v>
      </c>
      <c r="Y12" s="13">
        <f>SUMIFS(Data[Revenue],Data[Region],Region,Data[Month],CurMonth,Data[Year],CurYear,Data[Product Name],'Data Prep'!X12)</f>
        <v>1582.56</v>
      </c>
      <c r="Z12" s="13">
        <f>SUMIFS(Data[Revenue],Data[Region],Region,Data[Month],PreMonth,Data[Year],PMYear,Data[Product Name],'Data Prep'!X12)</f>
        <v>1626.5200000000002</v>
      </c>
      <c r="AA12" s="2">
        <f t="shared" si="4"/>
        <v>-43.960000000000264</v>
      </c>
      <c r="AB12">
        <f t="shared" si="5"/>
        <v>17</v>
      </c>
      <c r="AC12">
        <f t="shared" si="6"/>
        <v>18</v>
      </c>
      <c r="AE12">
        <v>2</v>
      </c>
      <c r="AF12" t="str">
        <f>INDEX($X$3:$AA$36,MATCH($AE12,$AC$3:$AC$36,0),MATCH(AF$2,$X$2:$AA$2,0))</f>
        <v>Colorbuds</v>
      </c>
      <c r="AG12" s="13">
        <f t="shared" si="8"/>
        <v>4272.1500000000005</v>
      </c>
      <c r="AH12" s="13">
        <f t="shared" si="8"/>
        <v>-2338.4399999999996</v>
      </c>
    </row>
    <row r="13" spans="1:34" x14ac:dyDescent="0.2">
      <c r="G13">
        <v>11</v>
      </c>
      <c r="H13" t="s">
        <v>97</v>
      </c>
      <c r="I13" s="13">
        <f>SUMIFS(Data[[Revenue]:[Revenue]],Data[[Region]:[Region]],Region,Data[[Month]:[Month]],'Data Prep'!$G13,Data[[Year]:[Year]],'Data Prep'!I$2)</f>
        <v>73732.52</v>
      </c>
      <c r="J13" s="13" t="e">
        <f>IF(G13&gt;CurMonth,NA(),SUMIFS(Data[[Revenue]:[Revenue]],Data[[Region]:[Region]],Region,Data[[Month]:[Month]],'Data Prep'!$G13,Data[[Year]:[Year]],'Data Prep'!J$2))</f>
        <v>#N/A</v>
      </c>
      <c r="X13" t="s">
        <v>31</v>
      </c>
      <c r="Y13" s="13">
        <f>SUMIFS(Data[Revenue],Data[Region],Region,Data[Month],CurMonth,Data[Year],CurYear,Data[Product Name],'Data Prep'!X13)</f>
        <v>3098.45</v>
      </c>
      <c r="Z13" s="13">
        <f>SUMIFS(Data[Revenue],Data[Region],Region,Data[Month],PreMonth,Data[Year],PMYear,Data[Product Name],'Data Prep'!X13)</f>
        <v>1439.2799999999997</v>
      </c>
      <c r="AA13" s="2">
        <f t="shared" si="4"/>
        <v>1659.17</v>
      </c>
      <c r="AB13">
        <f t="shared" si="5"/>
        <v>5</v>
      </c>
      <c r="AC13">
        <f t="shared" si="6"/>
        <v>30</v>
      </c>
      <c r="AE13">
        <v>3</v>
      </c>
      <c r="AF13" t="str">
        <f t="shared" ref="AF12:AF15" si="9">INDEX($X$3:$AA$36,MATCH($AE13,$AC$3:$AC$36,0),MATCH(AF$2,$X$2:$AA$2,0))</f>
        <v>Action Figure</v>
      </c>
      <c r="AG13" s="13">
        <f t="shared" si="8"/>
        <v>3965.52</v>
      </c>
      <c r="AH13" s="13">
        <f t="shared" si="8"/>
        <v>-2334.5399999999995</v>
      </c>
    </row>
    <row r="14" spans="1:34" x14ac:dyDescent="0.2">
      <c r="G14">
        <v>12</v>
      </c>
      <c r="H14" t="s">
        <v>98</v>
      </c>
      <c r="I14" s="13">
        <f>SUMIFS(Data[[Revenue]:[Revenue]],Data[[Region]:[Region]],Region,Data[[Month]:[Month]],'Data Prep'!$G14,Data[[Year]:[Year]],'Data Prep'!I$2)</f>
        <v>93356.910000000018</v>
      </c>
      <c r="J14" s="13" t="e">
        <f>IF(G14&gt;CurMonth,NA(),SUMIFS(Data[[Revenue]:[Revenue]],Data[[Region]:[Region]],Region,Data[[Month]:[Month]],'Data Prep'!$G14,Data[[Year]:[Year]],'Data Prep'!J$2))</f>
        <v>#N/A</v>
      </c>
      <c r="X14" t="s">
        <v>15</v>
      </c>
      <c r="Y14" s="13">
        <f>SUMIFS(Data[Revenue],Data[Region],Region,Data[Month],CurMonth,Data[Year],CurYear,Data[Product Name],'Data Prep'!X14)</f>
        <v>19035.240000000002</v>
      </c>
      <c r="Z14" s="13">
        <f>SUMIFS(Data[Revenue],Data[Region],Region,Data[Month],PreMonth,Data[Year],PMYear,Data[Product Name],'Data Prep'!X14)</f>
        <v>14316.419999999998</v>
      </c>
      <c r="AA14" s="2">
        <f t="shared" si="4"/>
        <v>4718.8200000000033</v>
      </c>
      <c r="AB14">
        <f t="shared" si="5"/>
        <v>1</v>
      </c>
      <c r="AC14">
        <f t="shared" si="6"/>
        <v>34</v>
      </c>
      <c r="AE14">
        <v>4</v>
      </c>
      <c r="AF14" t="str">
        <f t="shared" si="9"/>
        <v>Toy Robot</v>
      </c>
      <c r="AG14" s="13">
        <f t="shared" si="8"/>
        <v>1039.5999999999999</v>
      </c>
      <c r="AH14" s="13">
        <f t="shared" si="8"/>
        <v>-1975.2400000000002</v>
      </c>
    </row>
    <row r="15" spans="1:34" x14ac:dyDescent="0.2">
      <c r="X15" t="s">
        <v>71</v>
      </c>
      <c r="Y15" s="13">
        <f>SUMIFS(Data[Revenue],Data[Region],Region,Data[Month],CurMonth,Data[Year],CurYear,Data[Product Name],'Data Prep'!X15)</f>
        <v>2507.4900000000002</v>
      </c>
      <c r="Z15" s="13">
        <f>SUMIFS(Data[Revenue],Data[Region],Region,Data[Month],PreMonth,Data[Year],PMYear,Data[Product Name],'Data Prep'!X15)</f>
        <v>3756.2400000000002</v>
      </c>
      <c r="AA15" s="2">
        <f t="shared" si="4"/>
        <v>-1248.75</v>
      </c>
      <c r="AB15">
        <f t="shared" si="5"/>
        <v>30</v>
      </c>
      <c r="AC15">
        <f t="shared" si="6"/>
        <v>5</v>
      </c>
      <c r="AE15">
        <v>5</v>
      </c>
      <c r="AF15" t="str">
        <f t="shared" si="9"/>
        <v>Mini Ping Pong</v>
      </c>
      <c r="AG15" s="13">
        <f t="shared" si="8"/>
        <v>2507.4900000000002</v>
      </c>
      <c r="AH15" s="13">
        <f t="shared" si="8"/>
        <v>-1248.75</v>
      </c>
    </row>
    <row r="16" spans="1:34" x14ac:dyDescent="0.2">
      <c r="X16" t="s">
        <v>19</v>
      </c>
      <c r="Y16" s="13">
        <f>SUMIFS(Data[Revenue],Data[Region],Region,Data[Month],CurMonth,Data[Year],CurYear,Data[Product Name],'Data Prep'!X16)</f>
        <v>0</v>
      </c>
      <c r="Z16" s="13">
        <f>SUMIFS(Data[Revenue],Data[Region],Region,Data[Month],PreMonth,Data[Year],PMYear,Data[Product Name],'Data Prep'!X16)</f>
        <v>159.91999999999999</v>
      </c>
      <c r="AA16" s="2">
        <f t="shared" si="4"/>
        <v>-159.91999999999999</v>
      </c>
      <c r="AB16">
        <f t="shared" si="5"/>
        <v>22</v>
      </c>
      <c r="AC16">
        <f t="shared" si="6"/>
        <v>13</v>
      </c>
    </row>
    <row r="17" spans="24:29" x14ac:dyDescent="0.2">
      <c r="X17" t="s">
        <v>27</v>
      </c>
      <c r="Y17" s="13">
        <f>SUMIFS(Data[Revenue],Data[Region],Region,Data[Month],CurMonth,Data[Year],CurYear,Data[Product Name],'Data Prep'!X17)</f>
        <v>2496.65</v>
      </c>
      <c r="Z17" s="13">
        <f>SUMIFS(Data[Revenue],Data[Region],Region,Data[Month],PreMonth,Data[Year],PMYear,Data[Product Name],'Data Prep'!X17)</f>
        <v>2439.84</v>
      </c>
      <c r="AA17" s="2">
        <f t="shared" si="4"/>
        <v>56.809999999999945</v>
      </c>
      <c r="AB17">
        <f t="shared" si="5"/>
        <v>16</v>
      </c>
      <c r="AC17">
        <f t="shared" si="6"/>
        <v>19</v>
      </c>
    </row>
    <row r="18" spans="24:29" x14ac:dyDescent="0.2">
      <c r="X18" t="s">
        <v>11</v>
      </c>
      <c r="Y18" s="13">
        <f>SUMIFS(Data[Revenue],Data[Region],Region,Data[Month],CurMonth,Data[Year],CurYear,Data[Product Name],'Data Prep'!X18)</f>
        <v>538.92000000000007</v>
      </c>
      <c r="Z18" s="13">
        <f>SUMIFS(Data[Revenue],Data[Region],Region,Data[Month],PreMonth,Data[Year],PMYear,Data[Product Name],'Data Prep'!X18)</f>
        <v>479.03999999999996</v>
      </c>
      <c r="AA18" s="2">
        <f t="shared" si="4"/>
        <v>59.880000000000109</v>
      </c>
      <c r="AB18">
        <f t="shared" si="5"/>
        <v>15</v>
      </c>
      <c r="AC18">
        <f t="shared" si="6"/>
        <v>20</v>
      </c>
    </row>
    <row r="19" spans="24:29" x14ac:dyDescent="0.2">
      <c r="X19" t="s">
        <v>26</v>
      </c>
      <c r="Y19" s="13">
        <f>SUMIFS(Data[Revenue],Data[Region],Region,Data[Month],CurMonth,Data[Year],CurYear,Data[Product Name],'Data Prep'!X19)</f>
        <v>5597.2</v>
      </c>
      <c r="Z19" s="13">
        <f>SUMIFS(Data[Revenue],Data[Region],Region,Data[Month],PreMonth,Data[Year],PMYear,Data[Product Name],'Data Prep'!X19)</f>
        <v>4637.6799999999994</v>
      </c>
      <c r="AA19" s="2">
        <f t="shared" si="4"/>
        <v>959.52000000000044</v>
      </c>
      <c r="AB19">
        <f t="shared" si="5"/>
        <v>8</v>
      </c>
      <c r="AC19">
        <f t="shared" si="6"/>
        <v>27</v>
      </c>
    </row>
    <row r="20" spans="24:29" x14ac:dyDescent="0.2">
      <c r="X20" t="s">
        <v>6</v>
      </c>
      <c r="Y20" s="13">
        <f>SUMIFS(Data[Revenue],Data[Region],Region,Data[Month],CurMonth,Data[Year],CurYear,Data[Product Name],'Data Prep'!X20)</f>
        <v>5061.3700000000008</v>
      </c>
      <c r="Z20" s="13">
        <f>SUMIFS(Data[Revenue],Data[Region],Region,Data[Month],PreMonth,Data[Year],PMYear,Data[Product Name],'Data Prep'!X20)</f>
        <v>3856.7100000000005</v>
      </c>
      <c r="AA20" s="2">
        <f t="shared" si="4"/>
        <v>1204.6600000000003</v>
      </c>
      <c r="AB20">
        <f t="shared" si="5"/>
        <v>6</v>
      </c>
      <c r="AC20">
        <f t="shared" si="6"/>
        <v>29</v>
      </c>
    </row>
    <row r="21" spans="24:29" x14ac:dyDescent="0.2">
      <c r="X21" t="s">
        <v>16</v>
      </c>
      <c r="Y21" s="13">
        <f>SUMIFS(Data[Revenue],Data[Region],Region,Data[Month],CurMonth,Data[Year],CurYear,Data[Product Name],'Data Prep'!X21)</f>
        <v>597.54</v>
      </c>
      <c r="Z21" s="13">
        <f>SUMIFS(Data[Revenue],Data[Region],Region,Data[Month],PreMonth,Data[Year],PMYear,Data[Product Name],'Data Prep'!X21)</f>
        <v>220.83</v>
      </c>
      <c r="AA21" s="2">
        <f t="shared" si="4"/>
        <v>376.70999999999992</v>
      </c>
      <c r="AB21">
        <f t="shared" si="5"/>
        <v>10</v>
      </c>
      <c r="AC21">
        <f t="shared" si="6"/>
        <v>25</v>
      </c>
    </row>
    <row r="22" spans="24:29" x14ac:dyDescent="0.2">
      <c r="X22" t="s">
        <v>23</v>
      </c>
      <c r="Y22" s="13">
        <f>SUMIFS(Data[Revenue],Data[Region],Region,Data[Month],CurMonth,Data[Year],CurYear,Data[Product Name],'Data Prep'!X22)</f>
        <v>1039.5999999999999</v>
      </c>
      <c r="Z22" s="13">
        <f>SUMIFS(Data[Revenue],Data[Region],Region,Data[Month],PreMonth,Data[Year],PMYear,Data[Product Name],'Data Prep'!X22)</f>
        <v>3014.84</v>
      </c>
      <c r="AA22" s="2">
        <f t="shared" si="4"/>
        <v>-1975.2400000000002</v>
      </c>
      <c r="AB22">
        <f t="shared" si="5"/>
        <v>31</v>
      </c>
      <c r="AC22">
        <f t="shared" si="6"/>
        <v>4</v>
      </c>
    </row>
    <row r="23" spans="24:29" x14ac:dyDescent="0.2">
      <c r="X23" t="s">
        <v>10</v>
      </c>
      <c r="Y23" s="13">
        <f>SUMIFS(Data[Revenue],Data[Region],Region,Data[Month],CurMonth,Data[Year],CurYear,Data[Product Name],'Data Prep'!X23)</f>
        <v>5617.19</v>
      </c>
      <c r="Z23" s="13">
        <f>SUMIFS(Data[Revenue],Data[Region],Region,Data[Month],PreMonth,Data[Year],PMYear,Data[Product Name],'Data Prep'!X23)</f>
        <v>3078.4599999999996</v>
      </c>
      <c r="AA23" s="2">
        <f t="shared" si="4"/>
        <v>2538.73</v>
      </c>
      <c r="AB23">
        <f t="shared" si="5"/>
        <v>3</v>
      </c>
      <c r="AC23">
        <f t="shared" si="6"/>
        <v>32</v>
      </c>
    </row>
    <row r="24" spans="24:29" x14ac:dyDescent="0.2">
      <c r="X24" t="s">
        <v>66</v>
      </c>
      <c r="Y24" s="13">
        <f>SUMIFS(Data[Revenue],Data[Region],Region,Data[Month],CurMonth,Data[Year],CurYear,Data[Product Name],'Data Prep'!X24)</f>
        <v>274.89</v>
      </c>
      <c r="Z24" s="13">
        <f>SUMIFS(Data[Revenue],Data[Region],Region,Data[Month],PreMonth,Data[Year],PMYear,Data[Product Name],'Data Prep'!X24)</f>
        <v>149.94</v>
      </c>
      <c r="AA24" s="2">
        <f t="shared" si="4"/>
        <v>124.94999999999999</v>
      </c>
      <c r="AB24">
        <f t="shared" si="5"/>
        <v>14</v>
      </c>
      <c r="AC24">
        <f t="shared" si="6"/>
        <v>21</v>
      </c>
    </row>
    <row r="25" spans="24:29" x14ac:dyDescent="0.2">
      <c r="X25" t="s">
        <v>29</v>
      </c>
      <c r="Y25" s="13">
        <f>SUMIFS(Data[Revenue],Data[Region],Region,Data[Month],CurMonth,Data[Year],CurYear,Data[Product Name],'Data Prep'!X25)</f>
        <v>135.83000000000001</v>
      </c>
      <c r="Z25" s="13">
        <f>SUMIFS(Data[Revenue],Data[Region],Region,Data[Month],PreMonth,Data[Year],PMYear,Data[Product Name],'Data Prep'!X25)</f>
        <v>351.56000000000006</v>
      </c>
      <c r="AA25" s="2">
        <f t="shared" si="4"/>
        <v>-215.73000000000005</v>
      </c>
      <c r="AB25">
        <f t="shared" si="5"/>
        <v>24</v>
      </c>
      <c r="AC25">
        <f t="shared" si="6"/>
        <v>11</v>
      </c>
    </row>
    <row r="26" spans="24:29" x14ac:dyDescent="0.2">
      <c r="X26" t="s">
        <v>34</v>
      </c>
      <c r="Y26" s="13">
        <f>SUMIFS(Data[Revenue],Data[Region],Region,Data[Month],CurMonth,Data[Year],CurYear,Data[Product Name],'Data Prep'!X26)</f>
        <v>3475.29</v>
      </c>
      <c r="Z26" s="13">
        <f>SUMIFS(Data[Revenue],Data[Region],Region,Data[Month],PreMonth,Data[Year],PMYear,Data[Product Name],'Data Prep'!X26)</f>
        <v>3910.2</v>
      </c>
      <c r="AA26" s="2">
        <f t="shared" si="4"/>
        <v>-434.90999999999985</v>
      </c>
      <c r="AB26">
        <f t="shared" si="5"/>
        <v>25</v>
      </c>
      <c r="AC26">
        <f t="shared" si="6"/>
        <v>10</v>
      </c>
    </row>
    <row r="27" spans="24:29" x14ac:dyDescent="0.2">
      <c r="X27" t="s">
        <v>70</v>
      </c>
      <c r="Y27" s="13">
        <f>SUMIFS(Data[Revenue],Data[Region],Region,Data[Month],CurMonth,Data[Year],CurYear,Data[Product Name],'Data Prep'!X27)</f>
        <v>1072.21</v>
      </c>
      <c r="Z27" s="13">
        <f>SUMIFS(Data[Revenue],Data[Region],Region,Data[Month],PreMonth,Data[Year],PMYear,Data[Product Name],'Data Prep'!X27)</f>
        <v>730.78</v>
      </c>
      <c r="AA27" s="2">
        <f t="shared" si="4"/>
        <v>341.43000000000006</v>
      </c>
      <c r="AB27">
        <f t="shared" si="5"/>
        <v>11</v>
      </c>
      <c r="AC27">
        <f t="shared" si="6"/>
        <v>24</v>
      </c>
    </row>
    <row r="28" spans="24:29" x14ac:dyDescent="0.2">
      <c r="X28" t="s">
        <v>67</v>
      </c>
      <c r="Y28" s="13">
        <f>SUMIFS(Data[Revenue],Data[Region],Region,Data[Month],CurMonth,Data[Year],CurYear,Data[Product Name],'Data Prep'!X28)</f>
        <v>569.62</v>
      </c>
      <c r="Z28" s="13">
        <f>SUMIFS(Data[Revenue],Data[Region],Region,Data[Month],PreMonth,Data[Year],PMYear,Data[Product Name],'Data Prep'!X28)</f>
        <v>689.54000000000008</v>
      </c>
      <c r="AA28" s="2">
        <f t="shared" si="4"/>
        <v>-119.92000000000007</v>
      </c>
      <c r="AB28">
        <f t="shared" si="5"/>
        <v>20</v>
      </c>
      <c r="AC28">
        <f t="shared" si="6"/>
        <v>15</v>
      </c>
    </row>
    <row r="29" spans="24:29" x14ac:dyDescent="0.2">
      <c r="X29" t="s">
        <v>37</v>
      </c>
      <c r="Y29" s="13">
        <f>SUMIFS(Data[Revenue],Data[Region],Region,Data[Month],CurMonth,Data[Year],CurYear,Data[Product Name],'Data Prep'!X29)</f>
        <v>399.84</v>
      </c>
      <c r="Z29" s="13">
        <f>SUMIFS(Data[Revenue],Data[Region],Region,Data[Month],PreMonth,Data[Year],PMYear,Data[Product Name],'Data Prep'!X29)</f>
        <v>549.78</v>
      </c>
      <c r="AA29" s="2">
        <f t="shared" si="4"/>
        <v>-149.94</v>
      </c>
      <c r="AB29">
        <f t="shared" si="5"/>
        <v>21</v>
      </c>
      <c r="AC29">
        <f t="shared" si="6"/>
        <v>14</v>
      </c>
    </row>
    <row r="30" spans="24:29" x14ac:dyDescent="0.2">
      <c r="X30" t="s">
        <v>38</v>
      </c>
      <c r="Y30" s="13">
        <f>SUMIFS(Data[Revenue],Data[Region],Region,Data[Month],CurMonth,Data[Year],CurYear,Data[Product Name],'Data Prep'!X30)</f>
        <v>619.38</v>
      </c>
      <c r="Z30" s="13">
        <f>SUMIFS(Data[Revenue],Data[Region],Region,Data[Month],PreMonth,Data[Year],PMYear,Data[Product Name],'Data Prep'!X30)</f>
        <v>729.27</v>
      </c>
      <c r="AA30" s="2">
        <f t="shared" si="4"/>
        <v>-109.88999999999999</v>
      </c>
      <c r="AB30">
        <f t="shared" si="5"/>
        <v>19</v>
      </c>
      <c r="AC30">
        <f t="shared" si="6"/>
        <v>16</v>
      </c>
    </row>
    <row r="31" spans="24:29" x14ac:dyDescent="0.2">
      <c r="X31" t="s">
        <v>39</v>
      </c>
      <c r="Y31" s="13">
        <f>SUMIFS(Data[Revenue],Data[Region],Region,Data[Month],CurMonth,Data[Year],CurYear,Data[Product Name],'Data Prep'!X31)</f>
        <v>1319.34</v>
      </c>
      <c r="Z31" s="13">
        <f>SUMIFS(Data[Revenue],Data[Region],Region,Data[Month],PreMonth,Data[Year],PMYear,Data[Product Name],'Data Prep'!X31)</f>
        <v>1839.08</v>
      </c>
      <c r="AA31" s="2">
        <f t="shared" si="4"/>
        <v>-519.74</v>
      </c>
      <c r="AB31">
        <f t="shared" si="5"/>
        <v>26</v>
      </c>
      <c r="AC31">
        <f t="shared" si="6"/>
        <v>9</v>
      </c>
    </row>
    <row r="32" spans="24:29" x14ac:dyDescent="0.2">
      <c r="X32" t="s">
        <v>68</v>
      </c>
      <c r="Y32" s="13">
        <f>SUMIFS(Data[Revenue],Data[Region],Region,Data[Month],CurMonth,Data[Year],CurYear,Data[Product Name],'Data Prep'!X32)</f>
        <v>2140.9799999999996</v>
      </c>
      <c r="Z32" s="13">
        <f>SUMIFS(Data[Revenue],Data[Region],Region,Data[Month],PreMonth,Data[Year],PMYear,Data[Product Name],'Data Prep'!X32)</f>
        <v>965.54</v>
      </c>
      <c r="AA32" s="2">
        <f t="shared" si="4"/>
        <v>1175.4399999999996</v>
      </c>
      <c r="AB32">
        <f t="shared" si="5"/>
        <v>7</v>
      </c>
      <c r="AC32">
        <f t="shared" si="6"/>
        <v>28</v>
      </c>
    </row>
    <row r="33" spans="24:29" x14ac:dyDescent="0.2">
      <c r="X33" t="s">
        <v>42</v>
      </c>
      <c r="Y33" s="13">
        <f>SUMIFS(Data[Revenue],Data[Region],Region,Data[Month],CurMonth,Data[Year],CurYear,Data[Product Name],'Data Prep'!X33)</f>
        <v>7243.47</v>
      </c>
      <c r="Z33" s="13">
        <f>SUMIFS(Data[Revenue],Data[Region],Region,Data[Month],PreMonth,Data[Year],PMYear,Data[Product Name],'Data Prep'!X33)</f>
        <v>10521.42</v>
      </c>
      <c r="AA33" s="2">
        <f t="shared" si="4"/>
        <v>-3277.95</v>
      </c>
      <c r="AB33">
        <f t="shared" si="5"/>
        <v>34</v>
      </c>
      <c r="AC33">
        <f t="shared" si="6"/>
        <v>1</v>
      </c>
    </row>
    <row r="34" spans="24:29" x14ac:dyDescent="0.2">
      <c r="X34" t="s">
        <v>41</v>
      </c>
      <c r="Y34" s="13">
        <f>SUMIFS(Data[Revenue],Data[Region],Region,Data[Month],CurMonth,Data[Year],CurYear,Data[Product Name],'Data Prep'!X34)</f>
        <v>1188.81</v>
      </c>
      <c r="Z34" s="13">
        <f>SUMIFS(Data[Revenue],Data[Region],Region,Data[Month],PreMonth,Data[Year],PMYear,Data[Product Name],'Data Prep'!X34)</f>
        <v>1398.6000000000001</v>
      </c>
      <c r="AA34" s="2">
        <f t="shared" si="4"/>
        <v>-209.79000000000019</v>
      </c>
      <c r="AB34">
        <f t="shared" si="5"/>
        <v>23</v>
      </c>
      <c r="AC34">
        <f t="shared" si="6"/>
        <v>12</v>
      </c>
    </row>
    <row r="35" spans="24:29" x14ac:dyDescent="0.2">
      <c r="X35" t="s">
        <v>43</v>
      </c>
      <c r="Y35" s="13">
        <f>SUMIFS(Data[Revenue],Data[Region],Region,Data[Month],CurMonth,Data[Year],CurYear,Data[Product Name],'Data Prep'!X35)</f>
        <v>4407.8999999999996</v>
      </c>
      <c r="Z35" s="13">
        <f>SUMIFS(Data[Revenue],Data[Region],Region,Data[Month],PreMonth,Data[Year],PMYear,Data[Product Name],'Data Prep'!X35)</f>
        <v>1511.28</v>
      </c>
      <c r="AA35" s="2">
        <f t="shared" si="4"/>
        <v>2896.62</v>
      </c>
      <c r="AB35">
        <f t="shared" si="5"/>
        <v>2</v>
      </c>
      <c r="AC35">
        <f t="shared" si="6"/>
        <v>33</v>
      </c>
    </row>
    <row r="36" spans="24:29" x14ac:dyDescent="0.2">
      <c r="X36" t="s">
        <v>69</v>
      </c>
      <c r="Y36" s="13">
        <f>SUMIFS(Data[Revenue],Data[Region],Region,Data[Month],CurMonth,Data[Year],CurYear,Data[Product Name],'Data Prep'!X36)</f>
        <v>815.31999999999994</v>
      </c>
      <c r="Z36" s="13">
        <f>SUMIFS(Data[Revenue],Data[Region],Region,Data[Month],PreMonth,Data[Year],PMYear,Data[Product Name],'Data Prep'!X36)</f>
        <v>1654.6200000000001</v>
      </c>
      <c r="AA36" s="2">
        <f t="shared" si="4"/>
        <v>-839.30000000000018</v>
      </c>
      <c r="AB36">
        <f t="shared" si="5"/>
        <v>29</v>
      </c>
      <c r="AC36">
        <f t="shared" si="6"/>
        <v>6</v>
      </c>
    </row>
  </sheetData>
  <sortState xmlns:xlrd2="http://schemas.microsoft.com/office/spreadsheetml/2017/richdata2" ref="L3:O12">
    <sortCondition ref="M2:M12"/>
  </sortState>
  <conditionalFormatting sqref="E5:E6">
    <cfRule type="cellIs" dxfId="1" priority="1" operator="lessThan">
      <formula>0</formula>
    </cfRule>
    <cfRule type="cellIs" dxfId="0" priority="2" operator="greaterThan">
      <formula>0</formula>
    </cfRule>
  </conditionalFormatting>
  <dataValidations count="1">
    <dataValidation type="list" allowBlank="1" showInputMessage="1" showErrorMessage="1" sqref="B3" xr:uid="{B1C79AD6-6342-D74C-B24C-D2C483493795}">
      <formula1>$A$3:$A$5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>
      <selection sqref="A1:J269"/>
    </sheetView>
  </sheetViews>
  <sheetFormatPr baseColWidth="10" defaultColWidth="8.83203125" defaultRowHeight="15" x14ac:dyDescent="0.2"/>
  <sheetData>
    <row r="1" spans="1:10" x14ac:dyDescent="0.2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baseColWidth="10" defaultColWidth="8.83203125" defaultRowHeight="15" x14ac:dyDescent="0.2"/>
  <sheetData>
    <row r="1" spans="1:10" x14ac:dyDescent="0.2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Data</vt:lpstr>
      <vt:lpstr>Data Prep</vt:lpstr>
      <vt:lpstr>New Data (Aug 2021)</vt:lpstr>
      <vt:lpstr>New Data (Sep 2021)</vt:lpstr>
      <vt:lpstr>CurMonth</vt:lpstr>
      <vt:lpstr>CurYear</vt:lpstr>
      <vt:lpstr>PMYear</vt:lpstr>
      <vt:lpstr>PreMonth</vt:lpstr>
      <vt:lpstr>PreYear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Jorge Soto</cp:lastModifiedBy>
  <dcterms:created xsi:type="dcterms:W3CDTF">2021-07-16T18:17:37Z</dcterms:created>
  <dcterms:modified xsi:type="dcterms:W3CDTF">2023-02-22T04:55:37Z</dcterms:modified>
</cp:coreProperties>
</file>