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8.xml" ContentType="application/vnd.openxmlformats-officedocument.drawing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9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0.xml" ContentType="application/vnd.openxmlformats-officedocument.drawing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1.xml" ContentType="application/vnd.openxmlformats-officedocument.drawing+xml"/>
  <Override PartName="/xl/charts/chart1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2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4D24D99F-94AE-0740-B55F-10DD9F732798}" xr6:coauthVersionLast="47" xr6:coauthVersionMax="47" xr10:uidLastSave="{00000000-0000-0000-0000-000000000000}"/>
  <bookViews>
    <workbookView xWindow="0" yWindow="500" windowWidth="28800" windowHeight="16520" firstSheet="51" activeTab="59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68" l="1"/>
  <c r="O14" i="62"/>
  <c r="O13" i="62"/>
  <c r="O12" i="62"/>
  <c r="O10" i="62"/>
  <c r="O10" i="65"/>
  <c r="O9" i="62"/>
  <c r="O9" i="65"/>
  <c r="O13" i="65" s="1"/>
  <c r="O14" i="65" s="1"/>
  <c r="O8" i="62"/>
  <c r="O8" i="61"/>
  <c r="P8" i="61"/>
  <c r="O7" i="62" a="1"/>
  <c r="O7" i="62" s="1"/>
  <c r="O7" i="61" a="1"/>
  <c r="O7" i="61" s="1"/>
  <c r="O6" i="62" a="1"/>
  <c r="O6" i="62" s="1"/>
  <c r="O6" i="61" a="1"/>
  <c r="O6" i="61" s="1"/>
  <c r="O12" i="65"/>
  <c r="O10" i="63"/>
  <c r="O9" i="63"/>
  <c r="Q7" i="59"/>
  <c r="N7" i="59"/>
  <c r="N6" i="59"/>
  <c r="K7" i="59"/>
  <c r="J7" i="59"/>
  <c r="L7" i="58"/>
  <c r="I7" i="58"/>
  <c r="I6" i="58"/>
  <c r="L7" i="56"/>
  <c r="K7" i="56"/>
  <c r="J7" i="56"/>
  <c r="I7" i="56"/>
  <c r="F6" i="55"/>
  <c r="U8" i="53"/>
  <c r="U7" i="53"/>
  <c r="U9" i="53"/>
  <c r="G10" i="53" a="1"/>
  <c r="G10" i="53" s="1"/>
  <c r="G11" i="53" s="1"/>
  <c r="F10" i="53" a="1"/>
  <c r="F10" i="53" s="1"/>
  <c r="F11" i="53" s="1"/>
  <c r="N8" i="49" a="1"/>
  <c r="N8" i="49" s="1"/>
  <c r="Q6" i="49" s="1"/>
  <c r="Q7" i="49" s="1"/>
  <c r="Q8" i="49" s="1"/>
  <c r="G9" i="53"/>
  <c r="F9" i="53"/>
  <c r="J6" i="53" s="1"/>
  <c r="G7" i="53"/>
  <c r="G8" i="53" s="1"/>
  <c r="F7" i="53"/>
  <c r="F8" i="53" s="1"/>
  <c r="R6" i="53"/>
  <c r="S8" i="52"/>
  <c r="S7" i="52"/>
  <c r="M6" i="52"/>
  <c r="H9" i="35"/>
  <c r="S6" i="52"/>
  <c r="H10" i="35"/>
  <c r="P6" i="51"/>
  <c r="P8" i="52"/>
  <c r="P7" i="52"/>
  <c r="P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7" i="51"/>
  <c r="P8" i="51" s="1"/>
  <c r="E12" i="51"/>
  <c r="E11" i="51"/>
  <c r="E8" i="51"/>
  <c r="E7" i="51"/>
  <c r="E6" i="51"/>
  <c r="N7" i="49"/>
  <c r="N6" i="49"/>
  <c r="P8" i="48"/>
  <c r="P6" i="48"/>
  <c r="P7" i="48"/>
  <c r="M8" i="48"/>
  <c r="M7" i="48"/>
  <c r="M6" i="48"/>
  <c r="P8" i="47"/>
  <c r="P7" i="46"/>
  <c r="P6" i="46"/>
  <c r="M8" i="46"/>
  <c r="M7" i="46"/>
  <c r="M6" i="46"/>
  <c r="M10" i="43"/>
  <c r="M9" i="43"/>
  <c r="F13" i="43"/>
  <c r="F12" i="43"/>
  <c r="F9" i="43"/>
  <c r="F8" i="43"/>
  <c r="F9" i="42"/>
  <c r="J6" i="42" s="1"/>
  <c r="F7" i="42"/>
  <c r="F8" i="42" s="1"/>
  <c r="M7" i="43"/>
  <c r="M8" i="43" s="1"/>
  <c r="G13" i="43"/>
  <c r="G9" i="43"/>
  <c r="G12" i="43"/>
  <c r="G8" i="43"/>
  <c r="G7" i="43"/>
  <c r="F7" i="43"/>
  <c r="G11" i="42"/>
  <c r="F11" i="42"/>
  <c r="M9" i="42" s="1"/>
  <c r="M10" i="42" s="1"/>
  <c r="N12" i="41"/>
  <c r="N11" i="41"/>
  <c r="N10" i="41"/>
  <c r="N9" i="41"/>
  <c r="M8" i="42"/>
  <c r="M7" i="42"/>
  <c r="G11" i="41"/>
  <c r="F10" i="42" a="1"/>
  <c r="F10" i="42" s="1"/>
  <c r="G10" i="42" a="1"/>
  <c r="G10" i="42" s="1"/>
  <c r="G10" i="41"/>
  <c r="K6" i="41"/>
  <c r="G9" i="42"/>
  <c r="G8" i="42"/>
  <c r="G7" i="42"/>
  <c r="N8" i="41"/>
  <c r="N7" i="41"/>
  <c r="H11" i="41"/>
  <c r="H10" i="41"/>
  <c r="H9" i="41"/>
  <c r="G9" i="41"/>
  <c r="H8" i="41"/>
  <c r="G8" i="41"/>
  <c r="H7" i="41"/>
  <c r="G7" i="41"/>
  <c r="N7" i="40"/>
  <c r="N6" i="40"/>
  <c r="K11" i="40"/>
  <c r="K10" i="40"/>
  <c r="K10" i="39"/>
  <c r="K11" i="39" s="1"/>
  <c r="K9" i="40"/>
  <c r="K8" i="40"/>
  <c r="H11" i="38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8" i="40" s="1"/>
  <c r="H6" i="40"/>
  <c r="K7" i="40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11" i="37"/>
  <c r="H10" i="37"/>
  <c r="E12" i="37"/>
  <c r="E11" i="37"/>
  <c r="E8" i="37"/>
  <c r="H7" i="38"/>
  <c r="H8" i="38" s="1"/>
  <c r="H9" i="38" s="1"/>
  <c r="E7" i="38"/>
  <c r="E6" i="38"/>
  <c r="H9" i="37"/>
  <c r="H8" i="37"/>
  <c r="H7" i="37"/>
  <c r="E7" i="37"/>
  <c r="E6" i="37"/>
  <c r="K7" i="36"/>
  <c r="K6" i="36"/>
  <c r="H8" i="36"/>
  <c r="H11" i="35"/>
  <c r="K6" i="35" s="1"/>
  <c r="H7" i="36"/>
  <c r="E8" i="36"/>
  <c r="E7" i="36"/>
  <c r="E6" i="36"/>
  <c r="K7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U6" i="53" l="1"/>
  <c r="J6" i="43"/>
  <c r="M11" i="42"/>
  <c r="M12" i="42"/>
  <c r="N6" i="39"/>
  <c r="N7" i="39"/>
  <c r="H7" i="40"/>
  <c r="K7" i="38"/>
  <c r="K6" i="38"/>
  <c r="E8" i="38"/>
  <c r="H10" i="38" s="1"/>
  <c r="E11" i="38"/>
  <c r="E12" i="38"/>
  <c r="K7" i="37"/>
  <c r="K6" i="37"/>
  <c r="K7" i="34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M11" i="43" l="1"/>
  <c r="P7" i="43" s="1"/>
  <c r="P7" i="42"/>
  <c r="P6" i="42"/>
  <c r="Q7" i="41"/>
  <c r="Q6" i="41"/>
  <c r="L12" i="66"/>
  <c r="L13" i="66" s="1"/>
  <c r="L14" i="66" s="1"/>
  <c r="P6" i="43" l="1"/>
  <c r="F6" i="63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8" i="65"/>
  <c r="O7" i="65" a="1"/>
  <c r="O7" i="65" s="1"/>
  <c r="L7" i="65"/>
  <c r="I7" i="65"/>
  <c r="O6" i="65" a="1"/>
  <c r="O6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<sst xmlns="http://schemas.openxmlformats.org/spreadsheetml/2006/main" count="2400" uniqueCount="367">
  <si>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</si>
  <si>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</si>
  <si>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</si>
  <si>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</si>
  <si>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</si>
  <si>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</si>
  <si>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</si>
  <si>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</si>
  <si>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</si>
  <si>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</si>
  <si>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</si>
  <si>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</si>
  <si>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</si>
  <si>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</si>
  <si>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</si>
  <si>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</si>
  <si>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</si>
  <si>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</si>
  <si>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</si>
  <si>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</si>
  <si>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</si>
  <si>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</si>
  <si>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</si>
  <si>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</si>
  <si>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</si>
  <si>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</si>
  <si>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</si>
  <si>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</si>
  <si>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</si>
  <si>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</si>
  <si>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</si>
  <si>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</si>
  <si>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</si>
  <si>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</si>
  <si>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</si>
  <si>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</si>
  <si>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</si>
  <si>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</si>
  <si>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</si>
  <si>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</si>
  <si>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</si>
  <si>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</si>
  <si>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</si>
  <si>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</si>
  <si>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</si>
  <si>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</si>
  <si>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</si>
  <si>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</si>
  <si>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</si>
  <si>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</si>
  <si>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</si>
  <si>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</si>
  <si>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</si>
  <si>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</si>
  <si>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</si>
  <si>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</si>
  <si>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</si>
  <si>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</si>
  <si>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</si>
  <si>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</si>
  <si>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</si>
  <si>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</si>
  <si>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</si>
  <si>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</si>
  <si>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</si>
  <si>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</si>
  <si>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</si>
  <si>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</si>
  <si>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</si>
  <si>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</si>
  <si>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</si>
  <si>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</si>
  <si>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</si>
  <si>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</si>
  <si>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</si>
  <si>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</si>
  <si>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</si>
  <si>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</si>
  <si>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</si>
  <si>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</si>
  <si>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</si>
  <si>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</si>
  <si>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</si>
  <si>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</si>
  <si>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</si>
  <si>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</si>
  <si>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</si>
  <si>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</si>
  <si>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</si>
  <si>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</si>
  <si>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</si>
  <si>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</si>
  <si>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</si>
  <si>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</si>
  <si>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</si>
  <si>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</si>
  <si>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</si>
  <si>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</si>
  <si>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</si>
  <si>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</si>
  <si>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</si>
  <si>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</si>
  <si>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</si>
  <si>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</si>
  <si>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</si>
  <si>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</si>
  <si>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</si>
  <si>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</si>
  <si>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</si>
  <si>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</si>
  <si>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</si>
  <si>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</si>
  <si>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</si>
  <si>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</si>
  <si>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</si>
  <si>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</si>
  <si>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</si>
  <si>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</si>
  <si>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</si>
  <si>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</si>
  <si>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</si>
  <si>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</si>
  <si>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</si>
  <si>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</si>
  <si>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</si>
  <si>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</si>
  <si>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</si>
  <si>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</si>
  <si>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</si>
  <si>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</si>
  <si>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</si>
  <si>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</si>
  <si>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</si>
  <si>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</si>
  <si>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</si>
  <si>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</si>
  <si>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</si>
  <si>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</si>
  <si>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</si>
  <si>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</si>
  <si>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</si>
  <si>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</si>
  <si>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</si>
  <si>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</si>
  <si>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</si>
  <si>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</si>
  <si>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</si>
  <si>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</si>
  <si>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</si>
  <si>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</si>
  <si>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</si>
  <si>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</si>
  <si>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</si>
  <si>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</si>
  <si>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</si>
  <si>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</si>
  <si>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</si>
  <si>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</si>
  <si>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</si>
  <si>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</si>
  <si>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</si>
  <si>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</si>
  <si>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</si>
  <si>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</si>
  <si>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</si>
  <si>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</si>
  <si>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</si>
  <si>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</si>
  <si>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</si>
  <si>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</si>
  <si>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</si>
  <si>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</si>
  <si>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</si>
  <si>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</si>
  <si>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</si>
  <si>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</si>
  <si>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</si>
  <si>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</si>
  <si>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</si>
  <si>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</si>
  <si>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</si>
  <si>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</si>
  <si>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</si>
  <si>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</si>
  <si>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</si>
  <si>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</si>
  <si>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</si>
  <si>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</si>
  <si>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</si>
  <si>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</si>
  <si>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</si>
  <si>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</si>
  <si>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</si>
  <si>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</si>
  <si>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</si>
  <si>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</si>
  <si>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</si>
  <si>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</si>
  <si>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</si>
  <si>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</si>
  <si>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</si>
  <si>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</si>
  <si>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</si>
  <si>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</si>
  <si>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</si>
  <si>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</si>
  <si>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</si>
  <si>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</si>
  <si>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</si>
  <si>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</si>
  <si>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</si>
  <si>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</si>
  <si>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</si>
  <si>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</si>
  <si>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</si>
  <si>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</si>
  <si>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</si>
  <si>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</si>
  <si>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</si>
  <si>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</si>
  <si>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</si>
  <si>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</si>
  <si>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</si>
  <si>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</si>
  <si>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</si>
  <si>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</si>
  <si>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</si>
  <si>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</si>
  <si>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</si>
  <si>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</si>
  <si>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</si>
  <si>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</si>
  <si>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</si>
  <si>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</si>
  <si>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</si>
  <si>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</si>
  <si>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</si>
  <si>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</si>
  <si>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</si>
  <si>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</si>
  <si>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</si>
  <si>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</si>
  <si>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</si>
  <si>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</si>
  <si>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</si>
  <si>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</si>
  <si>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</si>
  <si>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</si>
  <si>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</si>
  <si>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</si>
  <si>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</si>
  <si>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</si>
  <si>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</si>
  <si>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</si>
  <si>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</si>
  <si>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</si>
  <si>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</si>
  <si>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</si>
  <si>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</si>
  <si>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</si>
  <si>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</si>
  <si>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</si>
  <si>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</si>
  <si>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</si>
  <si>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</si>
  <si>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</si>
  <si>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</si>
  <si>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</si>
  <si>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</si>
  <si>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</si>
  <si>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</si>
  <si>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</si>
  <si>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</si>
  <si>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</si>
  <si>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</si>
  <si>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</si>
  <si>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</si>
  <si>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</si>
  <si>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</si>
  <si>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</si>
  <si>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</si>
  <si>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</si>
  <si>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</si>
  <si>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</si>
  <si>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</si>
  <si>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</si>
  <si>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</si>
  <si>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</si>
  <si>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</si>
  <si>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</si>
  <si>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</si>
  <si>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</si>
  <si>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</si>
  <si>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</si>
  <si>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</si>
  <si>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</si>
  <si>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</si>
  <si>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</si>
  <si>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</si>
  <si>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</si>
  <si>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</si>
  <si>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</si>
  <si>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</si>
  <si>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</si>
  <si>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</si>
  <si>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</si>
  <si>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</si>
  <si>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</si>
  <si>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</si>
  <si>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</si>
  <si>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</si>
  <si>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</si>
  <si>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</si>
  <si>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</si>
  <si>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</si>
  <si>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</si>
  <si>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</si>
  <si>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</si>
  <si>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</si>
  <si>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</si>
  <si>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</si>
  <si>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</si>
  <si>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</si>
  <si>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</si>
  <si>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</si>
  <si>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</si>
  <si>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</si>
  <si>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</si>
  <si>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</si>
  <si>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</si>
  <si>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</si>
  <si>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</si>
  <si>
    <t>&lt;&gt;</t>
  </si>
  <si>
    <t>Since p&gt;a , we don’t have sufficient evidence to prove that the average employability scores are any different 300---We can keep stating the same average in our communications, keeping in mind that there is a 10% chance that we're wrong!</t>
  </si>
  <si>
    <t>Since p&gt;a, we don’t have sufficient evidence to prove that the average MBA grades are any different than 80. ---- With the 20% significance level we should stick with the current curriculum!</t>
  </si>
  <si>
    <t>Since p&lt;a , we have sufficient evidence to prove that the average employability scores for placed graduates are greater than 300. ----- We should use this as a target, especially sincewe estimated that our program improves scores bt at least 41 points on average.</t>
  </si>
  <si>
    <t>We have sufficient evidence to prove that the proportion of placed graduates that earn at least $100k is greater than 50% ---- Lets get that article published ! (Just make sure that state that we used a significance level of 5% somewhere in the fine print)</t>
  </si>
  <si>
    <t>Since p&gt;a , we don’t have sufficient evidence to proce that the average improvement in employability scores is lower than 50. --- Lets keep using that number!</t>
  </si>
  <si>
    <t>Since p&gt;a we don’t have sufficient evidence to prove that graduates with previous work experience earn more money. ---- No need to filter our applicants!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</si>
  <si>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</si>
  <si>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</si>
  <si>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</si>
  <si>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</si>
  <si>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</si>
  <si>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</si>
  <si>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</si>
  <si>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</si>
  <si>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</si>
  <si>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</si>
  <si>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</si>
  <si>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</si>
  <si>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</si>
  <si>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</si>
  <si>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</si>
  <si>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</si>
  <si>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</si>
  <si>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</si>
  <si>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</si>
  <si>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</si>
  <si>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</si>
  <si>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</si>
  <si>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</si>
  <si>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</si>
  <si>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</si>
  <si>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</si>
  <si>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276</t>
  </si>
  <si>
    <t>Predicted Employability 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</si>
</sst>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  <numFmt numFmtId="173" formatCode="0.00000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3" fillId="5" borderId="2" xfId="0" applyFont="1" applyFill="1" applyBorder="1"/>
    <xf numFmtId="0" fontId="0" fillId="0" borderId="2" xfId="0" applyBorder="1"/>
    <xf numFmtId="0" fontId="0" fillId="0" borderId="0" xfId="0" pivotButton="1"/>
    <xf numFmtId="0" fontId="3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vertical="center"/>
    </xf>
    <xf numFmtId="0" fontId="7" fillId="2" borderId="1" xfId="2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6" fontId="0" fillId="0" borderId="0" xfId="0" applyNumberFormat="1" applyAlignment="1">
      <alignment horizontal="center"/>
    </xf>
    <xf numFmtId="0" fontId="6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7" fillId="8" borderId="1" xfId="2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vertical="center"/>
    </xf>
    <xf numFmtId="0" fontId="7" fillId="7" borderId="1" xfId="2" applyFill="1" applyBorder="1" applyAlignment="1">
      <alignment horizontal="center" vertical="center"/>
    </xf>
    <xf numFmtId="0" fontId="6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7" fillId="12" borderId="1" xfId="2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0" xfId="0" applyFont="1"/>
    <xf numFmtId="0" fontId="3" fillId="5" borderId="4" xfId="0" applyFont="1" applyFill="1" applyBorder="1"/>
    <xf numFmtId="0" fontId="3" fillId="5" borderId="3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3" fontId="0" fillId="0" borderId="0" xfId="0" applyNumberFormat="1" applyAlignment="1">
      <alignment horizontal="center"/>
    </xf>
    <xf numFmtId="164" fontId="3" fillId="14" borderId="1" xfId="0" applyNumberFormat="1" applyFont="1" applyFill="1" applyBorder="1" applyAlignment="1">
      <alignment vertical="center"/>
    </xf>
    <xf numFmtId="0" fontId="7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7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7" fillId="17" borderId="1" xfId="2" applyFill="1" applyBorder="1" applyAlignment="1">
      <alignment horizontal="center" vertical="center"/>
    </xf>
    <xf numFmtId="164" fontId="3" fillId="18" borderId="1" xfId="0" applyNumberFormat="1" applyFont="1" applyFill="1" applyBorder="1" applyAlignment="1">
      <alignment vertical="center"/>
    </xf>
    <xf numFmtId="0" fontId="7" fillId="18" borderId="1" xfId="2" applyFill="1" applyBorder="1" applyAlignment="1">
      <alignment horizontal="center" vertical="center"/>
    </xf>
    <xf numFmtId="0" fontId="17" fillId="0" borderId="0" xfId="0" applyFont="1" applyAlignment="1">
      <alignment horizontal="right"/>
    </xf>
    <xf numFmtId="10" fontId="0" fillId="0" borderId="2" xfId="1" applyNumberFormat="1" applyFont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3" xfId="0" applyFont="1" applyFill="1" applyBorder="1"/>
    <xf numFmtId="0" fontId="8" fillId="10" borderId="2" xfId="0" applyFont="1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9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5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5" fillId="0" borderId="0" xfId="0" applyFont="1"/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6" fillId="0" borderId="0" xfId="0" applyNumberFormat="1" applyFont="1" applyAlignment="1">
      <alignment horizontal="center"/>
    </xf>
    <xf numFmtId="3" fontId="18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3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/>
    </xf>
    <xf numFmtId="16" fontId="0" fillId="0" borderId="0" xfId="0" applyNumberFormat="1"/>
    <xf numFmtId="4" fontId="15" fillId="0" borderId="2" xfId="0" applyNumberFormat="1" applyFont="1" applyBorder="1" applyAlignment="1">
      <alignment horizontal="center"/>
    </xf>
    <xf numFmtId="0" fontId="3" fillId="0" borderId="0" xfId="0" applyFont="1"/>
    <xf numFmtId="170" fontId="0" fillId="0" borderId="0" xfId="0" applyNumberFormat="1"/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73" fontId="0" fillId="0" borderId="2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Continuous"/>
    </xf>
    <xf numFmtId="0" fontId="0" fillId="14" borderId="0" xfId="0" applyFill="1"/>
    <xf numFmtId="0" fontId="0" fillId="20" borderId="0" xfId="0" applyFill="1" applyAlignment="1">
      <alignment horizontal="right"/>
    </xf>
    <xf numFmtId="0" fontId="0" fillId="20" borderId="0" xfId="0" applyFill="1"/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4-EA45-806E-222E1373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607215"/>
        <c:axId val="857938127"/>
      </c:scatterChart>
      <c:valAx>
        <c:axId val="648607215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Undergrade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38127"/>
        <c:crosses val="autoZero"/>
        <c:crossBetween val="midCat"/>
      </c:valAx>
      <c:valAx>
        <c:axId val="857938127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E-614B-A08B-95E566028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607215"/>
        <c:axId val="857938127"/>
      </c:scatterChart>
      <c:valAx>
        <c:axId val="648607215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Undergrade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38127"/>
        <c:crosses val="autoZero"/>
        <c:crossBetween val="midCat"/>
      </c:valAx>
      <c:valAx>
        <c:axId val="857938127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Relationships'!$F$5</c:f>
              <c:strCache>
                <c:ptCount val="1"/>
                <c:pt idx="0">
                  <c:v>Annual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Relationships'!$C$6:$C$58</c:f>
              <c:numCache>
                <c:formatCode>General</c:formatCode>
                <c:ptCount val="53"/>
                <c:pt idx="0">
                  <c:v>90.2</c:v>
                </c:pt>
                <c:pt idx="1">
                  <c:v>68.7</c:v>
                </c:pt>
                <c:pt idx="2">
                  <c:v>83.3</c:v>
                </c:pt>
                <c:pt idx="3">
                  <c:v>88.7</c:v>
                </c:pt>
                <c:pt idx="4">
                  <c:v>75.400000000000006</c:v>
                </c:pt>
                <c:pt idx="5">
                  <c:v>82.1</c:v>
                </c:pt>
                <c:pt idx="6">
                  <c:v>66.900000000000006</c:v>
                </c:pt>
                <c:pt idx="7">
                  <c:v>76.8</c:v>
                </c:pt>
                <c:pt idx="8">
                  <c:v>72.3</c:v>
                </c:pt>
                <c:pt idx="9">
                  <c:v>72.400000000000006</c:v>
                </c:pt>
                <c:pt idx="10">
                  <c:v>81</c:v>
                </c:pt>
                <c:pt idx="11">
                  <c:v>77.8</c:v>
                </c:pt>
                <c:pt idx="12">
                  <c:v>79.099999999999994</c:v>
                </c:pt>
                <c:pt idx="13">
                  <c:v>77.8</c:v>
                </c:pt>
                <c:pt idx="14">
                  <c:v>75.099999999999994</c:v>
                </c:pt>
                <c:pt idx="15">
                  <c:v>70.8</c:v>
                </c:pt>
                <c:pt idx="16">
                  <c:v>79.599999999999994</c:v>
                </c:pt>
                <c:pt idx="17">
                  <c:v>85.9</c:v>
                </c:pt>
                <c:pt idx="18">
                  <c:v>82.3</c:v>
                </c:pt>
                <c:pt idx="19">
                  <c:v>79.2</c:v>
                </c:pt>
                <c:pt idx="20">
                  <c:v>83.4</c:v>
                </c:pt>
                <c:pt idx="21">
                  <c:v>85.2</c:v>
                </c:pt>
                <c:pt idx="22">
                  <c:v>80.2</c:v>
                </c:pt>
                <c:pt idx="23">
                  <c:v>87.2</c:v>
                </c:pt>
                <c:pt idx="24">
                  <c:v>73.5</c:v>
                </c:pt>
                <c:pt idx="25">
                  <c:v>74.599999999999994</c:v>
                </c:pt>
                <c:pt idx="26">
                  <c:v>75.099999999999994</c:v>
                </c:pt>
                <c:pt idx="27">
                  <c:v>74.900000000000006</c:v>
                </c:pt>
                <c:pt idx="28">
                  <c:v>84.6</c:v>
                </c:pt>
                <c:pt idx="29">
                  <c:v>81.7</c:v>
                </c:pt>
                <c:pt idx="30">
                  <c:v>81.400000000000006</c:v>
                </c:pt>
                <c:pt idx="31">
                  <c:v>83.8</c:v>
                </c:pt>
                <c:pt idx="32">
                  <c:v>88.5</c:v>
                </c:pt>
                <c:pt idx="33">
                  <c:v>84.9</c:v>
                </c:pt>
                <c:pt idx="34">
                  <c:v>84.3</c:v>
                </c:pt>
                <c:pt idx="35">
                  <c:v>78.2</c:v>
                </c:pt>
                <c:pt idx="36">
                  <c:v>74.8</c:v>
                </c:pt>
                <c:pt idx="37">
                  <c:v>78.5</c:v>
                </c:pt>
                <c:pt idx="38">
                  <c:v>82.7</c:v>
                </c:pt>
                <c:pt idx="39">
                  <c:v>84</c:v>
                </c:pt>
                <c:pt idx="40">
                  <c:v>78.2</c:v>
                </c:pt>
                <c:pt idx="41">
                  <c:v>79.7</c:v>
                </c:pt>
                <c:pt idx="42">
                  <c:v>78.5</c:v>
                </c:pt>
                <c:pt idx="43">
                  <c:v>72</c:v>
                </c:pt>
                <c:pt idx="44">
                  <c:v>80.7</c:v>
                </c:pt>
                <c:pt idx="45">
                  <c:v>87.4</c:v>
                </c:pt>
                <c:pt idx="46">
                  <c:v>77.400000000000006</c:v>
                </c:pt>
                <c:pt idx="47">
                  <c:v>84.7</c:v>
                </c:pt>
                <c:pt idx="48">
                  <c:v>78.8</c:v>
                </c:pt>
                <c:pt idx="49">
                  <c:v>88.8</c:v>
                </c:pt>
                <c:pt idx="50">
                  <c:v>77.900000000000006</c:v>
                </c:pt>
                <c:pt idx="51">
                  <c:v>86.1</c:v>
                </c:pt>
                <c:pt idx="52">
                  <c:v>83.1</c:v>
                </c:pt>
              </c:numCache>
            </c:numRef>
          </c:xVal>
          <c:yVal>
            <c:numRef>
              <c:f>'Linear Relationships'!$F$6:$F$58</c:f>
              <c:numCache>
                <c:formatCode>"$"#,##0_);[Red]\("$"#,##0\)</c:formatCode>
                <c:ptCount val="53"/>
                <c:pt idx="0">
                  <c:v>111000</c:v>
                </c:pt>
                <c:pt idx="1">
                  <c:v>107000</c:v>
                </c:pt>
                <c:pt idx="2">
                  <c:v>109000</c:v>
                </c:pt>
                <c:pt idx="3">
                  <c:v>148000</c:v>
                </c:pt>
                <c:pt idx="4">
                  <c:v>255500</c:v>
                </c:pt>
                <c:pt idx="5">
                  <c:v>103500</c:v>
                </c:pt>
                <c:pt idx="6">
                  <c:v>114500</c:v>
                </c:pt>
                <c:pt idx="7">
                  <c:v>124000</c:v>
                </c:pt>
                <c:pt idx="8">
                  <c:v>132500</c:v>
                </c:pt>
                <c:pt idx="9">
                  <c:v>99000</c:v>
                </c:pt>
                <c:pt idx="10">
                  <c:v>124000</c:v>
                </c:pt>
                <c:pt idx="11">
                  <c:v>82000</c:v>
                </c:pt>
                <c:pt idx="12">
                  <c:v>185000</c:v>
                </c:pt>
                <c:pt idx="13">
                  <c:v>89500</c:v>
                </c:pt>
                <c:pt idx="14">
                  <c:v>91500</c:v>
                </c:pt>
                <c:pt idx="15">
                  <c:v>113500</c:v>
                </c:pt>
                <c:pt idx="16">
                  <c:v>99000</c:v>
                </c:pt>
                <c:pt idx="17">
                  <c:v>75500</c:v>
                </c:pt>
                <c:pt idx="18">
                  <c:v>86000</c:v>
                </c:pt>
                <c:pt idx="19">
                  <c:v>156500</c:v>
                </c:pt>
                <c:pt idx="20">
                  <c:v>99500</c:v>
                </c:pt>
                <c:pt idx="21">
                  <c:v>148000</c:v>
                </c:pt>
                <c:pt idx="22">
                  <c:v>82000</c:v>
                </c:pt>
                <c:pt idx="23">
                  <c:v>103500</c:v>
                </c:pt>
                <c:pt idx="24">
                  <c:v>205500</c:v>
                </c:pt>
                <c:pt idx="25">
                  <c:v>103500</c:v>
                </c:pt>
                <c:pt idx="26">
                  <c:v>340000</c:v>
                </c:pt>
                <c:pt idx="27">
                  <c:v>103500</c:v>
                </c:pt>
                <c:pt idx="28">
                  <c:v>99500</c:v>
                </c:pt>
                <c:pt idx="29">
                  <c:v>103000</c:v>
                </c:pt>
                <c:pt idx="30">
                  <c:v>103500</c:v>
                </c:pt>
                <c:pt idx="31">
                  <c:v>165000</c:v>
                </c:pt>
                <c:pt idx="32">
                  <c:v>124500</c:v>
                </c:pt>
                <c:pt idx="33">
                  <c:v>103500</c:v>
                </c:pt>
                <c:pt idx="34">
                  <c:v>82500</c:v>
                </c:pt>
                <c:pt idx="35">
                  <c:v>93000</c:v>
                </c:pt>
                <c:pt idx="36">
                  <c:v>168000</c:v>
                </c:pt>
                <c:pt idx="37">
                  <c:v>96000</c:v>
                </c:pt>
                <c:pt idx="38">
                  <c:v>80000</c:v>
                </c:pt>
                <c:pt idx="39">
                  <c:v>124500</c:v>
                </c:pt>
                <c:pt idx="40">
                  <c:v>99000</c:v>
                </c:pt>
                <c:pt idx="41">
                  <c:v>124000</c:v>
                </c:pt>
                <c:pt idx="42">
                  <c:v>91500</c:v>
                </c:pt>
                <c:pt idx="43">
                  <c:v>144500</c:v>
                </c:pt>
                <c:pt idx="44">
                  <c:v>114500</c:v>
                </c:pt>
                <c:pt idx="45">
                  <c:v>104500</c:v>
                </c:pt>
                <c:pt idx="46">
                  <c:v>124000</c:v>
                </c:pt>
                <c:pt idx="47">
                  <c:v>113000</c:v>
                </c:pt>
                <c:pt idx="48">
                  <c:v>78000</c:v>
                </c:pt>
                <c:pt idx="49">
                  <c:v>109000</c:v>
                </c:pt>
                <c:pt idx="50">
                  <c:v>99500</c:v>
                </c:pt>
                <c:pt idx="51">
                  <c:v>107000</c:v>
                </c:pt>
                <c:pt idx="52">
                  <c:v>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1-974F-BF5A-7EF326F71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800671"/>
        <c:axId val="773646207"/>
      </c:scatterChart>
      <c:valAx>
        <c:axId val="837800671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46207"/>
        <c:crosses val="autoZero"/>
        <c:crossBetween val="midCat"/>
      </c:valAx>
      <c:valAx>
        <c:axId val="77364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0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804055902235462"/>
                  <c:y val="0.49034703995333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786986001749781"/>
                  <c:y val="-0.332062190142898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 Model'!$B$6:$B$100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'Linear Regression Model'!$G$6:$G$100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A-DA45-B726-CC1B4429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24335"/>
        <c:axId val="794726063"/>
      </c:scatterChart>
      <c:valAx>
        <c:axId val="794724335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26063"/>
        <c:crosses val="autoZero"/>
        <c:crossBetween val="midCat"/>
      </c:valAx>
      <c:valAx>
        <c:axId val="794726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Employability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2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ToolPak'!$C$7:$C$100</c:f>
              <c:numCache>
                <c:formatCode>General</c:formatCode>
                <c:ptCount val="94"/>
                <c:pt idx="0">
                  <c:v>410</c:v>
                </c:pt>
                <c:pt idx="1">
                  <c:v>119</c:v>
                </c:pt>
                <c:pt idx="2">
                  <c:v>334</c:v>
                </c:pt>
                <c:pt idx="3">
                  <c:v>252</c:v>
                </c:pt>
                <c:pt idx="4">
                  <c:v>209</c:v>
                </c:pt>
                <c:pt idx="5">
                  <c:v>462</c:v>
                </c:pt>
                <c:pt idx="6">
                  <c:v>342</c:v>
                </c:pt>
                <c:pt idx="7">
                  <c:v>347</c:v>
                </c:pt>
                <c:pt idx="8">
                  <c:v>313</c:v>
                </c:pt>
                <c:pt idx="9">
                  <c:v>232</c:v>
                </c:pt>
                <c:pt idx="10">
                  <c:v>163</c:v>
                </c:pt>
                <c:pt idx="11">
                  <c:v>119</c:v>
                </c:pt>
                <c:pt idx="12">
                  <c:v>304</c:v>
                </c:pt>
                <c:pt idx="13">
                  <c:v>211</c:v>
                </c:pt>
                <c:pt idx="14">
                  <c:v>286</c:v>
                </c:pt>
                <c:pt idx="15">
                  <c:v>122</c:v>
                </c:pt>
                <c:pt idx="16">
                  <c:v>443</c:v>
                </c:pt>
                <c:pt idx="17">
                  <c:v>366</c:v>
                </c:pt>
                <c:pt idx="18">
                  <c:v>244</c:v>
                </c:pt>
                <c:pt idx="19">
                  <c:v>241</c:v>
                </c:pt>
                <c:pt idx="20">
                  <c:v>237</c:v>
                </c:pt>
                <c:pt idx="21">
                  <c:v>122</c:v>
                </c:pt>
                <c:pt idx="22">
                  <c:v>129</c:v>
                </c:pt>
                <c:pt idx="23">
                  <c:v>236</c:v>
                </c:pt>
                <c:pt idx="24">
                  <c:v>251</c:v>
                </c:pt>
                <c:pt idx="25">
                  <c:v>283</c:v>
                </c:pt>
                <c:pt idx="26">
                  <c:v>225</c:v>
                </c:pt>
                <c:pt idx="27">
                  <c:v>102</c:v>
                </c:pt>
                <c:pt idx="28">
                  <c:v>180</c:v>
                </c:pt>
                <c:pt idx="29">
                  <c:v>247</c:v>
                </c:pt>
                <c:pt idx="30">
                  <c:v>343</c:v>
                </c:pt>
                <c:pt idx="31">
                  <c:v>283</c:v>
                </c:pt>
                <c:pt idx="32">
                  <c:v>253</c:v>
                </c:pt>
                <c:pt idx="33">
                  <c:v>263</c:v>
                </c:pt>
                <c:pt idx="34">
                  <c:v>291</c:v>
                </c:pt>
                <c:pt idx="35">
                  <c:v>368</c:v>
                </c:pt>
                <c:pt idx="36">
                  <c:v>206</c:v>
                </c:pt>
                <c:pt idx="37">
                  <c:v>231</c:v>
                </c:pt>
                <c:pt idx="38">
                  <c:v>389</c:v>
                </c:pt>
                <c:pt idx="39">
                  <c:v>396</c:v>
                </c:pt>
                <c:pt idx="40">
                  <c:v>339</c:v>
                </c:pt>
                <c:pt idx="41">
                  <c:v>286</c:v>
                </c:pt>
                <c:pt idx="42">
                  <c:v>146</c:v>
                </c:pt>
                <c:pt idx="43">
                  <c:v>315</c:v>
                </c:pt>
                <c:pt idx="44">
                  <c:v>183</c:v>
                </c:pt>
                <c:pt idx="45">
                  <c:v>481</c:v>
                </c:pt>
                <c:pt idx="46">
                  <c:v>349</c:v>
                </c:pt>
                <c:pt idx="47">
                  <c:v>225</c:v>
                </c:pt>
                <c:pt idx="48">
                  <c:v>217</c:v>
                </c:pt>
                <c:pt idx="49">
                  <c:v>353</c:v>
                </c:pt>
                <c:pt idx="50">
                  <c:v>314</c:v>
                </c:pt>
                <c:pt idx="51">
                  <c:v>247</c:v>
                </c:pt>
                <c:pt idx="52">
                  <c:v>410</c:v>
                </c:pt>
                <c:pt idx="53">
                  <c:v>395</c:v>
                </c:pt>
                <c:pt idx="54">
                  <c:v>416</c:v>
                </c:pt>
                <c:pt idx="55">
                  <c:v>342</c:v>
                </c:pt>
                <c:pt idx="56">
                  <c:v>446</c:v>
                </c:pt>
                <c:pt idx="57">
                  <c:v>477</c:v>
                </c:pt>
                <c:pt idx="58">
                  <c:v>444</c:v>
                </c:pt>
                <c:pt idx="59">
                  <c:v>351</c:v>
                </c:pt>
                <c:pt idx="60">
                  <c:v>165</c:v>
                </c:pt>
                <c:pt idx="61">
                  <c:v>317</c:v>
                </c:pt>
                <c:pt idx="62">
                  <c:v>250</c:v>
                </c:pt>
                <c:pt idx="63">
                  <c:v>217</c:v>
                </c:pt>
                <c:pt idx="64">
                  <c:v>138</c:v>
                </c:pt>
                <c:pt idx="65">
                  <c:v>302</c:v>
                </c:pt>
                <c:pt idx="66">
                  <c:v>311</c:v>
                </c:pt>
                <c:pt idx="67">
                  <c:v>373</c:v>
                </c:pt>
                <c:pt idx="68">
                  <c:v>196</c:v>
                </c:pt>
                <c:pt idx="69">
                  <c:v>306</c:v>
                </c:pt>
                <c:pt idx="70">
                  <c:v>302</c:v>
                </c:pt>
                <c:pt idx="71">
                  <c:v>278</c:v>
                </c:pt>
                <c:pt idx="72">
                  <c:v>429</c:v>
                </c:pt>
                <c:pt idx="73">
                  <c:v>338</c:v>
                </c:pt>
                <c:pt idx="74">
                  <c:v>261</c:v>
                </c:pt>
                <c:pt idx="75">
                  <c:v>256</c:v>
                </c:pt>
                <c:pt idx="76">
                  <c:v>183</c:v>
                </c:pt>
                <c:pt idx="77">
                  <c:v>274</c:v>
                </c:pt>
                <c:pt idx="78">
                  <c:v>182</c:v>
                </c:pt>
                <c:pt idx="79">
                  <c:v>183</c:v>
                </c:pt>
                <c:pt idx="80">
                  <c:v>309</c:v>
                </c:pt>
                <c:pt idx="81">
                  <c:v>178</c:v>
                </c:pt>
                <c:pt idx="82">
                  <c:v>458</c:v>
                </c:pt>
                <c:pt idx="83">
                  <c:v>234</c:v>
                </c:pt>
                <c:pt idx="84">
                  <c:v>306</c:v>
                </c:pt>
                <c:pt idx="85">
                  <c:v>400</c:v>
                </c:pt>
                <c:pt idx="86">
                  <c:v>337</c:v>
                </c:pt>
                <c:pt idx="87">
                  <c:v>325</c:v>
                </c:pt>
                <c:pt idx="88">
                  <c:v>329</c:v>
                </c:pt>
                <c:pt idx="89">
                  <c:v>369</c:v>
                </c:pt>
                <c:pt idx="90">
                  <c:v>457</c:v>
                </c:pt>
                <c:pt idx="91">
                  <c:v>421</c:v>
                </c:pt>
                <c:pt idx="92">
                  <c:v>282</c:v>
                </c:pt>
                <c:pt idx="93">
                  <c:v>256</c:v>
                </c:pt>
              </c:numCache>
            </c:numRef>
          </c:xVal>
          <c:yVal>
            <c:numRef>
              <c:f>'Analysis ToolPak'!$P$29:$P$122</c:f>
              <c:numCache>
                <c:formatCode>General</c:formatCode>
                <c:ptCount val="94"/>
                <c:pt idx="0">
                  <c:v>-68.762357616460577</c:v>
                </c:pt>
                <c:pt idx="1">
                  <c:v>-27.130699929935076</c:v>
                </c:pt>
                <c:pt idx="2">
                  <c:v>-5.30498560502906</c:v>
                </c:pt>
                <c:pt idx="3">
                  <c:v>-45.984282786827123</c:v>
                </c:pt>
                <c:pt idx="4">
                  <c:v>17.41652697004281</c:v>
                </c:pt>
                <c:pt idx="5">
                  <c:v>5.9640289335504804</c:v>
                </c:pt>
                <c:pt idx="6">
                  <c:v>3.7280319654259984</c:v>
                </c:pt>
                <c:pt idx="7">
                  <c:v>21.124242810886528</c:v>
                </c:pt>
                <c:pt idx="8">
                  <c:v>8.8176117904425837</c:v>
                </c:pt>
                <c:pt idx="9">
                  <c:v>2.1948768632060194</c:v>
                </c:pt>
                <c:pt idx="10">
                  <c:v>0.34101894278416012</c:v>
                </c:pt>
                <c:pt idx="11">
                  <c:v>-57.088209473131457</c:v>
                </c:pt>
                <c:pt idx="12">
                  <c:v>35.973226756369286</c:v>
                </c:pt>
                <c:pt idx="13">
                  <c:v>12.185403976857486</c:v>
                </c:pt>
                <c:pt idx="14">
                  <c:v>8.6760686222738173</c:v>
                </c:pt>
                <c:pt idx="15">
                  <c:v>16.156985317811817</c:v>
                </c:pt>
                <c:pt idx="16">
                  <c:v>-4.7718305028091095</c:v>
                </c:pt>
                <c:pt idx="17">
                  <c:v>38.058207669976468</c:v>
                </c:pt>
                <c:pt idx="18">
                  <c:v>-10.597544827715126</c:v>
                </c:pt>
                <c:pt idx="19">
                  <c:v>-37.356948948181241</c:v>
                </c:pt>
                <c:pt idx="20">
                  <c:v>7.1948768632060194</c:v>
                </c:pt>
                <c:pt idx="21">
                  <c:v>-21.03164721856993</c:v>
                </c:pt>
                <c:pt idx="22">
                  <c:v>-41.923121620856222</c:v>
                </c:pt>
                <c:pt idx="23">
                  <c:v>24.7891931313969</c:v>
                </c:pt>
                <c:pt idx="24">
                  <c:v>17.062806581385843</c:v>
                </c:pt>
                <c:pt idx="25">
                  <c:v>-1.5550543709115345</c:v>
                </c:pt>
                <c:pt idx="26">
                  <c:v>-6.871158277704069</c:v>
                </c:pt>
                <c:pt idx="27">
                  <c:v>-18.305260668558859</c:v>
                </c:pt>
                <c:pt idx="28">
                  <c:v>8.04386080868872</c:v>
                </c:pt>
                <c:pt idx="29">
                  <c:v>16.161859292750989</c:v>
                </c:pt>
                <c:pt idx="30">
                  <c:v>51.213822635903171</c:v>
                </c:pt>
                <c:pt idx="31">
                  <c:v>27.369437601829816</c:v>
                </c:pt>
                <c:pt idx="32">
                  <c:v>24.227894433661078</c:v>
                </c:pt>
                <c:pt idx="33">
                  <c:v>-25.687124652731711</c:v>
                </c:pt>
                <c:pt idx="34">
                  <c:v>26.072279467734404</c:v>
                </c:pt>
                <c:pt idx="35">
                  <c:v>27.661996824515882</c:v>
                </c:pt>
                <c:pt idx="36">
                  <c:v>-55.828667820900478</c:v>
                </c:pt>
                <c:pt idx="37">
                  <c:v>-26.696597539080244</c:v>
                </c:pt>
                <c:pt idx="38">
                  <c:v>-41.210531805073288</c:v>
                </c:pt>
                <c:pt idx="39">
                  <c:v>11.242241294948826</c:v>
                </c:pt>
                <c:pt idx="40">
                  <c:v>39.982699642717819</c:v>
                </c:pt>
                <c:pt idx="41">
                  <c:v>8.6760686222738173</c:v>
                </c:pt>
                <c:pt idx="42">
                  <c:v>-23.890104050401163</c:v>
                </c:pt>
                <c:pt idx="43">
                  <c:v>72.798666017745461</c:v>
                </c:pt>
                <c:pt idx="44">
                  <c:v>-20.979683875417777</c:v>
                </c:pt>
                <c:pt idx="45">
                  <c:v>23.931011363095422</c:v>
                </c:pt>
                <c:pt idx="46">
                  <c:v>-26.460600570955762</c:v>
                </c:pt>
                <c:pt idx="47">
                  <c:v>-3.7721055663389222</c:v>
                </c:pt>
                <c:pt idx="48">
                  <c:v>13.020316124582223</c:v>
                </c:pt>
                <c:pt idx="49">
                  <c:v>36.421400944981997</c:v>
                </c:pt>
                <c:pt idx="50">
                  <c:v>-4.6446341959281199</c:v>
                </c:pt>
                <c:pt idx="51">
                  <c:v>32.690140420031753</c:v>
                </c:pt>
                <c:pt idx="52">
                  <c:v>14.912065590398299</c:v>
                </c:pt>
                <c:pt idx="53">
                  <c:v>-7.3190574027869957</c:v>
                </c:pt>
                <c:pt idx="54">
                  <c:v>22.978100731308416</c:v>
                </c:pt>
                <c:pt idx="55">
                  <c:v>65.709086192728876</c:v>
                </c:pt>
                <c:pt idx="56">
                  <c:v>-18.30011163008993</c:v>
                </c:pt>
                <c:pt idx="57">
                  <c:v>21.997046504005539</c:v>
                </c:pt>
                <c:pt idx="58">
                  <c:v>15.855503335836772</c:v>
                </c:pt>
                <c:pt idx="59">
                  <c:v>45.784594219987525</c:v>
                </c:pt>
                <c:pt idx="60">
                  <c:v>-27.616490600412249</c:v>
                </c:pt>
                <c:pt idx="61">
                  <c:v>19.015717213172877</c:v>
                </c:pt>
                <c:pt idx="62">
                  <c:v>3.6665957359252559</c:v>
                </c:pt>
                <c:pt idx="63">
                  <c:v>-41.729615109535303</c:v>
                </c:pt>
                <c:pt idx="64">
                  <c:v>-14.32880535266537</c:v>
                </c:pt>
                <c:pt idx="65">
                  <c:v>13.312875347268289</c:v>
                </c:pt>
                <c:pt idx="66">
                  <c:v>-27.271968034574002</c:v>
                </c:pt>
                <c:pt idx="67">
                  <c:v>-20.021899268691584</c:v>
                </c:pt>
                <c:pt idx="68">
                  <c:v>-5.9136487345076603</c:v>
                </c:pt>
                <c:pt idx="69">
                  <c:v>-7.4795463436528848</c:v>
                </c:pt>
                <c:pt idx="70">
                  <c:v>-13.545581484562945</c:v>
                </c:pt>
                <c:pt idx="71">
                  <c:v>-21.017300357282181</c:v>
                </c:pt>
                <c:pt idx="72">
                  <c:v>-2.243549375528346</c:v>
                </c:pt>
                <c:pt idx="73">
                  <c:v>-14.734214020944705</c:v>
                </c:pt>
                <c:pt idx="74">
                  <c:v>-30.786177364096829</c:v>
                </c:pt>
                <c:pt idx="75">
                  <c:v>-3.7626326799903609</c:v>
                </c:pt>
                <c:pt idx="76">
                  <c:v>-24.078736586782895</c:v>
                </c:pt>
                <c:pt idx="77">
                  <c:v>7.0062443268242873</c:v>
                </c:pt>
                <c:pt idx="78">
                  <c:v>2.8127378155033966</c:v>
                </c:pt>
                <c:pt idx="79">
                  <c:v>15.175931090508925</c:v>
                </c:pt>
                <c:pt idx="80">
                  <c:v>23.411928058633407</c:v>
                </c:pt>
                <c:pt idx="81">
                  <c:v>-11.517437889047102</c:v>
                </c:pt>
                <c:pt idx="82">
                  <c:v>50.515854744937769</c:v>
                </c:pt>
                <c:pt idx="83">
                  <c:v>-28.861685391355536</c:v>
                </c:pt>
                <c:pt idx="84">
                  <c:v>31.775121333638936</c:v>
                </c:pt>
                <c:pt idx="85">
                  <c:v>88.586488797257232</c:v>
                </c:pt>
                <c:pt idx="86">
                  <c:v>9.0582076699764684</c:v>
                </c:pt>
                <c:pt idx="87">
                  <c:v>-8.1068801822987666</c:v>
                </c:pt>
                <c:pt idx="88">
                  <c:v>-45.427583000500704</c:v>
                </c:pt>
                <c:pt idx="89">
                  <c:v>-9.5596532823208804</c:v>
                </c:pt>
                <c:pt idx="90">
                  <c:v>-19.69632247555046</c:v>
                </c:pt>
                <c:pt idx="91">
                  <c:v>-0.94639124143293429</c:v>
                </c:pt>
                <c:pt idx="92">
                  <c:v>-48.007827470933648</c:v>
                </c:pt>
                <c:pt idx="93">
                  <c:v>-62.64463419592812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0-BD4E-A696-E962D9278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527392"/>
        <c:axId val="1065529072"/>
      </c:scatterChart>
      <c:valAx>
        <c:axId val="106552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5529072"/>
        <c:crosses val="autoZero"/>
        <c:crossBetween val="midCat"/>
      </c:valAx>
      <c:valAx>
        <c:axId val="10655290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65527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252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ToolPak'!$B$7:$B$100</c:f>
              <c:numCache>
                <c:formatCode>General</c:formatCode>
                <c:ptCount val="94"/>
                <c:pt idx="0">
                  <c:v>423</c:v>
                </c:pt>
                <c:pt idx="1">
                  <c:v>101</c:v>
                </c:pt>
                <c:pt idx="2">
                  <c:v>288</c:v>
                </c:pt>
                <c:pt idx="3">
                  <c:v>248</c:v>
                </c:pt>
                <c:pt idx="4">
                  <c:v>145</c:v>
                </c:pt>
                <c:pt idx="5">
                  <c:v>401</c:v>
                </c:pt>
                <c:pt idx="6">
                  <c:v>287</c:v>
                </c:pt>
                <c:pt idx="7">
                  <c:v>275</c:v>
                </c:pt>
                <c:pt idx="8">
                  <c:v>254</c:v>
                </c:pt>
                <c:pt idx="9">
                  <c:v>182</c:v>
                </c:pt>
                <c:pt idx="10">
                  <c:v>117</c:v>
                </c:pt>
                <c:pt idx="11">
                  <c:v>130</c:v>
                </c:pt>
                <c:pt idx="12">
                  <c:v>219</c:v>
                </c:pt>
                <c:pt idx="13">
                  <c:v>152</c:v>
                </c:pt>
                <c:pt idx="14">
                  <c:v>228</c:v>
                </c:pt>
                <c:pt idx="15">
                  <c:v>62</c:v>
                </c:pt>
                <c:pt idx="16">
                  <c:v>393</c:v>
                </c:pt>
                <c:pt idx="17">
                  <c:v>277</c:v>
                </c:pt>
                <c:pt idx="18">
                  <c:v>206</c:v>
                </c:pt>
                <c:pt idx="19">
                  <c:v>229</c:v>
                </c:pt>
                <c:pt idx="20">
                  <c:v>182</c:v>
                </c:pt>
                <c:pt idx="21">
                  <c:v>98</c:v>
                </c:pt>
                <c:pt idx="22">
                  <c:v>125</c:v>
                </c:pt>
                <c:pt idx="23">
                  <c:v>164</c:v>
                </c:pt>
                <c:pt idx="24">
                  <c:v>186</c:v>
                </c:pt>
                <c:pt idx="25">
                  <c:v>235</c:v>
                </c:pt>
                <c:pt idx="26">
                  <c:v>184</c:v>
                </c:pt>
                <c:pt idx="27">
                  <c:v>76</c:v>
                </c:pt>
                <c:pt idx="28">
                  <c:v>126</c:v>
                </c:pt>
                <c:pt idx="29">
                  <c:v>183</c:v>
                </c:pt>
                <c:pt idx="30">
                  <c:v>242</c:v>
                </c:pt>
                <c:pt idx="31">
                  <c:v>207</c:v>
                </c:pt>
                <c:pt idx="32">
                  <c:v>181</c:v>
                </c:pt>
                <c:pt idx="33">
                  <c:v>239</c:v>
                </c:pt>
                <c:pt idx="34">
                  <c:v>216</c:v>
                </c:pt>
                <c:pt idx="35">
                  <c:v>289</c:v>
                </c:pt>
                <c:pt idx="36">
                  <c:v>213</c:v>
                </c:pt>
                <c:pt idx="37">
                  <c:v>209</c:v>
                </c:pt>
                <c:pt idx="38">
                  <c:v>376</c:v>
                </c:pt>
                <c:pt idx="39">
                  <c:v>332</c:v>
                </c:pt>
                <c:pt idx="40">
                  <c:v>249</c:v>
                </c:pt>
                <c:pt idx="41">
                  <c:v>228</c:v>
                </c:pt>
                <c:pt idx="42">
                  <c:v>124</c:v>
                </c:pt>
                <c:pt idx="43">
                  <c:v>194</c:v>
                </c:pt>
                <c:pt idx="44">
                  <c:v>157</c:v>
                </c:pt>
                <c:pt idx="45">
                  <c:v>402</c:v>
                </c:pt>
                <c:pt idx="46">
                  <c:v>323</c:v>
                </c:pt>
                <c:pt idx="47">
                  <c:v>181</c:v>
                </c:pt>
                <c:pt idx="48">
                  <c:v>157</c:v>
                </c:pt>
                <c:pt idx="49">
                  <c:v>266</c:v>
                </c:pt>
                <c:pt idx="50">
                  <c:v>268</c:v>
                </c:pt>
                <c:pt idx="51">
                  <c:v>167</c:v>
                </c:pt>
                <c:pt idx="52">
                  <c:v>342</c:v>
                </c:pt>
                <c:pt idx="53">
                  <c:v>349</c:v>
                </c:pt>
                <c:pt idx="54">
                  <c:v>340</c:v>
                </c:pt>
                <c:pt idx="55">
                  <c:v>227</c:v>
                </c:pt>
                <c:pt idx="56">
                  <c:v>409</c:v>
                </c:pt>
                <c:pt idx="57">
                  <c:v>400</c:v>
                </c:pt>
                <c:pt idx="58">
                  <c:v>374</c:v>
                </c:pt>
                <c:pt idx="59">
                  <c:v>255</c:v>
                </c:pt>
                <c:pt idx="60">
                  <c:v>146</c:v>
                </c:pt>
                <c:pt idx="61">
                  <c:v>248</c:v>
                </c:pt>
                <c:pt idx="62">
                  <c:v>198</c:v>
                </c:pt>
                <c:pt idx="63">
                  <c:v>210</c:v>
                </c:pt>
                <c:pt idx="64">
                  <c:v>107</c:v>
                </c:pt>
                <c:pt idx="65">
                  <c:v>239</c:v>
                </c:pt>
                <c:pt idx="66">
                  <c:v>287</c:v>
                </c:pt>
                <c:pt idx="67">
                  <c:v>340</c:v>
                </c:pt>
                <c:pt idx="68">
                  <c:v>155</c:v>
                </c:pt>
                <c:pt idx="69">
                  <c:v>263</c:v>
                </c:pt>
                <c:pt idx="70">
                  <c:v>265</c:v>
                </c:pt>
                <c:pt idx="71">
                  <c:v>249</c:v>
                </c:pt>
                <c:pt idx="72">
                  <c:v>377</c:v>
                </c:pt>
                <c:pt idx="73">
                  <c:v>301</c:v>
                </c:pt>
                <c:pt idx="74">
                  <c:v>242</c:v>
                </c:pt>
                <c:pt idx="75">
                  <c:v>211</c:v>
                </c:pt>
                <c:pt idx="76">
                  <c:v>160</c:v>
                </c:pt>
                <c:pt idx="77">
                  <c:v>218</c:v>
                </c:pt>
                <c:pt idx="78">
                  <c:v>133</c:v>
                </c:pt>
                <c:pt idx="79">
                  <c:v>122</c:v>
                </c:pt>
                <c:pt idx="80">
                  <c:v>236</c:v>
                </c:pt>
                <c:pt idx="81">
                  <c:v>143</c:v>
                </c:pt>
                <c:pt idx="82">
                  <c:v>354</c:v>
                </c:pt>
                <c:pt idx="83">
                  <c:v>214</c:v>
                </c:pt>
                <c:pt idx="84">
                  <c:v>225</c:v>
                </c:pt>
                <c:pt idx="85">
                  <c:v>261</c:v>
                </c:pt>
                <c:pt idx="86">
                  <c:v>277</c:v>
                </c:pt>
                <c:pt idx="87">
                  <c:v>282</c:v>
                </c:pt>
                <c:pt idx="88">
                  <c:v>322</c:v>
                </c:pt>
                <c:pt idx="89">
                  <c:v>326</c:v>
                </c:pt>
                <c:pt idx="90">
                  <c:v>421</c:v>
                </c:pt>
                <c:pt idx="91">
                  <c:v>368</c:v>
                </c:pt>
                <c:pt idx="92">
                  <c:v>279</c:v>
                </c:pt>
                <c:pt idx="93">
                  <c:v>268</c:v>
                </c:pt>
              </c:numCache>
            </c:numRef>
          </c:xVal>
          <c:yVal>
            <c:numRef>
              <c:f>'Analysis ToolPak'!$P$29:$P$122</c:f>
              <c:numCache>
                <c:formatCode>General</c:formatCode>
                <c:ptCount val="94"/>
                <c:pt idx="0">
                  <c:v>-68.762357616460577</c:v>
                </c:pt>
                <c:pt idx="1">
                  <c:v>-27.130699929935076</c:v>
                </c:pt>
                <c:pt idx="2">
                  <c:v>-5.30498560502906</c:v>
                </c:pt>
                <c:pt idx="3">
                  <c:v>-45.984282786827123</c:v>
                </c:pt>
                <c:pt idx="4">
                  <c:v>17.41652697004281</c:v>
                </c:pt>
                <c:pt idx="5">
                  <c:v>5.9640289335504804</c:v>
                </c:pt>
                <c:pt idx="6">
                  <c:v>3.7280319654259984</c:v>
                </c:pt>
                <c:pt idx="7">
                  <c:v>21.124242810886528</c:v>
                </c:pt>
                <c:pt idx="8">
                  <c:v>8.8176117904425837</c:v>
                </c:pt>
                <c:pt idx="9">
                  <c:v>2.1948768632060194</c:v>
                </c:pt>
                <c:pt idx="10">
                  <c:v>0.34101894278416012</c:v>
                </c:pt>
                <c:pt idx="11">
                  <c:v>-57.088209473131457</c:v>
                </c:pt>
                <c:pt idx="12">
                  <c:v>35.973226756369286</c:v>
                </c:pt>
                <c:pt idx="13">
                  <c:v>12.185403976857486</c:v>
                </c:pt>
                <c:pt idx="14">
                  <c:v>8.6760686222738173</c:v>
                </c:pt>
                <c:pt idx="15">
                  <c:v>16.156985317811817</c:v>
                </c:pt>
                <c:pt idx="16">
                  <c:v>-4.7718305028091095</c:v>
                </c:pt>
                <c:pt idx="17">
                  <c:v>38.058207669976468</c:v>
                </c:pt>
                <c:pt idx="18">
                  <c:v>-10.597544827715126</c:v>
                </c:pt>
                <c:pt idx="19">
                  <c:v>-37.356948948181241</c:v>
                </c:pt>
                <c:pt idx="20">
                  <c:v>7.1948768632060194</c:v>
                </c:pt>
                <c:pt idx="21">
                  <c:v>-21.03164721856993</c:v>
                </c:pt>
                <c:pt idx="22">
                  <c:v>-41.923121620856222</c:v>
                </c:pt>
                <c:pt idx="23">
                  <c:v>24.7891931313969</c:v>
                </c:pt>
                <c:pt idx="24">
                  <c:v>17.062806581385843</c:v>
                </c:pt>
                <c:pt idx="25">
                  <c:v>-1.5550543709115345</c:v>
                </c:pt>
                <c:pt idx="26">
                  <c:v>-6.871158277704069</c:v>
                </c:pt>
                <c:pt idx="27">
                  <c:v>-18.305260668558859</c:v>
                </c:pt>
                <c:pt idx="28">
                  <c:v>8.04386080868872</c:v>
                </c:pt>
                <c:pt idx="29">
                  <c:v>16.161859292750989</c:v>
                </c:pt>
                <c:pt idx="30">
                  <c:v>51.213822635903171</c:v>
                </c:pt>
                <c:pt idx="31">
                  <c:v>27.369437601829816</c:v>
                </c:pt>
                <c:pt idx="32">
                  <c:v>24.227894433661078</c:v>
                </c:pt>
                <c:pt idx="33">
                  <c:v>-25.687124652731711</c:v>
                </c:pt>
                <c:pt idx="34">
                  <c:v>26.072279467734404</c:v>
                </c:pt>
                <c:pt idx="35">
                  <c:v>27.661996824515882</c:v>
                </c:pt>
                <c:pt idx="36">
                  <c:v>-55.828667820900478</c:v>
                </c:pt>
                <c:pt idx="37">
                  <c:v>-26.696597539080244</c:v>
                </c:pt>
                <c:pt idx="38">
                  <c:v>-41.210531805073288</c:v>
                </c:pt>
                <c:pt idx="39">
                  <c:v>11.242241294948826</c:v>
                </c:pt>
                <c:pt idx="40">
                  <c:v>39.982699642717819</c:v>
                </c:pt>
                <c:pt idx="41">
                  <c:v>8.6760686222738173</c:v>
                </c:pt>
                <c:pt idx="42">
                  <c:v>-23.890104050401163</c:v>
                </c:pt>
                <c:pt idx="43">
                  <c:v>72.798666017745461</c:v>
                </c:pt>
                <c:pt idx="44">
                  <c:v>-20.979683875417777</c:v>
                </c:pt>
                <c:pt idx="45">
                  <c:v>23.931011363095422</c:v>
                </c:pt>
                <c:pt idx="46">
                  <c:v>-26.460600570955762</c:v>
                </c:pt>
                <c:pt idx="47">
                  <c:v>-3.7721055663389222</c:v>
                </c:pt>
                <c:pt idx="48">
                  <c:v>13.020316124582223</c:v>
                </c:pt>
                <c:pt idx="49">
                  <c:v>36.421400944981997</c:v>
                </c:pt>
                <c:pt idx="50">
                  <c:v>-4.6446341959281199</c:v>
                </c:pt>
                <c:pt idx="51">
                  <c:v>32.690140420031753</c:v>
                </c:pt>
                <c:pt idx="52">
                  <c:v>14.912065590398299</c:v>
                </c:pt>
                <c:pt idx="53">
                  <c:v>-7.3190574027869957</c:v>
                </c:pt>
                <c:pt idx="54">
                  <c:v>22.978100731308416</c:v>
                </c:pt>
                <c:pt idx="55">
                  <c:v>65.709086192728876</c:v>
                </c:pt>
                <c:pt idx="56">
                  <c:v>-18.30011163008993</c:v>
                </c:pt>
                <c:pt idx="57">
                  <c:v>21.997046504005539</c:v>
                </c:pt>
                <c:pt idx="58">
                  <c:v>15.855503335836772</c:v>
                </c:pt>
                <c:pt idx="59">
                  <c:v>45.784594219987525</c:v>
                </c:pt>
                <c:pt idx="60">
                  <c:v>-27.616490600412249</c:v>
                </c:pt>
                <c:pt idx="61">
                  <c:v>19.015717213172877</c:v>
                </c:pt>
                <c:pt idx="62">
                  <c:v>3.6665957359252559</c:v>
                </c:pt>
                <c:pt idx="63">
                  <c:v>-41.729615109535303</c:v>
                </c:pt>
                <c:pt idx="64">
                  <c:v>-14.32880535266537</c:v>
                </c:pt>
                <c:pt idx="65">
                  <c:v>13.312875347268289</c:v>
                </c:pt>
                <c:pt idx="66">
                  <c:v>-27.271968034574002</c:v>
                </c:pt>
                <c:pt idx="67">
                  <c:v>-20.021899268691584</c:v>
                </c:pt>
                <c:pt idx="68">
                  <c:v>-5.9136487345076603</c:v>
                </c:pt>
                <c:pt idx="69">
                  <c:v>-7.4795463436528848</c:v>
                </c:pt>
                <c:pt idx="70">
                  <c:v>-13.545581484562945</c:v>
                </c:pt>
                <c:pt idx="71">
                  <c:v>-21.017300357282181</c:v>
                </c:pt>
                <c:pt idx="72">
                  <c:v>-2.243549375528346</c:v>
                </c:pt>
                <c:pt idx="73">
                  <c:v>-14.734214020944705</c:v>
                </c:pt>
                <c:pt idx="74">
                  <c:v>-30.786177364096829</c:v>
                </c:pt>
                <c:pt idx="75">
                  <c:v>-3.7626326799903609</c:v>
                </c:pt>
                <c:pt idx="76">
                  <c:v>-24.078736586782895</c:v>
                </c:pt>
                <c:pt idx="77">
                  <c:v>7.0062443268242873</c:v>
                </c:pt>
                <c:pt idx="78">
                  <c:v>2.8127378155033966</c:v>
                </c:pt>
                <c:pt idx="79">
                  <c:v>15.175931090508925</c:v>
                </c:pt>
                <c:pt idx="80">
                  <c:v>23.411928058633407</c:v>
                </c:pt>
                <c:pt idx="81">
                  <c:v>-11.517437889047102</c:v>
                </c:pt>
                <c:pt idx="82">
                  <c:v>50.515854744937769</c:v>
                </c:pt>
                <c:pt idx="83">
                  <c:v>-28.861685391355536</c:v>
                </c:pt>
                <c:pt idx="84">
                  <c:v>31.775121333638936</c:v>
                </c:pt>
                <c:pt idx="85">
                  <c:v>88.586488797257232</c:v>
                </c:pt>
                <c:pt idx="86">
                  <c:v>9.0582076699764684</c:v>
                </c:pt>
                <c:pt idx="87">
                  <c:v>-8.1068801822987666</c:v>
                </c:pt>
                <c:pt idx="88">
                  <c:v>-45.427583000500704</c:v>
                </c:pt>
                <c:pt idx="89">
                  <c:v>-9.5596532823208804</c:v>
                </c:pt>
                <c:pt idx="90">
                  <c:v>-19.69632247555046</c:v>
                </c:pt>
                <c:pt idx="91">
                  <c:v>-0.94639124143293429</c:v>
                </c:pt>
                <c:pt idx="92">
                  <c:v>-48.007827470933648</c:v>
                </c:pt>
                <c:pt idx="93">
                  <c:v>-62.64463419592812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8D-B34C-A230-3E39938FE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832544"/>
        <c:axId val="1047935056"/>
      </c:scatterChart>
      <c:valAx>
        <c:axId val="100183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252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935056"/>
        <c:crosses val="autoZero"/>
        <c:crossBetween val="midCat"/>
      </c:valAx>
      <c:valAx>
        <c:axId val="1047935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1832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Undergrad Grade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'Multiple Linear Regression'!$J$30:$J$124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0-CE45-8C7A-B8C9D2C95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138768"/>
        <c:axId val="1008283152"/>
      </c:scatterChart>
      <c:valAx>
        <c:axId val="100813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Undergrad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8283152"/>
        <c:crosses val="autoZero"/>
        <c:crossBetween val="midCat"/>
      </c:valAx>
      <c:valAx>
        <c:axId val="100828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81387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Regression'!$C$6:$C$100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'Multiple Linear Regression'!$J$30:$J$124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7-1A43-95DF-2135C0A11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656896"/>
        <c:axId val="1066660544"/>
      </c:scatterChart>
      <c:valAx>
        <c:axId val="106665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6660544"/>
        <c:crosses val="autoZero"/>
        <c:crossBetween val="midCat"/>
      </c:valAx>
      <c:valAx>
        <c:axId val="106666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6656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1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13.xml"/><Relationship Id="rId4" Type="http://schemas.openxmlformats.org/officeDocument/2006/relationships/image" Target="../media/image18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1817561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20</xdr:col>
      <xdr:colOff>901700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615950</xdr:colOff>
      <xdr:row>5</xdr:row>
      <xdr:rowOff>12700</xdr:rowOff>
    </xdr:from>
    <xdr:to>
      <xdr:col>10</xdr:col>
      <xdr:colOff>476250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E3E28-DC49-3425-84DC-BCF9F7220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7</xdr:row>
      <xdr:rowOff>76200</xdr:rowOff>
    </xdr:from>
    <xdr:to>
      <xdr:col>9</xdr:col>
      <xdr:colOff>495300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D21D2-A7DB-9F44-BCCB-1C0AF0C5B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9</xdr:row>
      <xdr:rowOff>0</xdr:rowOff>
    </xdr:from>
    <xdr:to>
      <xdr:col>12</xdr:col>
      <xdr:colOff>38100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B67BC4-8108-A65B-78BB-67D39D1BE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114300</xdr:rowOff>
    </xdr:from>
    <xdr:to>
      <xdr:col>11</xdr:col>
      <xdr:colOff>571500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D7112-7EA3-21E2-5BE7-464490A5E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63500</xdr:colOff>
      <xdr:row>5</xdr:row>
      <xdr:rowOff>76200</xdr:rowOff>
    </xdr:from>
    <xdr:to>
      <xdr:col>28</xdr:col>
      <xdr:colOff>63500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704E6-D31F-9922-80E3-136F985B8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279400</xdr:colOff>
      <xdr:row>73</xdr:row>
      <xdr:rowOff>82550</xdr:rowOff>
    </xdr:from>
    <xdr:to>
      <xdr:col>28</xdr:col>
      <xdr:colOff>279400</xdr:colOff>
      <xdr:row>83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C908C-48EC-9ABF-3F27-D6A9AEB1B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279400</xdr:colOff>
      <xdr:row>5</xdr:row>
      <xdr:rowOff>76200</xdr:rowOff>
    </xdr:from>
    <xdr:to>
      <xdr:col>22</xdr:col>
      <xdr:colOff>279400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A7D56-9F80-05EF-8536-64E9D1D7C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406400</xdr:colOff>
      <xdr:row>17</xdr:row>
      <xdr:rowOff>127000</xdr:rowOff>
    </xdr:from>
    <xdr:to>
      <xdr:col>22</xdr:col>
      <xdr:colOff>406400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ECE18E-5621-2E83-B6E2-5AF80649B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11" t="s">
        <v>0</v>
      </c>
      <c r="C2" s="111"/>
      <c r="E2" s="112" t="s">
        <v>19</v>
      </c>
      <c r="F2" s="112"/>
      <c r="H2" s="113" t="s">
        <v>137</v>
      </c>
      <c r="I2" s="113"/>
      <c r="K2" s="114" t="s">
        <v>188</v>
      </c>
      <c r="L2" s="114"/>
      <c r="N2" s="115" t="s">
        <v>218</v>
      </c>
      <c r="O2" s="115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0" t="s">
        <v>14</v>
      </c>
      <c r="E6">
        <v>42</v>
      </c>
      <c r="F6" s="101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0" t="s">
        <v>13</v>
      </c>
      <c r="E7">
        <v>53</v>
      </c>
      <c r="F7" s="101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0" t="s">
        <v>17</v>
      </c>
      <c r="E8">
        <v>95</v>
      </c>
      <c r="F8" s="101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2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0" t="s">
        <v>318</v>
      </c>
      <c r="E6">
        <v>22</v>
      </c>
      <c r="F6" s="101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0" t="s">
        <v>319</v>
      </c>
      <c r="E7">
        <v>11</v>
      </c>
      <c r="F7" s="101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0" t="s">
        <v>326</v>
      </c>
      <c r="E8">
        <v>9</v>
      </c>
      <c r="F8" s="101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0" t="s">
        <v>320</v>
      </c>
      <c r="E9">
        <v>4</v>
      </c>
      <c r="F9" s="101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0" t="s">
        <v>321</v>
      </c>
      <c r="E10">
        <v>3</v>
      </c>
      <c r="F10" s="101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0" t="s">
        <v>322</v>
      </c>
      <c r="E11">
        <v>1</v>
      </c>
      <c r="F11" s="101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0" t="s">
        <v>325</v>
      </c>
      <c r="E12">
        <v>1</v>
      </c>
      <c r="F12" s="101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0" t="s">
        <v>324</v>
      </c>
      <c r="E13">
        <v>1</v>
      </c>
      <c r="F13" s="101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0" t="s">
        <v>323</v>
      </c>
      <c r="E14">
        <v>1</v>
      </c>
      <c r="F14" s="101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0" t="s">
        <v>17</v>
      </c>
      <c r="E15">
        <v>53</v>
      </c>
      <c r="F15" s="101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3" t="s">
        <v>328</v>
      </c>
      <c r="E5" s="104" t="s">
        <v>15</v>
      </c>
      <c r="F5" s="105" t="s">
        <v>327</v>
      </c>
    </row>
    <row r="6" spans="2:6" x14ac:dyDescent="0.2">
      <c r="B6" s="8">
        <v>90.2</v>
      </c>
      <c r="D6" s="100" t="s">
        <v>38</v>
      </c>
      <c r="E6">
        <v>1</v>
      </c>
      <c r="F6" s="101">
        <v>1.0526315789473684E-2</v>
      </c>
    </row>
    <row r="7" spans="2:6" x14ac:dyDescent="0.2">
      <c r="B7" s="8">
        <v>92.8</v>
      </c>
      <c r="D7" s="100" t="s">
        <v>39</v>
      </c>
      <c r="E7">
        <v>3</v>
      </c>
      <c r="F7" s="101">
        <v>4.2105263157894736E-2</v>
      </c>
    </row>
    <row r="8" spans="2:6" x14ac:dyDescent="0.2">
      <c r="B8" s="8">
        <v>68.7</v>
      </c>
      <c r="D8" s="100" t="s">
        <v>40</v>
      </c>
      <c r="E8">
        <v>17</v>
      </c>
      <c r="F8" s="101">
        <v>0.22105263157894736</v>
      </c>
    </row>
    <row r="9" spans="2:6" x14ac:dyDescent="0.2">
      <c r="B9" s="8">
        <v>80.7</v>
      </c>
      <c r="D9" s="100" t="s">
        <v>41</v>
      </c>
      <c r="E9">
        <v>24</v>
      </c>
      <c r="F9" s="101">
        <v>0.47368421052631576</v>
      </c>
    </row>
    <row r="10" spans="2:6" x14ac:dyDescent="0.2">
      <c r="B10" s="8">
        <v>74.900000000000006</v>
      </c>
      <c r="D10" s="100" t="s">
        <v>42</v>
      </c>
      <c r="E10">
        <v>29</v>
      </c>
      <c r="F10" s="101">
        <v>0.77894736842105261</v>
      </c>
    </row>
    <row r="11" spans="2:6" x14ac:dyDescent="0.2">
      <c r="B11" s="8">
        <v>80.7</v>
      </c>
      <c r="D11" s="100" t="s">
        <v>43</v>
      </c>
      <c r="E11">
        <v>17</v>
      </c>
      <c r="F11" s="101">
        <v>0.95789473684210524</v>
      </c>
    </row>
    <row r="12" spans="2:6" x14ac:dyDescent="0.2">
      <c r="B12" s="8">
        <v>83.3</v>
      </c>
      <c r="D12" s="100" t="s">
        <v>44</v>
      </c>
      <c r="E12">
        <v>3</v>
      </c>
      <c r="F12" s="101">
        <v>0.98947368421052628</v>
      </c>
    </row>
    <row r="13" spans="2:6" x14ac:dyDescent="0.2">
      <c r="B13" s="8">
        <v>88.7</v>
      </c>
      <c r="D13" s="100" t="s">
        <v>45</v>
      </c>
      <c r="E13">
        <v>1</v>
      </c>
      <c r="F13" s="101">
        <v>1</v>
      </c>
    </row>
    <row r="14" spans="2:6" x14ac:dyDescent="0.2">
      <c r="B14" s="8">
        <v>75.400000000000006</v>
      </c>
      <c r="D14" s="100" t="s">
        <v>17</v>
      </c>
      <c r="E14">
        <v>95</v>
      </c>
      <c r="F14" s="101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6" t="s">
        <v>328</v>
      </c>
      <c r="E17" s="106" t="s">
        <v>329</v>
      </c>
    </row>
    <row r="18" spans="2:5" x14ac:dyDescent="0.2">
      <c r="B18" s="8">
        <v>71.3</v>
      </c>
      <c r="D18" s="100" t="s">
        <v>38</v>
      </c>
      <c r="E18">
        <v>1</v>
      </c>
    </row>
    <row r="19" spans="2:5" x14ac:dyDescent="0.2">
      <c r="B19" s="8">
        <v>76.8</v>
      </c>
      <c r="D19" s="100" t="s">
        <v>39</v>
      </c>
      <c r="E19">
        <v>3</v>
      </c>
    </row>
    <row r="20" spans="2:5" x14ac:dyDescent="0.2">
      <c r="B20" s="8">
        <v>72.3</v>
      </c>
      <c r="D20" s="100" t="s">
        <v>40</v>
      </c>
      <c r="E20">
        <v>17</v>
      </c>
    </row>
    <row r="21" spans="2:5" x14ac:dyDescent="0.2">
      <c r="B21" s="8">
        <v>72.400000000000006</v>
      </c>
      <c r="D21" s="100" t="s">
        <v>41</v>
      </c>
      <c r="E21">
        <v>24</v>
      </c>
    </row>
    <row r="22" spans="2:5" x14ac:dyDescent="0.2">
      <c r="B22" s="8">
        <v>72</v>
      </c>
      <c r="D22" s="100" t="s">
        <v>42</v>
      </c>
      <c r="E22">
        <v>29</v>
      </c>
    </row>
    <row r="23" spans="2:5" x14ac:dyDescent="0.2">
      <c r="B23" s="8">
        <v>81</v>
      </c>
      <c r="D23" s="100" t="s">
        <v>43</v>
      </c>
      <c r="E23">
        <v>17</v>
      </c>
    </row>
    <row r="24" spans="2:5" x14ac:dyDescent="0.2">
      <c r="B24" s="8">
        <v>96.1</v>
      </c>
      <c r="D24" s="100" t="s">
        <v>44</v>
      </c>
      <c r="E24">
        <v>3</v>
      </c>
    </row>
    <row r="25" spans="2:5" x14ac:dyDescent="0.2">
      <c r="B25" s="8">
        <v>76.7</v>
      </c>
      <c r="D25" s="100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6" t="s">
        <v>51</v>
      </c>
      <c r="F5" s="116"/>
      <c r="H5" s="116" t="s">
        <v>57</v>
      </c>
      <c r="I5" s="116"/>
      <c r="J5" s="116"/>
      <c r="L5" s="117" t="s">
        <v>57</v>
      </c>
      <c r="M5" s="117"/>
      <c r="N5" s="117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6" t="s">
        <v>51</v>
      </c>
      <c r="E5" s="116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6" t="s">
        <v>60</v>
      </c>
      <c r="G5" s="116"/>
      <c r="H5" s="116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6" t="s">
        <v>64</v>
      </c>
      <c r="F5" s="116"/>
      <c r="G5" s="116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6" t="s">
        <v>64</v>
      </c>
      <c r="F5" s="116"/>
      <c r="G5" s="116"/>
      <c r="I5" s="117" t="s">
        <v>64</v>
      </c>
      <c r="J5" s="117"/>
      <c r="K5" s="117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99" t="s">
        <v>242</v>
      </c>
      <c r="F5" s="116" t="s">
        <v>317</v>
      </c>
      <c r="G5" s="116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6" t="s">
        <v>80</v>
      </c>
      <c r="F5" s="116"/>
      <c r="G5" s="116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7" t="s">
        <v>60</v>
      </c>
      <c r="F5" s="117"/>
      <c r="G5" s="117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7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6" t="s">
        <v>85</v>
      </c>
      <c r="H5" s="116"/>
      <c r="J5" s="116" t="s">
        <v>86</v>
      </c>
      <c r="K5" s="116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6" t="s">
        <v>86</v>
      </c>
      <c r="F5" s="116"/>
      <c r="H5" s="116" t="s">
        <v>87</v>
      </c>
      <c r="I5" s="116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6" t="s">
        <v>86</v>
      </c>
      <c r="E5" s="116"/>
      <c r="G5" s="116" t="s">
        <v>96</v>
      </c>
      <c r="H5" s="116"/>
      <c r="I5" s="116"/>
      <c r="J5" s="116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6" t="s">
        <v>85</v>
      </c>
      <c r="E5" s="116"/>
      <c r="G5" s="116" t="s">
        <v>86</v>
      </c>
      <c r="H5" s="116"/>
      <c r="J5" s="116" t="s">
        <v>96</v>
      </c>
      <c r="K5" s="116"/>
      <c r="L5" s="116"/>
      <c r="M5" s="116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6" t="s">
        <v>86</v>
      </c>
      <c r="E5" s="116"/>
      <c r="G5" s="116" t="s">
        <v>293</v>
      </c>
      <c r="H5" s="116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6" t="s">
        <v>293</v>
      </c>
      <c r="E5" s="116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6" t="s">
        <v>86</v>
      </c>
      <c r="E5" s="116"/>
      <c r="G5" s="116" t="s">
        <v>293</v>
      </c>
      <c r="H5" s="11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6" t="s">
        <v>86</v>
      </c>
      <c r="E5" s="116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6" t="s">
        <v>86</v>
      </c>
      <c r="E5" s="116"/>
      <c r="G5" s="116" t="s">
        <v>298</v>
      </c>
      <c r="H5" s="11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6" t="s">
        <v>86</v>
      </c>
      <c r="E5" s="116"/>
      <c r="G5" s="116" t="s">
        <v>301</v>
      </c>
      <c r="H5" s="11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6" t="s">
        <v>86</v>
      </c>
      <c r="E5" s="116"/>
      <c r="G5" s="116" t="s">
        <v>298</v>
      </c>
      <c r="H5" s="11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6" t="s">
        <v>139</v>
      </c>
      <c r="E9" s="116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6" t="s">
        <v>139</v>
      </c>
      <c r="E9" s="116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273.40781140085119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305.28692544125408</v>
      </c>
    </row>
    <row r="8" spans="2:11" x14ac:dyDescent="0.2">
      <c r="B8" s="8">
        <v>119</v>
      </c>
      <c r="D8" s="20" t="s">
        <v>70</v>
      </c>
      <c r="E8" s="75">
        <f>STDEV(B6:B100)</f>
        <v>93.521048765238149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G9" s="20" t="s">
        <v>155</v>
      </c>
      <c r="H9" s="86">
        <f>_xlfn.T.INV(1-H8,E6-1)</f>
        <v>1.6612258552965111</v>
      </c>
    </row>
    <row r="10" spans="2:11" x14ac:dyDescent="0.2">
      <c r="B10" s="8">
        <v>252</v>
      </c>
      <c r="G10" s="20" t="s">
        <v>145</v>
      </c>
      <c r="H10" s="75">
        <f>E8/SQRT(E6)</f>
        <v>9.5950571497434378</v>
      </c>
    </row>
    <row r="11" spans="2:11" x14ac:dyDescent="0.2">
      <c r="B11" s="8">
        <v>209</v>
      </c>
      <c r="G11" s="20" t="s">
        <v>149</v>
      </c>
      <c r="H11" s="75">
        <f>_xlfn.CONFIDENCE.T(H7,E8,E6)</f>
        <v>15.939557020201446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111265.76090747744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127507.82399818295</v>
      </c>
    </row>
    <row r="8" spans="2:11" x14ac:dyDescent="0.2">
      <c r="B8" s="12">
        <v>109000</v>
      </c>
      <c r="D8" s="20" t="s">
        <v>70</v>
      </c>
      <c r="E8" s="80">
        <f>STDEV(B6:B58)</f>
        <v>45546.958176470725</v>
      </c>
      <c r="G8" s="20" t="s">
        <v>149</v>
      </c>
      <c r="H8" s="80">
        <f>_xlfn.CONFIDENCE.T(H7,E8,E6)</f>
        <v>8121.0315453527564</v>
      </c>
    </row>
    <row r="9" spans="2:11" x14ac:dyDescent="0.2">
      <c r="B9" s="12">
        <v>148000</v>
      </c>
    </row>
    <row r="10" spans="2:11" x14ac:dyDescent="0.2">
      <c r="B10" s="12">
        <v>255500</v>
      </c>
      <c r="H10" s="97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8" t="s">
        <v>25</v>
      </c>
      <c r="D6" s="20" t="s">
        <v>71</v>
      </c>
      <c r="E6" s="71">
        <f>COUNTA(B6:B100)</f>
        <v>95</v>
      </c>
      <c r="G6" s="20" t="s">
        <v>141</v>
      </c>
      <c r="H6" s="82">
        <v>0.9</v>
      </c>
      <c r="J6" s="20" t="s">
        <v>147</v>
      </c>
      <c r="K6" s="82">
        <f>E7-H11</f>
        <v>0.1698162967729179</v>
      </c>
    </row>
    <row r="7" spans="2:11" x14ac:dyDescent="0.2">
      <c r="B7" s="8" t="s">
        <v>25</v>
      </c>
      <c r="D7" s="20" t="s">
        <v>157</v>
      </c>
      <c r="E7" s="87">
        <f>COUNTIFS(B6:B100,"Yes")/E6</f>
        <v>0.24210526315789474</v>
      </c>
      <c r="G7" s="20" t="s">
        <v>142</v>
      </c>
      <c r="H7" s="82">
        <f>1-H6</f>
        <v>9.9999999999999978E-2</v>
      </c>
      <c r="J7" s="20" t="s">
        <v>148</v>
      </c>
      <c r="K7" s="82">
        <f>E7+H11</f>
        <v>0.31439422954287155</v>
      </c>
    </row>
    <row r="8" spans="2:11" x14ac:dyDescent="0.2">
      <c r="B8" s="8" t="s">
        <v>27</v>
      </c>
      <c r="D8" s="20" t="s">
        <v>158</v>
      </c>
      <c r="E8" s="87">
        <f>1-E7</f>
        <v>0.75789473684210529</v>
      </c>
      <c r="G8" s="20" t="s">
        <v>143</v>
      </c>
      <c r="H8" s="85">
        <f>H7/2</f>
        <v>4.9999999999999989E-2</v>
      </c>
    </row>
    <row r="9" spans="2:11" x14ac:dyDescent="0.2">
      <c r="B9" s="8" t="s">
        <v>25</v>
      </c>
      <c r="G9" s="20" t="s">
        <v>151</v>
      </c>
      <c r="H9" s="86">
        <f>_xlfn.NORM.S.INV(1-H8)</f>
        <v>1.6448536269514715</v>
      </c>
    </row>
    <row r="10" spans="2:11" x14ac:dyDescent="0.2">
      <c r="B10" s="8" t="s">
        <v>25</v>
      </c>
      <c r="D10" s="116" t="s">
        <v>162</v>
      </c>
      <c r="E10" s="116"/>
      <c r="G10" s="20" t="s">
        <v>145</v>
      </c>
      <c r="H10" s="81">
        <f>SQRT(E7*E8/E6)</f>
        <v>4.394857098558691E-2</v>
      </c>
    </row>
    <row r="11" spans="2:11" x14ac:dyDescent="0.2">
      <c r="B11" s="8" t="s">
        <v>25</v>
      </c>
      <c r="D11" s="20" t="s">
        <v>163</v>
      </c>
      <c r="E11" s="71">
        <f>E7*E6</f>
        <v>23</v>
      </c>
      <c r="G11" s="20" t="s">
        <v>149</v>
      </c>
      <c r="H11" s="87">
        <f>H9*H10</f>
        <v>7.2288966384976838E-2</v>
      </c>
    </row>
    <row r="12" spans="2:11" x14ac:dyDescent="0.2">
      <c r="B12" s="8" t="s">
        <v>25</v>
      </c>
      <c r="D12" s="20" t="s">
        <v>164</v>
      </c>
      <c r="E12" s="71">
        <f>(1-E7)*E6</f>
        <v>72</v>
      </c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8" t="s">
        <v>13</v>
      </c>
      <c r="D6" s="20" t="s">
        <v>71</v>
      </c>
      <c r="E6" s="71">
        <f>COUNTA(B6:B100)</f>
        <v>95</v>
      </c>
      <c r="G6" s="20" t="s">
        <v>141</v>
      </c>
      <c r="H6" s="82">
        <v>0.95</v>
      </c>
      <c r="J6" s="20" t="s">
        <v>147</v>
      </c>
      <c r="K6" s="82">
        <f>E7-H11</f>
        <v>0.45802698737891206</v>
      </c>
    </row>
    <row r="7" spans="2:11" x14ac:dyDescent="0.2">
      <c r="B7" s="8" t="s">
        <v>14</v>
      </c>
      <c r="D7" s="20" t="s">
        <v>157</v>
      </c>
      <c r="E7" s="87">
        <f>COUNTIFS(B6:B100,"Placed")/E6</f>
        <v>0.55789473684210522</v>
      </c>
      <c r="G7" s="20" t="s">
        <v>142</v>
      </c>
      <c r="H7" s="82">
        <f>1-H6</f>
        <v>5.0000000000000044E-2</v>
      </c>
      <c r="J7" s="20" t="s">
        <v>148</v>
      </c>
      <c r="K7" s="82">
        <f>H11+E7</f>
        <v>0.65776248630529843</v>
      </c>
    </row>
    <row r="8" spans="2:11" x14ac:dyDescent="0.2">
      <c r="B8" s="8" t="s">
        <v>13</v>
      </c>
      <c r="D8" s="20" t="s">
        <v>158</v>
      </c>
      <c r="E8" s="87">
        <f>1-E7</f>
        <v>0.44210526315789478</v>
      </c>
      <c r="G8" s="20" t="s">
        <v>143</v>
      </c>
      <c r="H8" s="85">
        <f>H7/2</f>
        <v>2.5000000000000022E-2</v>
      </c>
    </row>
    <row r="9" spans="2:11" x14ac:dyDescent="0.2">
      <c r="B9" s="8" t="s">
        <v>14</v>
      </c>
      <c r="G9" s="20" t="s">
        <v>151</v>
      </c>
      <c r="H9" s="86">
        <f>_xlfn.NORM.S.INV(1-H8)</f>
        <v>1.9599639845400536</v>
      </c>
    </row>
    <row r="10" spans="2:11" x14ac:dyDescent="0.2">
      <c r="B10" s="8" t="s">
        <v>14</v>
      </c>
      <c r="D10" s="116" t="s">
        <v>162</v>
      </c>
      <c r="E10" s="116"/>
      <c r="G10" s="20" t="s">
        <v>145</v>
      </c>
      <c r="H10" s="81">
        <f>SQRT(E7*E8/E6)</f>
        <v>5.0953869688901053E-2</v>
      </c>
    </row>
    <row r="11" spans="2:11" x14ac:dyDescent="0.2">
      <c r="B11" s="8" t="s">
        <v>14</v>
      </c>
      <c r="D11" s="20" t="s">
        <v>163</v>
      </c>
      <c r="E11" s="71">
        <f>E7*E6</f>
        <v>52.999999999999993</v>
      </c>
      <c r="G11" s="20" t="s">
        <v>149</v>
      </c>
      <c r="H11" s="87">
        <f>H10*H9</f>
        <v>9.986774946319317E-2</v>
      </c>
    </row>
    <row r="12" spans="2:11" x14ac:dyDescent="0.2">
      <c r="B12" s="8" t="s">
        <v>13</v>
      </c>
      <c r="D12" s="20" t="s">
        <v>164</v>
      </c>
      <c r="E12" s="71">
        <f>(1-E7)*E6</f>
        <v>42.000000000000007</v>
      </c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6" t="s">
        <v>138</v>
      </c>
      <c r="H5" s="116"/>
      <c r="J5" s="116" t="s">
        <v>140</v>
      </c>
      <c r="K5" s="116"/>
      <c r="M5" s="116" t="s">
        <v>146</v>
      </c>
      <c r="N5" s="116"/>
    </row>
    <row r="6" spans="2:14" x14ac:dyDescent="0.2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141</v>
      </c>
      <c r="K6" s="82">
        <v>0.95</v>
      </c>
      <c r="M6" s="20" t="s">
        <v>147</v>
      </c>
      <c r="N6" s="75">
        <f>H7-K11</f>
        <v>3.3169926990789627</v>
      </c>
    </row>
    <row r="7" spans="2:14" x14ac:dyDescent="0.2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142</v>
      </c>
      <c r="K7" s="82">
        <f>1-K6</f>
        <v>5.0000000000000044E-2</v>
      </c>
      <c r="M7" s="20" t="s">
        <v>148</v>
      </c>
      <c r="N7" s="75">
        <f>H7+K11</f>
        <v>7.0745862482894601</v>
      </c>
    </row>
    <row r="8" spans="2:14" x14ac:dyDescent="0.2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STDEV(E6:E100)</f>
        <v>9.2241463398998604</v>
      </c>
      <c r="J8" s="20" t="s">
        <v>143</v>
      </c>
      <c r="K8" s="85">
        <f>K7/2</f>
        <v>2.5000000000000022E-2</v>
      </c>
    </row>
    <row r="9" spans="2:14" x14ac:dyDescent="0.2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155</v>
      </c>
      <c r="K9" s="86">
        <f>_xlfn.T.INV(1-K8,H6)</f>
        <v>1.9852510035054973</v>
      </c>
    </row>
    <row r="10" spans="2:14" x14ac:dyDescent="0.2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145</v>
      </c>
      <c r="K10" s="75">
        <f>H8/SQRT(H6)</f>
        <v>0.94637744612027652</v>
      </c>
    </row>
    <row r="11" spans="2:14" x14ac:dyDescent="0.2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149</v>
      </c>
      <c r="K11" s="75">
        <f>K9*K10</f>
        <v>1.8787967746052487</v>
      </c>
    </row>
    <row r="12" spans="2:14" x14ac:dyDescent="0.2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N8" sqref="N8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138</v>
      </c>
      <c r="H5" s="116"/>
      <c r="J5" s="116" t="s">
        <v>140</v>
      </c>
      <c r="K5" s="116"/>
      <c r="M5" s="116" t="s">
        <v>146</v>
      </c>
      <c r="N5" s="116"/>
    </row>
    <row r="6" spans="2:14" x14ac:dyDescent="0.2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COUNT(B6:B100)</f>
        <v>95</v>
      </c>
      <c r="J6" s="20" t="s">
        <v>141</v>
      </c>
      <c r="K6" s="82">
        <v>0.9</v>
      </c>
      <c r="M6" s="20" t="s">
        <v>147</v>
      </c>
      <c r="N6" s="72">
        <f>H7-K11</f>
        <v>44.388289333700001</v>
      </c>
    </row>
    <row r="7" spans="2:14" x14ac:dyDescent="0.2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142</v>
      </c>
      <c r="K7" s="82">
        <f>1-K6</f>
        <v>9.9999999999999978E-2</v>
      </c>
      <c r="M7" s="20" t="s">
        <v>148</v>
      </c>
      <c r="N7" s="72">
        <f>H7+K11</f>
        <v>54.495921192615782</v>
      </c>
    </row>
    <row r="8" spans="2:1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143</v>
      </c>
      <c r="K8" s="75">
        <f>K7/2</f>
        <v>4.9999999999999989E-2</v>
      </c>
    </row>
    <row r="9" spans="2:14" x14ac:dyDescent="0.2">
      <c r="B9" s="8">
        <v>4</v>
      </c>
      <c r="C9" s="8">
        <v>288</v>
      </c>
      <c r="D9" s="8">
        <v>334</v>
      </c>
      <c r="E9" s="8">
        <f t="shared" si="0"/>
        <v>46</v>
      </c>
      <c r="J9" s="20" t="s">
        <v>155</v>
      </c>
      <c r="K9" s="75">
        <f>_xlfn.T.INV(1-K8,H6)</f>
        <v>1.6610518172772404</v>
      </c>
    </row>
    <row r="10" spans="2:1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J10" s="20" t="s">
        <v>145</v>
      </c>
      <c r="K10" s="75">
        <f>H8/SQRT(H6)</f>
        <v>3.0425395986393706</v>
      </c>
    </row>
    <row r="11" spans="2:1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J11" s="20" t="s">
        <v>149</v>
      </c>
      <c r="K11" s="75">
        <f>K9*K10</f>
        <v>5.0538159294578922</v>
      </c>
    </row>
    <row r="12" spans="2:1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">
      <c r="B16" s="8">
        <v>11</v>
      </c>
      <c r="C16" s="8">
        <v>182</v>
      </c>
      <c r="D16" s="8">
        <v>232</v>
      </c>
      <c r="E16" s="8">
        <f t="shared" si="0"/>
        <v>50</v>
      </c>
      <c r="J16" s="20"/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G10" sqref="G10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6" t="s">
        <v>138</v>
      </c>
      <c r="G5" s="116"/>
      <c r="H5" s="116"/>
      <c r="J5" s="116" t="s">
        <v>178</v>
      </c>
      <c r="K5" s="116"/>
      <c r="M5" s="116" t="s">
        <v>140</v>
      </c>
      <c r="N5" s="116"/>
      <c r="P5" s="116" t="s">
        <v>146</v>
      </c>
      <c r="Q5" s="116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>
        <f>G9-H9</f>
        <v>1.8650659133709979</v>
      </c>
      <c r="M6" s="20" t="s">
        <v>141</v>
      </c>
      <c r="N6" s="77">
        <v>0.9</v>
      </c>
      <c r="P6" s="20" t="s">
        <v>147</v>
      </c>
      <c r="Q6" s="72">
        <f>K6-N12</f>
        <v>-0.39955679893334928</v>
      </c>
    </row>
    <row r="7" spans="2:17" x14ac:dyDescent="0.2">
      <c r="B7" s="8">
        <v>92.8</v>
      </c>
      <c r="D7" s="8">
        <v>80.7</v>
      </c>
      <c r="F7" s="20" t="s">
        <v>175</v>
      </c>
      <c r="G7" s="71">
        <f>COUNT(B6:B41)</f>
        <v>36</v>
      </c>
      <c r="H7" s="71">
        <f>COUNT(D6:D64)</f>
        <v>59</v>
      </c>
      <c r="M7" s="20" t="s">
        <v>142</v>
      </c>
      <c r="N7" s="82">
        <f>1-N6</f>
        <v>9.9999999999999978E-2</v>
      </c>
      <c r="P7" s="20" t="s">
        <v>148</v>
      </c>
      <c r="Q7" s="72">
        <f>K6+N12</f>
        <v>4.1296886256753451</v>
      </c>
    </row>
    <row r="8" spans="2:17" x14ac:dyDescent="0.2">
      <c r="B8" s="8">
        <v>88.7</v>
      </c>
      <c r="D8" s="8">
        <v>74.900000000000006</v>
      </c>
      <c r="F8" s="20" t="s">
        <v>183</v>
      </c>
      <c r="G8" s="71">
        <f>G7-1</f>
        <v>35</v>
      </c>
      <c r="H8" s="71">
        <f>H7-1</f>
        <v>58</v>
      </c>
      <c r="M8" s="20" t="s">
        <v>143</v>
      </c>
      <c r="N8" s="71">
        <f>N7/2</f>
        <v>4.9999999999999989E-2</v>
      </c>
    </row>
    <row r="9" spans="2:17" x14ac:dyDescent="0.2">
      <c r="B9" s="8">
        <v>87.5</v>
      </c>
      <c r="D9" s="8">
        <v>80.7</v>
      </c>
      <c r="F9" s="20" t="s">
        <v>176</v>
      </c>
      <c r="G9" s="72">
        <f>AVERAGE(B6:B41)</f>
        <v>81.327777777777783</v>
      </c>
      <c r="H9" s="72">
        <f>AVERAGE(D6:D64)</f>
        <v>79.462711864406785</v>
      </c>
      <c r="M9" s="20" t="s">
        <v>180</v>
      </c>
      <c r="N9" s="75">
        <f>(G11+H11)^2/(G11^2/G8+H11^2/H8)</f>
        <v>66.234134266561668</v>
      </c>
    </row>
    <row r="10" spans="2:17" ht="17" x14ac:dyDescent="0.2">
      <c r="B10" s="8">
        <v>71.3</v>
      </c>
      <c r="D10" s="8">
        <v>83.3</v>
      </c>
      <c r="F10" s="20" t="s">
        <v>177</v>
      </c>
      <c r="G10" s="75">
        <f>_xlfn.VAR.S(B6:B41)</f>
        <v>44.135206349206364</v>
      </c>
      <c r="H10" s="75">
        <f>_xlfn.VAR.S(D6:D64)</f>
        <v>33.739275277615427</v>
      </c>
      <c r="M10" s="20" t="s">
        <v>155</v>
      </c>
      <c r="N10" s="70">
        <f>_xlfn.T.INV(1-N8,N9)</f>
        <v>1.6682705142276302</v>
      </c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>
        <f>G10/G8</f>
        <v>1.2610058956916104</v>
      </c>
      <c r="H11" s="70">
        <f>H10/H8</f>
        <v>0.5817116427175073</v>
      </c>
      <c r="M11" s="20" t="s">
        <v>145</v>
      </c>
      <c r="N11" s="75">
        <f>SQRT(G11+H11)</f>
        <v>1.3574673249876468</v>
      </c>
    </row>
    <row r="12" spans="2:17" x14ac:dyDescent="0.2">
      <c r="B12" s="8">
        <v>96.1</v>
      </c>
      <c r="D12" s="8">
        <v>82.1</v>
      </c>
      <c r="M12" s="20" t="s">
        <v>149</v>
      </c>
      <c r="N12" s="75">
        <f>N11*N10</f>
        <v>2.2646227123043472</v>
      </c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7" t="s">
        <v>138</v>
      </c>
      <c r="F5" s="117"/>
      <c r="G5" s="117"/>
      <c r="I5" s="116" t="s">
        <v>178</v>
      </c>
      <c r="J5" s="116"/>
      <c r="L5" s="116" t="s">
        <v>140</v>
      </c>
      <c r="M5" s="116"/>
      <c r="O5" s="116" t="s">
        <v>146</v>
      </c>
      <c r="P5" s="116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>
        <f>F9-G9</f>
        <v>70.528301886792462</v>
      </c>
      <c r="L6" s="20" t="s">
        <v>141</v>
      </c>
      <c r="M6" s="77">
        <v>0.9</v>
      </c>
      <c r="O6" s="20" t="s">
        <v>147</v>
      </c>
      <c r="P6" s="73">
        <f>J6-M12</f>
        <v>40.555836759906974</v>
      </c>
    </row>
    <row r="7" spans="2:16" x14ac:dyDescent="0.2">
      <c r="B7" s="8" t="s">
        <v>14</v>
      </c>
      <c r="C7" s="8">
        <v>410</v>
      </c>
      <c r="E7" s="20" t="s">
        <v>175</v>
      </c>
      <c r="F7" s="71">
        <f>COUNTIFS(B6:B100,"Placed")</f>
        <v>53</v>
      </c>
      <c r="G7" s="71">
        <f>COUNTIFS(B6:B100,"Not Placed")</f>
        <v>42</v>
      </c>
      <c r="L7" s="20" t="s">
        <v>142</v>
      </c>
      <c r="M7" s="82">
        <f>1-M6</f>
        <v>9.9999999999999978E-2</v>
      </c>
      <c r="O7" s="20" t="s">
        <v>148</v>
      </c>
      <c r="P7" s="73">
        <f>J6+M12</f>
        <v>100.50076701367794</v>
      </c>
    </row>
    <row r="8" spans="2:16" x14ac:dyDescent="0.2">
      <c r="B8" s="8" t="s">
        <v>13</v>
      </c>
      <c r="C8" s="8">
        <v>119</v>
      </c>
      <c r="E8" s="20" t="s">
        <v>183</v>
      </c>
      <c r="F8" s="71">
        <f>F7-1</f>
        <v>52</v>
      </c>
      <c r="G8" s="71">
        <f>G7-1</f>
        <v>41</v>
      </c>
      <c r="L8" s="20" t="s">
        <v>143</v>
      </c>
      <c r="M8" s="71">
        <f>M7/2</f>
        <v>4.9999999999999989E-2</v>
      </c>
    </row>
    <row r="9" spans="2:16" x14ac:dyDescent="0.2">
      <c r="B9" s="8" t="s">
        <v>14</v>
      </c>
      <c r="C9" s="8">
        <v>334</v>
      </c>
      <c r="E9" s="20" t="s">
        <v>176</v>
      </c>
      <c r="F9" s="73">
        <f>AVERAGEIFS($C$6:$C$100,$B$6:$B$100,F6)</f>
        <v>320.52830188679246</v>
      </c>
      <c r="G9" s="73">
        <f>AVERAGEIFS($C$6:$C$100,$B$6:$B$100,G6)</f>
        <v>250</v>
      </c>
      <c r="L9" s="20" t="s">
        <v>180</v>
      </c>
      <c r="M9" s="75">
        <f>(F11+G11)^2/(F11^2/F8+G11^2/G8)</f>
        <v>87.464124652300455</v>
      </c>
    </row>
    <row r="10" spans="2:16" ht="17" x14ac:dyDescent="0.2">
      <c r="B10" s="8" t="s">
        <v>14</v>
      </c>
      <c r="C10" s="8">
        <v>252</v>
      </c>
      <c r="E10" s="20" t="s">
        <v>177</v>
      </c>
      <c r="F10" s="74" cm="1">
        <f t="array" ref="F10">_xlfn.VAR.S(IF($B$6:$B$100=F6,$C$6:$C$100))</f>
        <v>7479.7924528301946</v>
      </c>
      <c r="G10" s="74" cm="1">
        <f t="array" ref="G10">_xlfn.VAR.S(IF($B$6:$B$100=G6,$C$6:$C$100))</f>
        <v>7722.8780487804879</v>
      </c>
      <c r="L10" s="20" t="s">
        <v>155</v>
      </c>
      <c r="M10" s="70">
        <f>_xlfn.T.INV(1-M8,M9)</f>
        <v>1.662557349412876</v>
      </c>
    </row>
    <row r="11" spans="2:16" ht="17" x14ac:dyDescent="0.2">
      <c r="B11" s="8" t="s">
        <v>14</v>
      </c>
      <c r="C11" s="8">
        <v>209</v>
      </c>
      <c r="E11" s="20" t="s">
        <v>182</v>
      </c>
      <c r="F11" s="70">
        <f>F10/F7</f>
        <v>141.12815948736215</v>
      </c>
      <c r="G11" s="70">
        <f>G10/G7</f>
        <v>183.8780487804878</v>
      </c>
      <c r="L11" s="20" t="s">
        <v>145</v>
      </c>
      <c r="M11" s="75">
        <f>SQRT(F11+G11)</f>
        <v>18.027928562867391</v>
      </c>
    </row>
    <row r="12" spans="2:16" x14ac:dyDescent="0.2">
      <c r="B12" s="8" t="s">
        <v>13</v>
      </c>
      <c r="C12" s="8">
        <v>462</v>
      </c>
      <c r="L12" s="20" t="s">
        <v>149</v>
      </c>
      <c r="M12" s="75">
        <f>M11*M10</f>
        <v>29.972465126885488</v>
      </c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M11" sqref="M11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6" t="s">
        <v>138</v>
      </c>
      <c r="F5" s="116"/>
      <c r="G5" s="116"/>
      <c r="I5" s="116" t="s">
        <v>178</v>
      </c>
      <c r="J5" s="116"/>
      <c r="L5" s="116" t="s">
        <v>140</v>
      </c>
      <c r="M5" s="116"/>
      <c r="O5" s="116" t="s">
        <v>146</v>
      </c>
      <c r="P5" s="116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>
        <f>F8-G8</f>
        <v>0.23913043478260865</v>
      </c>
      <c r="L6" s="20" t="s">
        <v>141</v>
      </c>
      <c r="M6" s="77">
        <v>0.99</v>
      </c>
      <c r="O6" s="20" t="s">
        <v>147</v>
      </c>
      <c r="P6" s="88">
        <f>J6-M11</f>
        <v>-4.1334137258359216E-2</v>
      </c>
    </row>
    <row r="7" spans="2:16" x14ac:dyDescent="0.2">
      <c r="B7" s="8" t="s">
        <v>25</v>
      </c>
      <c r="C7" s="8" t="s">
        <v>14</v>
      </c>
      <c r="E7" s="20" t="s">
        <v>175</v>
      </c>
      <c r="F7" s="71">
        <f>COUNTIFS($B$6:$B$100,F6)</f>
        <v>23</v>
      </c>
      <c r="G7" s="71">
        <f>COUNTIFS($B$6:$B$100,G6)</f>
        <v>72</v>
      </c>
      <c r="L7" s="20" t="s">
        <v>142</v>
      </c>
      <c r="M7" s="82">
        <f>1-M6</f>
        <v>1.0000000000000009E-2</v>
      </c>
      <c r="O7" s="20" t="s">
        <v>148</v>
      </c>
      <c r="P7" s="88">
        <f>J6+M11</f>
        <v>0.51959500682357651</v>
      </c>
    </row>
    <row r="8" spans="2:16" x14ac:dyDescent="0.2">
      <c r="B8" s="8" t="s">
        <v>27</v>
      </c>
      <c r="C8" s="8" t="s">
        <v>13</v>
      </c>
      <c r="E8" s="20" t="s">
        <v>187</v>
      </c>
      <c r="F8" s="70">
        <f>COUNTIFS($B$6:$B$100,F6,$C$6:$C$100,"Placed")/F7</f>
        <v>0.73913043478260865</v>
      </c>
      <c r="G8" s="70">
        <f>COUNTIFS($B$6:$B$100,G6,$C$6:$C$100,"Placed")/G7</f>
        <v>0.5</v>
      </c>
      <c r="L8" s="20" t="s">
        <v>143</v>
      </c>
      <c r="M8" s="71">
        <f>M7/2</f>
        <v>5.0000000000000044E-3</v>
      </c>
    </row>
    <row r="9" spans="2:16" x14ac:dyDescent="0.2">
      <c r="B9" s="8" t="s">
        <v>25</v>
      </c>
      <c r="C9" s="8" t="s">
        <v>14</v>
      </c>
      <c r="E9" s="20" t="s">
        <v>158</v>
      </c>
      <c r="F9" s="70">
        <f>1-F8</f>
        <v>0.26086956521739135</v>
      </c>
      <c r="G9" s="70">
        <f>1-G8</f>
        <v>0.5</v>
      </c>
      <c r="L9" s="20" t="s">
        <v>151</v>
      </c>
      <c r="M9" s="70">
        <f>_xlfn.NORM.S.INV(1-M8)</f>
        <v>2.5758293035488999</v>
      </c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>
        <f>SQRT(SUM(F8*F9/F7,G8*G9/G7))</f>
        <v>0.10888321351673119</v>
      </c>
    </row>
    <row r="11" spans="2:16" x14ac:dyDescent="0.2">
      <c r="B11" s="8" t="s">
        <v>25</v>
      </c>
      <c r="C11" s="8" t="s">
        <v>14</v>
      </c>
      <c r="E11" s="116" t="s">
        <v>162</v>
      </c>
      <c r="F11" s="116"/>
      <c r="G11" s="116"/>
      <c r="L11" s="20" t="s">
        <v>149</v>
      </c>
      <c r="M11" s="70">
        <f>M10*M9</f>
        <v>0.28046457204096786</v>
      </c>
    </row>
    <row r="12" spans="2:16" x14ac:dyDescent="0.2">
      <c r="B12" s="8" t="s">
        <v>25</v>
      </c>
      <c r="C12" s="8" t="s">
        <v>13</v>
      </c>
      <c r="E12" s="20" t="s">
        <v>307</v>
      </c>
      <c r="F12" s="71">
        <f>F8*F7</f>
        <v>17</v>
      </c>
      <c r="G12" s="71">
        <f>G8*G7</f>
        <v>36</v>
      </c>
    </row>
    <row r="13" spans="2:16" x14ac:dyDescent="0.2">
      <c r="B13" s="8" t="s">
        <v>25</v>
      </c>
      <c r="C13" s="8" t="s">
        <v>13</v>
      </c>
      <c r="E13" s="20" t="s">
        <v>164</v>
      </c>
      <c r="F13" s="71">
        <f>F9*F7</f>
        <v>6.0000000000000009</v>
      </c>
      <c r="G13" s="71">
        <f>G9*G7</f>
        <v>36</v>
      </c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J9" sqref="J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8" t="s">
        <v>198</v>
      </c>
      <c r="E5" s="118"/>
      <c r="F5" s="118"/>
      <c r="G5" s="118"/>
    </row>
    <row r="6" spans="2:7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</row>
    <row r="7" spans="2:7" x14ac:dyDescent="0.2">
      <c r="B7" s="8">
        <v>410</v>
      </c>
      <c r="D7" s="20" t="s">
        <v>195</v>
      </c>
      <c r="E7" s="89" t="s">
        <v>196</v>
      </c>
      <c r="F7" s="89" t="s">
        <v>332</v>
      </c>
      <c r="G7" s="90">
        <v>300</v>
      </c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K6" sqref="K6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8" t="s">
        <v>198</v>
      </c>
      <c r="E5" s="118"/>
      <c r="F5" s="118"/>
      <c r="G5" s="118"/>
      <c r="I5" s="118" t="s">
        <v>200</v>
      </c>
      <c r="J5" s="118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Q7" sqref="Q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8" t="s">
        <v>198</v>
      </c>
      <c r="E5" s="118"/>
      <c r="F5" s="118"/>
      <c r="G5" s="118"/>
      <c r="I5" s="118" t="s">
        <v>200</v>
      </c>
      <c r="J5" s="118"/>
      <c r="L5" s="116" t="s">
        <v>138</v>
      </c>
      <c r="M5" s="116"/>
      <c r="O5" s="116" t="s">
        <v>203</v>
      </c>
      <c r="P5" s="116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STDEV(B6:B100)</f>
        <v>93.521048765238149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P8" sqref="P8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8" t="s">
        <v>198</v>
      </c>
      <c r="E5" s="118"/>
      <c r="F5" s="118"/>
      <c r="G5" s="118"/>
      <c r="I5" s="118" t="s">
        <v>200</v>
      </c>
      <c r="J5" s="118"/>
      <c r="L5" s="116" t="s">
        <v>138</v>
      </c>
      <c r="M5" s="116"/>
      <c r="O5" s="116" t="s">
        <v>203</v>
      </c>
      <c r="P5" s="116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_xlfn.T.DIST(P7,M6,TRUE)*2</f>
        <v>0.26970617191487284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O37" sqref="O3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8" t="s">
        <v>198</v>
      </c>
      <c r="E5" s="118"/>
      <c r="F5" s="118"/>
      <c r="G5" s="118"/>
      <c r="I5" s="118" t="s">
        <v>200</v>
      </c>
      <c r="J5" s="118"/>
      <c r="L5" s="116" t="s">
        <v>138</v>
      </c>
      <c r="M5" s="116"/>
      <c r="O5" s="116" t="s">
        <v>203</v>
      </c>
      <c r="P5" s="116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9" t="s">
        <v>333</v>
      </c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9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9"/>
    </row>
    <row r="9" spans="2:18" x14ac:dyDescent="0.2">
      <c r="B9" s="8">
        <v>334</v>
      </c>
      <c r="D9" s="20"/>
      <c r="E9" s="37"/>
      <c r="F9" s="37"/>
      <c r="G9" s="37"/>
      <c r="R9" s="119"/>
    </row>
    <row r="10" spans="2:18" x14ac:dyDescent="0.2">
      <c r="B10" s="8">
        <v>252</v>
      </c>
      <c r="D10" s="20"/>
      <c r="E10" s="22"/>
      <c r="F10" s="22"/>
      <c r="G10" s="22"/>
      <c r="R10" s="119"/>
    </row>
    <row r="11" spans="2:18" x14ac:dyDescent="0.2">
      <c r="B11" s="8">
        <v>209</v>
      </c>
      <c r="D11" s="20"/>
      <c r="E11" s="22"/>
      <c r="F11" s="22"/>
      <c r="G11" s="22"/>
      <c r="R11" s="119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M8" sqref="M8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8" t="s">
        <v>198</v>
      </c>
      <c r="E5" s="118"/>
      <c r="F5" s="118"/>
      <c r="G5" s="118"/>
      <c r="I5" s="118" t="s">
        <v>200</v>
      </c>
      <c r="J5" s="118"/>
      <c r="L5" s="116" t="s">
        <v>138</v>
      </c>
      <c r="M5" s="116"/>
      <c r="O5" s="116" t="s">
        <v>203</v>
      </c>
      <c r="P5" s="116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 t="s">
        <v>197</v>
      </c>
      <c r="G6" s="90">
        <v>80</v>
      </c>
      <c r="I6" s="20" t="s">
        <v>142</v>
      </c>
      <c r="J6" s="71">
        <v>0.2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0.63310867376603175</v>
      </c>
      <c r="R6" s="119" t="s">
        <v>334</v>
      </c>
    </row>
    <row r="7" spans="2:18" x14ac:dyDescent="0.2">
      <c r="B7" s="8">
        <v>92.8</v>
      </c>
      <c r="D7" s="20" t="s">
        <v>195</v>
      </c>
      <c r="E7" s="89" t="s">
        <v>196</v>
      </c>
      <c r="F7" s="89" t="s">
        <v>199</v>
      </c>
      <c r="G7" s="90">
        <v>80</v>
      </c>
      <c r="I7" s="20"/>
      <c r="J7" s="1"/>
      <c r="L7" s="20" t="s">
        <v>46</v>
      </c>
      <c r="M7" s="72">
        <f>AVERAGE(B6:B100)</f>
        <v>80.169473684210516</v>
      </c>
      <c r="O7" s="20" t="s">
        <v>201</v>
      </c>
      <c r="P7" s="91">
        <f>(M7-G6)/P6</f>
        <v>0.26768498242553784</v>
      </c>
      <c r="R7" s="119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>
        <f>STDEV(B6:B100)</f>
        <v>6.1707800411122609</v>
      </c>
      <c r="O8" s="20" t="s">
        <v>206</v>
      </c>
      <c r="P8" s="70">
        <f>(1-_xlfn.T.DIST(P7,M6,TRUE))*2</f>
        <v>0.78952212727916882</v>
      </c>
      <c r="R8" s="119"/>
    </row>
    <row r="9" spans="2:18" x14ac:dyDescent="0.2">
      <c r="B9" s="8">
        <v>80.7</v>
      </c>
      <c r="D9" s="20"/>
      <c r="E9" s="37"/>
      <c r="F9" s="37"/>
      <c r="G9" s="37"/>
      <c r="R9" s="119"/>
    </row>
    <row r="10" spans="2:18" x14ac:dyDescent="0.2">
      <c r="B10" s="8">
        <v>74.900000000000006</v>
      </c>
      <c r="D10" s="20"/>
      <c r="E10" s="22"/>
      <c r="F10" s="22"/>
      <c r="G10" s="22"/>
      <c r="R10" s="119"/>
    </row>
    <row r="11" spans="2:18" x14ac:dyDescent="0.2">
      <c r="B11" s="8">
        <v>80.7</v>
      </c>
      <c r="D11" s="20"/>
      <c r="E11" s="22"/>
      <c r="F11" s="22"/>
      <c r="G11" s="22"/>
      <c r="R11" s="119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N9" sqref="N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8" t="s">
        <v>198</v>
      </c>
      <c r="F5" s="118"/>
      <c r="G5" s="118"/>
      <c r="H5" s="118"/>
      <c r="J5" s="118" t="s">
        <v>200</v>
      </c>
      <c r="K5" s="118"/>
      <c r="M5" s="116" t="s">
        <v>138</v>
      </c>
      <c r="N5" s="116"/>
      <c r="P5" s="116" t="s">
        <v>203</v>
      </c>
      <c r="Q5" s="116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 t="s">
        <v>208</v>
      </c>
      <c r="H6" s="90">
        <v>300</v>
      </c>
      <c r="J6" s="20" t="s">
        <v>142</v>
      </c>
      <c r="K6" s="71">
        <v>0.15</v>
      </c>
      <c r="M6" s="20" t="s">
        <v>71</v>
      </c>
      <c r="N6" s="71">
        <f>COUNTIFS(C6:C100,"Placed")</f>
        <v>53</v>
      </c>
      <c r="P6" s="20" t="s">
        <v>145</v>
      </c>
      <c r="Q6" s="75">
        <f>N8/SQRT(N6)</f>
        <v>11.879737349258281</v>
      </c>
      <c r="S6" s="120" t="s">
        <v>335</v>
      </c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 t="s">
        <v>209</v>
      </c>
      <c r="H7" s="90">
        <v>300</v>
      </c>
      <c r="J7" s="20"/>
      <c r="K7" s="1"/>
      <c r="M7" s="20" t="s">
        <v>46</v>
      </c>
      <c r="N7" s="72">
        <f>AVERAGEIFS($B$6:$B$100,$C$6:$C$100,"Placed")</f>
        <v>320.52830188679246</v>
      </c>
      <c r="P7" s="20" t="s">
        <v>201</v>
      </c>
      <c r="Q7" s="91">
        <f>(N7-H6)/Q6</f>
        <v>1.728009743251955</v>
      </c>
      <c r="S7" s="120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 cm="1">
        <f t="array" ref="N8">_xlfn.STDEV.S(IF($C$6:$C$100="Placed",B6:B100))</f>
        <v>86.485793358390339</v>
      </c>
      <c r="P8" s="20" t="s">
        <v>206</v>
      </c>
      <c r="Q8" s="70">
        <f>_xlfn.T.DIST.RT(Q7,N6)</f>
        <v>4.4904773165032809E-2</v>
      </c>
      <c r="S8" s="120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20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20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20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P6" sqref="P6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0" max="10" width="9.1640625" bestFit="1" customWidth="1"/>
    <col min="12" max="12" width="11.5" customWidth="1"/>
    <col min="15" max="15" width="15.6640625" bestFit="1" customWidth="1"/>
    <col min="16" max="16" width="10.1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6" t="s">
        <v>138</v>
      </c>
      <c r="E5" s="116"/>
      <c r="G5" s="118" t="s">
        <v>198</v>
      </c>
      <c r="H5" s="118"/>
      <c r="I5" s="118"/>
      <c r="J5" s="118"/>
      <c r="L5" s="118" t="s">
        <v>200</v>
      </c>
      <c r="M5" s="118"/>
      <c r="O5" s="116" t="s">
        <v>203</v>
      </c>
      <c r="P5" s="116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>
        <f>COUNT(B6:B58)</f>
        <v>53</v>
      </c>
      <c r="G6" s="20" t="s">
        <v>194</v>
      </c>
      <c r="H6" s="89" t="s">
        <v>212</v>
      </c>
      <c r="I6" s="89" t="s">
        <v>208</v>
      </c>
      <c r="J6" s="108">
        <v>0.5</v>
      </c>
      <c r="L6" s="20" t="s">
        <v>142</v>
      </c>
      <c r="M6" s="71">
        <v>0.05</v>
      </c>
      <c r="O6" s="20" t="s">
        <v>145</v>
      </c>
      <c r="P6" s="93">
        <f>SQRT(E7*E8/E6)</f>
        <v>6.5872243431592162E-2</v>
      </c>
      <c r="R6" s="119" t="s">
        <v>336</v>
      </c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>
        <f>COUNTIFS(B6:B58,"&gt;="&amp;100000)/E6</f>
        <v>0.64150943396226412</v>
      </c>
      <c r="G7" s="20" t="s">
        <v>195</v>
      </c>
      <c r="H7" s="89" t="s">
        <v>212</v>
      </c>
      <c r="I7" s="89" t="s">
        <v>209</v>
      </c>
      <c r="J7" s="108">
        <v>0.5</v>
      </c>
      <c r="L7" s="20"/>
      <c r="M7" s="1"/>
      <c r="O7" s="20" t="s">
        <v>211</v>
      </c>
      <c r="P7" s="91">
        <f>(E7-J6)/P6</f>
        <v>2.14824069426481</v>
      </c>
      <c r="R7" s="119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>
        <f>1-E7</f>
        <v>0.35849056603773588</v>
      </c>
      <c r="G8" s="20"/>
      <c r="H8" s="36"/>
      <c r="I8" s="36"/>
      <c r="J8" s="36"/>
      <c r="O8" s="20" t="s">
        <v>206</v>
      </c>
      <c r="P8" s="70">
        <f>1-_xlfn.NORM.S.DIST(P7,TRUE)</f>
        <v>1.5847319730759257E-2</v>
      </c>
      <c r="R8" s="119"/>
    </row>
    <row r="9" spans="2:22" x14ac:dyDescent="0.2">
      <c r="B9" s="53">
        <v>148000</v>
      </c>
      <c r="G9" s="20"/>
      <c r="H9" s="37"/>
      <c r="I9" s="37"/>
      <c r="J9" s="37"/>
      <c r="R9" s="119"/>
    </row>
    <row r="10" spans="2:22" x14ac:dyDescent="0.2">
      <c r="B10" s="53">
        <v>255500</v>
      </c>
      <c r="D10" s="116" t="s">
        <v>162</v>
      </c>
      <c r="E10" s="116"/>
      <c r="G10" s="20"/>
      <c r="H10" s="22"/>
      <c r="I10" s="22"/>
      <c r="J10" s="22"/>
      <c r="R10" s="119"/>
    </row>
    <row r="11" spans="2:22" x14ac:dyDescent="0.2">
      <c r="B11" s="53">
        <v>103500</v>
      </c>
      <c r="D11" s="20" t="s">
        <v>163</v>
      </c>
      <c r="E11" s="71">
        <f>E7*E6</f>
        <v>34</v>
      </c>
      <c r="G11" s="20"/>
      <c r="H11" s="22"/>
      <c r="I11" s="22"/>
      <c r="J11" s="22"/>
      <c r="R11" s="119"/>
    </row>
    <row r="12" spans="2:22" x14ac:dyDescent="0.2">
      <c r="B12" s="53">
        <v>114500</v>
      </c>
      <c r="D12" s="20" t="s">
        <v>164</v>
      </c>
      <c r="E12" s="71">
        <f>E8*E6</f>
        <v>19</v>
      </c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topLeftCell="E1" workbookViewId="0">
      <selection activeCell="U6" sqref="U6:U11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8" t="s">
        <v>198</v>
      </c>
      <c r="H5" s="118"/>
      <c r="I5" s="118"/>
      <c r="J5" s="118"/>
      <c r="L5" s="118" t="s">
        <v>200</v>
      </c>
      <c r="M5" s="118"/>
      <c r="O5" s="116" t="s">
        <v>138</v>
      </c>
      <c r="P5" s="116"/>
      <c r="R5" s="116" t="s">
        <v>203</v>
      </c>
      <c r="S5" s="116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>
        <f>D6-C6</f>
        <v>24</v>
      </c>
      <c r="G6" s="20" t="s">
        <v>194</v>
      </c>
      <c r="H6" s="89" t="s">
        <v>215</v>
      </c>
      <c r="I6" s="89" t="s">
        <v>310</v>
      </c>
      <c r="J6" s="90">
        <v>50</v>
      </c>
      <c r="L6" s="20" t="s">
        <v>142</v>
      </c>
      <c r="M6" s="71">
        <f>1-0.98</f>
        <v>2.0000000000000018E-2</v>
      </c>
      <c r="O6" s="20" t="s">
        <v>71</v>
      </c>
      <c r="P6" s="71">
        <f>COUNT(E6:E100)</f>
        <v>95</v>
      </c>
      <c r="R6" s="20" t="s">
        <v>145</v>
      </c>
      <c r="S6" s="75">
        <f>P8/SQRT(P6)</f>
        <v>3.0425395986393706</v>
      </c>
      <c r="U6" s="119" t="s">
        <v>337</v>
      </c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195</v>
      </c>
      <c r="H7" s="89" t="s">
        <v>215</v>
      </c>
      <c r="I7" s="89" t="s">
        <v>311</v>
      </c>
      <c r="J7" s="90">
        <v>50</v>
      </c>
      <c r="L7" s="20"/>
      <c r="M7" s="1"/>
      <c r="O7" s="20" t="s">
        <v>46</v>
      </c>
      <c r="P7" s="72">
        <f>AVERAGE(E6:E100)</f>
        <v>49.442105263157892</v>
      </c>
      <c r="R7" s="20" t="s">
        <v>201</v>
      </c>
      <c r="S7" s="91">
        <f>(P7-J6)/S6</f>
        <v>-0.18336482361366796</v>
      </c>
      <c r="U7" s="119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/>
      <c r="H8" s="36"/>
      <c r="I8" s="36"/>
      <c r="J8" s="36"/>
      <c r="O8" s="20" t="s">
        <v>70</v>
      </c>
      <c r="P8" s="75">
        <f>_xlfn.STDEV.S(E6:E100)</f>
        <v>29.655007753875548</v>
      </c>
      <c r="R8" s="20" t="s">
        <v>206</v>
      </c>
      <c r="S8" s="70">
        <f>_xlfn.T.DIST(S7,P6-1,TRUE)</f>
        <v>0.42745335670268647</v>
      </c>
      <c r="U8" s="119"/>
    </row>
    <row r="9" spans="2:24" x14ac:dyDescent="0.2">
      <c r="B9" s="8">
        <v>4</v>
      </c>
      <c r="C9" s="8">
        <v>288</v>
      </c>
      <c r="D9" s="8">
        <v>334</v>
      </c>
      <c r="E9" s="8">
        <f t="shared" si="0"/>
        <v>46</v>
      </c>
      <c r="G9" s="20"/>
      <c r="H9" s="37"/>
      <c r="I9" s="37"/>
      <c r="J9" s="37"/>
      <c r="U9" s="119"/>
    </row>
    <row r="10" spans="2:2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G10" s="20"/>
      <c r="H10" s="22"/>
      <c r="I10" s="22"/>
      <c r="J10" s="22"/>
      <c r="U10" s="119"/>
    </row>
    <row r="11" spans="2:2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G11" s="20"/>
      <c r="H11" s="22"/>
      <c r="I11" s="22"/>
      <c r="J11" s="22"/>
      <c r="U11" s="119"/>
    </row>
    <row r="12" spans="2:2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2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2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2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24" x14ac:dyDescent="0.2">
      <c r="B16" s="8">
        <v>11</v>
      </c>
      <c r="C16" s="8">
        <v>182</v>
      </c>
      <c r="D16" s="8">
        <v>232</v>
      </c>
      <c r="E16" s="8">
        <f t="shared" si="0"/>
        <v>50</v>
      </c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topLeftCell="C1" workbookViewId="0">
      <selection activeCell="U9" sqref="U9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1" max="21" width="17.832031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7" t="s">
        <v>138</v>
      </c>
      <c r="F5" s="117"/>
      <c r="G5" s="117"/>
      <c r="I5" s="116" t="s">
        <v>178</v>
      </c>
      <c r="J5" s="116"/>
      <c r="L5" s="118" t="s">
        <v>198</v>
      </c>
      <c r="M5" s="118"/>
      <c r="N5" s="118"/>
      <c r="O5" s="118"/>
      <c r="Q5" s="118" t="s">
        <v>200</v>
      </c>
      <c r="R5" s="118"/>
      <c r="T5" s="116" t="s">
        <v>203</v>
      </c>
      <c r="U5" s="116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>
        <f>F9-G9</f>
        <v>7744.2810457516316</v>
      </c>
      <c r="L6" s="20" t="s">
        <v>194</v>
      </c>
      <c r="M6" s="89" t="s">
        <v>215</v>
      </c>
      <c r="N6" s="89" t="s">
        <v>208</v>
      </c>
      <c r="O6" s="90">
        <v>0</v>
      </c>
      <c r="Q6" s="20" t="s">
        <v>142</v>
      </c>
      <c r="R6" s="71">
        <f>1-0.99</f>
        <v>1.0000000000000009E-2</v>
      </c>
      <c r="T6" s="20" t="s">
        <v>145</v>
      </c>
      <c r="U6" s="80">
        <f>SQRT(SUM(F11:G11))</f>
        <v>15739.713009442165</v>
      </c>
      <c r="W6" s="119" t="s">
        <v>338</v>
      </c>
      <c r="Y6" s="94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>
        <f>COUNTIFS($B$6:$B$58,F6)</f>
        <v>17</v>
      </c>
      <c r="G7" s="71">
        <f>COUNTIFS($B$6:$B$58,G6)</f>
        <v>36</v>
      </c>
      <c r="L7" s="20" t="s">
        <v>195</v>
      </c>
      <c r="M7" s="89" t="s">
        <v>215</v>
      </c>
      <c r="N7" s="89" t="s">
        <v>209</v>
      </c>
      <c r="O7" s="90">
        <v>0</v>
      </c>
      <c r="Q7" s="20"/>
      <c r="R7" s="1"/>
      <c r="T7" s="20" t="s">
        <v>201</v>
      </c>
      <c r="U7" s="91">
        <f>(J6-O6)/U6</f>
        <v>0.49202174404996341</v>
      </c>
      <c r="W7" s="119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>
        <f>F7-1</f>
        <v>16</v>
      </c>
      <c r="G8" s="71">
        <f>G7-1</f>
        <v>35</v>
      </c>
      <c r="L8" s="20"/>
      <c r="M8" s="36"/>
      <c r="N8" s="36"/>
      <c r="O8" s="36"/>
      <c r="T8" s="20" t="s">
        <v>180</v>
      </c>
      <c r="U8" s="75">
        <f>(SUM(F11:G11)^2/SUM(F11^2/F8,G11^2/G8))</f>
        <v>22.429970730290126</v>
      </c>
      <c r="W8" s="119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>
        <f>AVERAGEIFS($C$6:$C$58,$B$6:$B$58,F6)</f>
        <v>124647.05882352941</v>
      </c>
      <c r="G9" s="80">
        <f>AVERAGEIFS($C$6:$C$58,$B$6:$B$58,G6)</f>
        <v>116902.77777777778</v>
      </c>
      <c r="L9" s="20"/>
      <c r="M9" s="37"/>
      <c r="N9" s="37"/>
      <c r="O9" s="37"/>
      <c r="T9" s="20" t="s">
        <v>206</v>
      </c>
      <c r="U9" s="70">
        <f>_xlfn.T.DIST.RT(U7,U8)</f>
        <v>0.31378889492074447</v>
      </c>
      <c r="W9" s="119"/>
    </row>
    <row r="10" spans="2:26" ht="17" x14ac:dyDescent="0.2">
      <c r="B10" s="8" t="s">
        <v>25</v>
      </c>
      <c r="C10" s="12">
        <v>255500</v>
      </c>
      <c r="E10" s="20" t="s">
        <v>177</v>
      </c>
      <c r="F10" s="74" cm="1">
        <f t="array" ref="F10">VAR(IF(B6:$B$58="Yes",$C$6:$C$58))</f>
        <v>3526773897.0588226</v>
      </c>
      <c r="G10" s="74" cm="1">
        <f t="array" ref="G10">VAR(IF($B6:C$58="No",$C$6:$C$58))</f>
        <v>1450125992.0634923</v>
      </c>
      <c r="L10" s="20"/>
      <c r="M10" s="22"/>
      <c r="N10" s="22"/>
      <c r="O10" s="22"/>
      <c r="W10" s="119"/>
    </row>
    <row r="11" spans="2:26" ht="17" x14ac:dyDescent="0.2">
      <c r="B11" s="8" t="s">
        <v>25</v>
      </c>
      <c r="C11" s="12">
        <v>103500</v>
      </c>
      <c r="E11" s="20" t="s">
        <v>182</v>
      </c>
      <c r="F11" s="74">
        <f>F10/F7</f>
        <v>207457288.06228369</v>
      </c>
      <c r="G11" s="74">
        <f>G10/G7</f>
        <v>40281277.557319231</v>
      </c>
      <c r="L11" s="20"/>
      <c r="M11" s="22"/>
      <c r="N11" s="22"/>
      <c r="O11" s="22"/>
      <c r="W11" s="119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G25" sqref="G2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F6" sqref="F6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6" t="s">
        <v>228</v>
      </c>
      <c r="F5" s="116"/>
    </row>
    <row r="6" spans="2:6" x14ac:dyDescent="0.2">
      <c r="B6" s="51">
        <v>68.400000000000006</v>
      </c>
      <c r="C6" s="51">
        <v>90.2</v>
      </c>
      <c r="E6" s="20" t="s">
        <v>229</v>
      </c>
      <c r="F6" s="87">
        <f>PEARSON(B6:B100,C6:C100)</f>
        <v>0.10605610621279929</v>
      </c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zoomScaleNormal="100" workbookViewId="0">
      <selection activeCell="K30" sqref="K30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6" t="s">
        <v>231</v>
      </c>
      <c r="I5" s="116"/>
      <c r="J5" s="116"/>
      <c r="K5" s="116"/>
      <c r="L5" s="116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5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>
        <f>PEARSON($F$6:$F$58,B6:B58)</f>
        <v>8.8131115330406282E-2</v>
      </c>
      <c r="J7" s="87">
        <f>PEARSON($F$6:$F$58,C6:C58)</f>
        <v>-0.21594890460773236</v>
      </c>
      <c r="K7" s="87">
        <f>PEARSON($F$6:$F$58,D6:D58)</f>
        <v>-3.3036156159711241E-2</v>
      </c>
      <c r="L7" s="87">
        <f>PEARSON($F$6:$F$58,E6:E58)</f>
        <v>-1.1767089174847936E-2</v>
      </c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zoomScaleNormal="100" workbookViewId="0">
      <selection activeCell="F14" sqref="F14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6" t="s">
        <v>228</v>
      </c>
      <c r="F5" s="116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200</v>
      </c>
      <c r="N6" s="98"/>
    </row>
    <row r="7" spans="2:14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248.14268623603792</v>
      </c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topLeftCell="D1" workbookViewId="0">
      <selection activeCell="P11" sqref="P11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6" t="s">
        <v>228</v>
      </c>
      <c r="J5" s="116"/>
      <c r="K5" s="116"/>
      <c r="M5" s="116" t="s">
        <v>241</v>
      </c>
      <c r="N5" s="116"/>
      <c r="P5" s="116" t="s">
        <v>240</v>
      </c>
      <c r="Q5" s="116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43" t="s">
        <v>76</v>
      </c>
      <c r="K6" s="43" t="s">
        <v>22</v>
      </c>
      <c r="M6" s="20" t="s">
        <v>238</v>
      </c>
      <c r="N6" s="75">
        <f>INTERCEPT(G6:G100,B6:B100)</f>
        <v>-223.4190539652177</v>
      </c>
      <c r="P6" s="20" t="s">
        <v>314</v>
      </c>
      <c r="Q6" s="71">
        <v>80</v>
      </c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>
        <f>CORREL($G$6:$G$100,B6:B100)</f>
        <v>0.92556272300776632</v>
      </c>
      <c r="K7">
        <f>CORREL($G$6:$G$100,D6:D100)</f>
        <v>9.4366710749681004E-2</v>
      </c>
      <c r="M7" s="20" t="s">
        <v>239</v>
      </c>
      <c r="N7" s="87">
        <f>SLOPE(G6:G100,B6:B100)</f>
        <v>3.6394257812138537</v>
      </c>
      <c r="P7" s="20" t="s">
        <v>254</v>
      </c>
      <c r="Q7" s="72">
        <f>_xlfn.FORECAST.LINEAR(Q6,G6:G100,B6:B100)</f>
        <v>67.735008531890571</v>
      </c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  <c r="J10" s="109"/>
      <c r="K10" s="109"/>
      <c r="L10" s="109"/>
      <c r="M10" s="109"/>
      <c r="N10" s="109"/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P100"/>
  <sheetViews>
    <sheetView showGridLines="0" workbookViewId="0">
      <selection activeCell="O9" sqref="O9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6" ht="25.5" customHeight="1" x14ac:dyDescent="0.25">
      <c r="B1" s="18" t="s">
        <v>262</v>
      </c>
    </row>
    <row r="2" spans="2:16" ht="15" customHeight="1" x14ac:dyDescent="0.2">
      <c r="B2" s="30" t="s">
        <v>256</v>
      </c>
    </row>
    <row r="3" spans="2:16" ht="18" customHeight="1" x14ac:dyDescent="0.2"/>
    <row r="4" spans="2:16" x14ac:dyDescent="0.2">
      <c r="E4" s="3" t="s">
        <v>54</v>
      </c>
    </row>
    <row r="5" spans="2:16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6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6" x14ac:dyDescent="0.2">
      <c r="B8" s="8">
        <v>101</v>
      </c>
      <c r="C8" s="8">
        <v>119</v>
      </c>
      <c r="N8" s="20" t="s">
        <v>250</v>
      </c>
      <c r="O8" s="87">
        <f>F6^2</f>
        <v>0.90034649029559788</v>
      </c>
      <c r="P8" s="110">
        <f>1-(O6/O7)</f>
        <v>0.90034649029559821</v>
      </c>
    </row>
    <row r="9" spans="2:16" x14ac:dyDescent="0.2">
      <c r="B9" s="8">
        <v>288</v>
      </c>
      <c r="C9" s="8">
        <v>334</v>
      </c>
    </row>
    <row r="10" spans="2:16" x14ac:dyDescent="0.2">
      <c r="B10" s="8">
        <v>248</v>
      </c>
      <c r="C10" s="8">
        <v>252</v>
      </c>
    </row>
    <row r="11" spans="2:16" x14ac:dyDescent="0.2">
      <c r="B11" s="8">
        <v>145</v>
      </c>
      <c r="C11" s="8">
        <v>209</v>
      </c>
    </row>
    <row r="12" spans="2:16" x14ac:dyDescent="0.2">
      <c r="B12" s="8">
        <v>401</v>
      </c>
      <c r="C12" s="8">
        <v>462</v>
      </c>
    </row>
    <row r="13" spans="2:16" x14ac:dyDescent="0.2">
      <c r="B13" s="8">
        <v>287</v>
      </c>
      <c r="C13" s="8">
        <v>342</v>
      </c>
    </row>
    <row r="14" spans="2:16" x14ac:dyDescent="0.2">
      <c r="B14" s="8">
        <v>275</v>
      </c>
      <c r="C14" s="8">
        <v>347</v>
      </c>
    </row>
    <row r="15" spans="2:16" x14ac:dyDescent="0.2">
      <c r="B15" s="8">
        <v>254</v>
      </c>
      <c r="C15" s="8">
        <v>313</v>
      </c>
    </row>
    <row r="16" spans="2:1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P10" sqref="P10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O6/(COUNT(B6:B100)-1-1)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SQRT(O9)</f>
        <v>29.680972077103373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O11" sqref="O11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>
        <v>0.05</v>
      </c>
    </row>
    <row r="12" spans="2:15" x14ac:dyDescent="0.2">
      <c r="B12" s="8">
        <v>401</v>
      </c>
      <c r="C12" s="8">
        <v>462</v>
      </c>
      <c r="N12" s="58" t="s">
        <v>252</v>
      </c>
      <c r="O12" s="96">
        <f>(O7-O6)/1</f>
        <v>740212.24722201866</v>
      </c>
    </row>
    <row r="13" spans="2:15" x14ac:dyDescent="0.2">
      <c r="B13" s="8">
        <v>287</v>
      </c>
      <c r="C13" s="8">
        <v>342</v>
      </c>
      <c r="N13" s="20" t="s">
        <v>251</v>
      </c>
      <c r="O13" s="75">
        <f>O12/O9</f>
        <v>840.23356373360275</v>
      </c>
    </row>
    <row r="14" spans="2:15" x14ac:dyDescent="0.2">
      <c r="B14" s="8">
        <v>275</v>
      </c>
      <c r="C14" s="8">
        <v>347</v>
      </c>
      <c r="N14" s="20" t="s">
        <v>206</v>
      </c>
      <c r="O14" s="121">
        <f>_xlfn.F.DIST.RT(O13,1,COUNT(B6:B100))</f>
        <v>5.7260862475535849E-49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O15" sqref="O1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6" cm="1">
        <f t="array" ref="O6">SUMSQ(C6:C100-_xlfn.FORECAST.LINEAR(B6:B100,C6:C100,B6:B100))</f>
        <v>11848.737688059424</v>
      </c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6" cm="1">
        <f t="array" ref="O7">SUMSQ(C6:C100-AVERAGE(C6:C100))</f>
        <v>82665.431578947362</v>
      </c>
    </row>
    <row r="8" spans="2:15" x14ac:dyDescent="0.2">
      <c r="B8" s="8">
        <v>70.2</v>
      </c>
      <c r="C8" s="51">
        <v>18</v>
      </c>
      <c r="N8" s="20" t="s">
        <v>250</v>
      </c>
      <c r="O8" s="87">
        <f>F6^2</f>
        <v>0.85666635422155113</v>
      </c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6">
        <f>O6/(COUNT(C6:C100)-1-1)</f>
        <v>127.40578159203682</v>
      </c>
    </row>
    <row r="10" spans="2:15" x14ac:dyDescent="0.2">
      <c r="B10" s="8">
        <v>60.9</v>
      </c>
      <c r="C10" s="51">
        <v>4</v>
      </c>
      <c r="N10" s="20" t="s">
        <v>145</v>
      </c>
      <c r="O10" s="75">
        <f>STEYX(C6:C100,B6:B100)</f>
        <v>11.287416958367267</v>
      </c>
    </row>
    <row r="11" spans="2:15" x14ac:dyDescent="0.2">
      <c r="B11" s="8">
        <v>74.5</v>
      </c>
      <c r="C11" s="51">
        <v>64</v>
      </c>
      <c r="N11" s="20" t="s">
        <v>142</v>
      </c>
      <c r="O11" s="71">
        <v>0.05</v>
      </c>
    </row>
    <row r="12" spans="2:15" x14ac:dyDescent="0.2">
      <c r="B12" s="8">
        <v>76.400000000000006</v>
      </c>
      <c r="C12" s="51">
        <v>61</v>
      </c>
      <c r="N12" s="58" t="s">
        <v>252</v>
      </c>
      <c r="O12" s="96">
        <f>(O7-O6)/1</f>
        <v>70816.693890887938</v>
      </c>
    </row>
    <row r="13" spans="2:15" x14ac:dyDescent="0.2">
      <c r="B13" s="8">
        <v>82.6</v>
      </c>
      <c r="C13" s="51">
        <v>55</v>
      </c>
      <c r="N13" s="20" t="s">
        <v>251</v>
      </c>
      <c r="O13" s="75">
        <f>O12/O9</f>
        <v>555.83579493785044</v>
      </c>
    </row>
    <row r="14" spans="2:15" x14ac:dyDescent="0.2">
      <c r="B14" s="8">
        <v>76.900000000000006</v>
      </c>
      <c r="C14" s="51">
        <v>72</v>
      </c>
      <c r="N14" s="20" t="s">
        <v>206</v>
      </c>
      <c r="O14" s="87">
        <f>_xlfn.F.DIST.RT(O13,1,COUNT(C6:C100)-1-1)</f>
        <v>5.2426700789330636E-41</v>
      </c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V122"/>
  <sheetViews>
    <sheetView showGridLines="0" topLeftCell="C1" workbookViewId="0">
      <selection activeCell="P12" sqref="P12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  <col min="14" max="14" width="15.5" bestFit="1" customWidth="1"/>
    <col min="15" max="15" width="12.5" bestFit="1" customWidth="1"/>
    <col min="16" max="16" width="13.1640625" bestFit="1" customWidth="1"/>
    <col min="17" max="17" width="12.1640625" bestFit="1" customWidth="1"/>
    <col min="18" max="18" width="11.83203125" bestFit="1" customWidth="1"/>
    <col min="19" max="19" width="12.33203125" bestFit="1" customWidth="1"/>
    <col min="20" max="21" width="12.1640625" bestFit="1" customWidth="1"/>
  </cols>
  <sheetData>
    <row r="1" spans="2:19" ht="25.5" customHeight="1" x14ac:dyDescent="0.25">
      <c r="B1" s="18" t="s">
        <v>244</v>
      </c>
    </row>
    <row r="2" spans="2:19" ht="15" customHeight="1" x14ac:dyDescent="0.2">
      <c r="B2" s="30" t="s">
        <v>265</v>
      </c>
    </row>
    <row r="3" spans="2:19" ht="18" customHeight="1" x14ac:dyDescent="0.2"/>
    <row r="4" spans="2:19" x14ac:dyDescent="0.2">
      <c r="E4" s="3" t="s">
        <v>54</v>
      </c>
    </row>
    <row r="5" spans="2:19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247</v>
      </c>
      <c r="L5" s="116"/>
      <c r="N5" t="s">
        <v>339</v>
      </c>
    </row>
    <row r="6" spans="2:19" ht="16" thickBot="1" x14ac:dyDescent="0.25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6" cm="1">
        <f t="array" ref="L6">SUMSQ(C6:C100-_xlfn.FORECAST.LINEAR(B6:B100,C6:C100,B6:B100))</f>
        <v>81929.289620086478</v>
      </c>
    </row>
    <row r="7" spans="2:19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6" cm="1">
        <f t="array" ref="L7">SUMSQ(C6:C100-AVERAGE(C6:C100))</f>
        <v>822141.5368421051</v>
      </c>
      <c r="N7" s="125" t="s">
        <v>340</v>
      </c>
      <c r="O7" s="125"/>
    </row>
    <row r="8" spans="2:19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  <c r="N8" s="122" t="s">
        <v>341</v>
      </c>
      <c r="O8" s="122">
        <v>0.94928686512983884</v>
      </c>
    </row>
    <row r="9" spans="2:19" x14ac:dyDescent="0.2">
      <c r="B9" s="8">
        <v>288</v>
      </c>
      <c r="C9" s="8">
        <v>334</v>
      </c>
      <c r="K9" s="58" t="s">
        <v>253</v>
      </c>
      <c r="L9" s="96">
        <f>L6/(COUNT(C6:C100)-1-1)</f>
        <v>880.96010344179012</v>
      </c>
      <c r="N9" s="122" t="s">
        <v>342</v>
      </c>
      <c r="O9" s="122">
        <v>0.90114555230803683</v>
      </c>
    </row>
    <row r="10" spans="2:19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  <c r="N10" s="122" t="s">
        <v>343</v>
      </c>
      <c r="O10" s="122">
        <v>0.90007104744181987</v>
      </c>
    </row>
    <row r="11" spans="2:19" x14ac:dyDescent="0.2">
      <c r="B11" s="8">
        <v>145</v>
      </c>
      <c r="C11" s="8">
        <v>209</v>
      </c>
      <c r="K11" s="20" t="s">
        <v>142</v>
      </c>
      <c r="L11" s="71">
        <v>0.05</v>
      </c>
      <c r="N11" s="122" t="s">
        <v>257</v>
      </c>
      <c r="O11" s="122">
        <v>29.718708251909501</v>
      </c>
    </row>
    <row r="12" spans="2:19" ht="16" thickBot="1" x14ac:dyDescent="0.25">
      <c r="B12" s="8">
        <v>401</v>
      </c>
      <c r="C12" s="8">
        <v>462</v>
      </c>
      <c r="K12" s="58" t="s">
        <v>252</v>
      </c>
      <c r="L12" s="96">
        <f>(L7-L6)/1</f>
        <v>740212.24722201866</v>
      </c>
      <c r="N12" s="123" t="s">
        <v>344</v>
      </c>
      <c r="O12" s="123">
        <v>94</v>
      </c>
    </row>
    <row r="13" spans="2:19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9" ht="16" thickBot="1" x14ac:dyDescent="0.25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  <c r="N14" t="s">
        <v>345</v>
      </c>
    </row>
    <row r="15" spans="2:19" x14ac:dyDescent="0.2">
      <c r="B15" s="8">
        <v>254</v>
      </c>
      <c r="C15" s="8">
        <v>313</v>
      </c>
      <c r="N15" s="124"/>
      <c r="O15" s="124" t="s">
        <v>350</v>
      </c>
      <c r="P15" s="124" t="s">
        <v>351</v>
      </c>
      <c r="Q15" s="124" t="s">
        <v>352</v>
      </c>
      <c r="R15" s="124" t="s">
        <v>353</v>
      </c>
      <c r="S15" s="124" t="s">
        <v>354</v>
      </c>
    </row>
    <row r="16" spans="2:19" x14ac:dyDescent="0.2">
      <c r="B16" s="8">
        <v>182</v>
      </c>
      <c r="C16" s="8">
        <v>232</v>
      </c>
      <c r="N16" s="122" t="s">
        <v>346</v>
      </c>
      <c r="O16" s="122">
        <v>1</v>
      </c>
      <c r="P16" s="122">
        <v>740706.94030678738</v>
      </c>
      <c r="Q16" s="122">
        <v>740706.94030678738</v>
      </c>
      <c r="R16" s="122">
        <v>838.66121098241274</v>
      </c>
      <c r="S16" s="122">
        <v>5.1379397224252298E-48</v>
      </c>
    </row>
    <row r="17" spans="2:22" x14ac:dyDescent="0.2">
      <c r="B17" s="8">
        <v>117</v>
      </c>
      <c r="C17" s="8">
        <v>163</v>
      </c>
      <c r="N17" s="122" t="s">
        <v>347</v>
      </c>
      <c r="O17" s="122">
        <v>92</v>
      </c>
      <c r="P17" s="122">
        <v>81254.549054914489</v>
      </c>
      <c r="Q17" s="122">
        <v>883.20162016211395</v>
      </c>
      <c r="R17" s="122"/>
      <c r="S17" s="122"/>
    </row>
    <row r="18" spans="2:22" ht="16" thickBot="1" x14ac:dyDescent="0.25">
      <c r="B18" s="8">
        <v>130</v>
      </c>
      <c r="C18" s="8">
        <v>119</v>
      </c>
      <c r="N18" s="123" t="s">
        <v>348</v>
      </c>
      <c r="O18" s="123">
        <v>93</v>
      </c>
      <c r="P18" s="123">
        <v>821961.48936170188</v>
      </c>
      <c r="Q18" s="123"/>
      <c r="R18" s="123"/>
      <c r="S18" s="123"/>
    </row>
    <row r="19" spans="2:22" ht="16" thickBot="1" x14ac:dyDescent="0.25">
      <c r="B19" s="8">
        <v>219</v>
      </c>
      <c r="C19" s="8">
        <v>304</v>
      </c>
    </row>
    <row r="20" spans="2:22" x14ac:dyDescent="0.2">
      <c r="B20" s="8">
        <v>152</v>
      </c>
      <c r="C20" s="8">
        <v>211</v>
      </c>
      <c r="N20" s="124"/>
      <c r="O20" s="124" t="s">
        <v>355</v>
      </c>
      <c r="P20" s="124" t="s">
        <v>257</v>
      </c>
      <c r="Q20" s="124" t="s">
        <v>356</v>
      </c>
      <c r="R20" s="124" t="s">
        <v>357</v>
      </c>
      <c r="S20" s="124" t="s">
        <v>358</v>
      </c>
      <c r="T20" s="124" t="s">
        <v>359</v>
      </c>
      <c r="U20" s="124" t="s">
        <v>360</v>
      </c>
      <c r="V20" s="124" t="s">
        <v>361</v>
      </c>
    </row>
    <row r="21" spans="2:22" x14ac:dyDescent="0.2">
      <c r="B21" s="8">
        <v>228</v>
      </c>
      <c r="C21" s="8">
        <v>286</v>
      </c>
      <c r="N21" s="122" t="s">
        <v>349</v>
      </c>
      <c r="O21" s="122">
        <v>41.795925313975204</v>
      </c>
      <c r="P21" s="122">
        <v>9.0857303867626324</v>
      </c>
      <c r="Q21" s="122">
        <v>4.6001723069913432</v>
      </c>
      <c r="R21" s="122">
        <v>1.345311168611025E-5</v>
      </c>
      <c r="S21" s="122">
        <v>23.750880513318844</v>
      </c>
      <c r="T21" s="122">
        <v>59.84097011463156</v>
      </c>
      <c r="U21" s="122">
        <v>23.750880513318844</v>
      </c>
      <c r="V21" s="122">
        <v>59.84097011463156</v>
      </c>
    </row>
    <row r="22" spans="2:22" ht="16" thickBot="1" x14ac:dyDescent="0.25">
      <c r="B22" s="8">
        <v>62</v>
      </c>
      <c r="C22" s="8">
        <v>122</v>
      </c>
      <c r="N22" s="123">
        <v>252</v>
      </c>
      <c r="O22" s="123">
        <v>1.0330175704550482</v>
      </c>
      <c r="P22" s="123">
        <v>3.5670929814361027E-2</v>
      </c>
      <c r="Q22" s="123">
        <v>28.959647977529251</v>
      </c>
      <c r="R22" s="123">
        <v>5.1379397224249375E-48</v>
      </c>
      <c r="S22" s="123">
        <v>0.9621720248378216</v>
      </c>
      <c r="T22" s="123">
        <v>1.1038631160722747</v>
      </c>
      <c r="U22" s="123">
        <v>0.9621720248378216</v>
      </c>
      <c r="V22" s="123">
        <v>1.1038631160722747</v>
      </c>
    </row>
    <row r="23" spans="2:22" x14ac:dyDescent="0.2">
      <c r="B23" s="8">
        <v>393</v>
      </c>
      <c r="C23" s="8">
        <v>443</v>
      </c>
    </row>
    <row r="24" spans="2:22" x14ac:dyDescent="0.2">
      <c r="B24" s="8">
        <v>277</v>
      </c>
      <c r="C24" s="8">
        <v>366</v>
      </c>
    </row>
    <row r="25" spans="2:22" x14ac:dyDescent="0.2">
      <c r="B25" s="8">
        <v>206</v>
      </c>
      <c r="C25" s="8">
        <v>244</v>
      </c>
    </row>
    <row r="26" spans="2:22" x14ac:dyDescent="0.2">
      <c r="B26" s="8">
        <v>229</v>
      </c>
      <c r="C26" s="8">
        <v>241</v>
      </c>
      <c r="N26" t="s">
        <v>362</v>
      </c>
    </row>
    <row r="27" spans="2:22" ht="16" thickBot="1" x14ac:dyDescent="0.25">
      <c r="B27" s="8">
        <v>182</v>
      </c>
      <c r="C27" s="8">
        <v>237</v>
      </c>
    </row>
    <row r="28" spans="2:22" x14ac:dyDescent="0.2">
      <c r="B28" s="8">
        <v>98</v>
      </c>
      <c r="C28" s="8">
        <v>122</v>
      </c>
      <c r="N28" s="124" t="s">
        <v>363</v>
      </c>
      <c r="O28" s="124" t="s">
        <v>365</v>
      </c>
      <c r="P28" s="124" t="s">
        <v>364</v>
      </c>
    </row>
    <row r="29" spans="2:22" x14ac:dyDescent="0.2">
      <c r="B29" s="8">
        <v>125</v>
      </c>
      <c r="C29" s="8">
        <v>129</v>
      </c>
      <c r="N29" s="122">
        <v>1</v>
      </c>
      <c r="O29" s="122">
        <v>478.76235761646058</v>
      </c>
      <c r="P29" s="122">
        <v>-68.762357616460577</v>
      </c>
    </row>
    <row r="30" spans="2:22" x14ac:dyDescent="0.2">
      <c r="B30" s="8">
        <v>164</v>
      </c>
      <c r="C30" s="8">
        <v>236</v>
      </c>
      <c r="N30" s="122">
        <v>2</v>
      </c>
      <c r="O30" s="122">
        <v>146.13069992993508</v>
      </c>
      <c r="P30" s="122">
        <v>-27.130699929935076</v>
      </c>
    </row>
    <row r="31" spans="2:22" x14ac:dyDescent="0.2">
      <c r="B31" s="8">
        <v>186</v>
      </c>
      <c r="C31" s="8">
        <v>251</v>
      </c>
      <c r="N31" s="122">
        <v>3</v>
      </c>
      <c r="O31" s="122">
        <v>339.30498560502906</v>
      </c>
      <c r="P31" s="122">
        <v>-5.30498560502906</v>
      </c>
    </row>
    <row r="32" spans="2:22" x14ac:dyDescent="0.2">
      <c r="B32" s="8">
        <v>235</v>
      </c>
      <c r="C32" s="8">
        <v>283</v>
      </c>
      <c r="N32" s="122">
        <v>4</v>
      </c>
      <c r="O32" s="122">
        <v>297.98428278682712</v>
      </c>
      <c r="P32" s="122">
        <v>-45.984282786827123</v>
      </c>
    </row>
    <row r="33" spans="2:16" x14ac:dyDescent="0.2">
      <c r="B33" s="8">
        <v>184</v>
      </c>
      <c r="C33" s="8">
        <v>225</v>
      </c>
      <c r="N33" s="122">
        <v>5</v>
      </c>
      <c r="O33" s="122">
        <v>191.58347302995719</v>
      </c>
      <c r="P33" s="122">
        <v>17.41652697004281</v>
      </c>
    </row>
    <row r="34" spans="2:16" x14ac:dyDescent="0.2">
      <c r="B34" s="8">
        <v>76</v>
      </c>
      <c r="C34" s="8">
        <v>102</v>
      </c>
      <c r="N34" s="122">
        <v>6</v>
      </c>
      <c r="O34" s="122">
        <v>456.03597106644952</v>
      </c>
      <c r="P34" s="122">
        <v>5.9640289335504804</v>
      </c>
    </row>
    <row r="35" spans="2:16" x14ac:dyDescent="0.2">
      <c r="B35" s="8">
        <v>126</v>
      </c>
      <c r="C35" s="8">
        <v>180</v>
      </c>
      <c r="N35" s="122">
        <v>7</v>
      </c>
      <c r="O35" s="122">
        <v>338.271968034574</v>
      </c>
      <c r="P35" s="122">
        <v>3.7280319654259984</v>
      </c>
    </row>
    <row r="36" spans="2:16" x14ac:dyDescent="0.2">
      <c r="B36" s="8">
        <v>183</v>
      </c>
      <c r="C36" s="8">
        <v>247</v>
      </c>
      <c r="N36" s="122">
        <v>8</v>
      </c>
      <c r="O36" s="122">
        <v>325.87575718911347</v>
      </c>
      <c r="P36" s="122">
        <v>21.124242810886528</v>
      </c>
    </row>
    <row r="37" spans="2:16" x14ac:dyDescent="0.2">
      <c r="B37" s="8">
        <v>242</v>
      </c>
      <c r="C37" s="8">
        <v>343</v>
      </c>
      <c r="N37" s="122">
        <v>9</v>
      </c>
      <c r="O37" s="122">
        <v>304.18238820955742</v>
      </c>
      <c r="P37" s="122">
        <v>8.8176117904425837</v>
      </c>
    </row>
    <row r="38" spans="2:16" x14ac:dyDescent="0.2">
      <c r="B38" s="8">
        <v>207</v>
      </c>
      <c r="C38" s="8">
        <v>283</v>
      </c>
      <c r="N38" s="122">
        <v>10</v>
      </c>
      <c r="O38" s="122">
        <v>229.80512313679398</v>
      </c>
      <c r="P38" s="122">
        <v>2.1948768632060194</v>
      </c>
    </row>
    <row r="39" spans="2:16" x14ac:dyDescent="0.2">
      <c r="B39" s="8">
        <v>181</v>
      </c>
      <c r="C39" s="8">
        <v>253</v>
      </c>
      <c r="N39" s="122">
        <v>11</v>
      </c>
      <c r="O39" s="122">
        <v>162.65898105721584</v>
      </c>
      <c r="P39" s="122">
        <v>0.34101894278416012</v>
      </c>
    </row>
    <row r="40" spans="2:16" x14ac:dyDescent="0.2">
      <c r="B40" s="8">
        <v>239</v>
      </c>
      <c r="C40" s="8">
        <v>263</v>
      </c>
      <c r="N40" s="122">
        <v>12</v>
      </c>
      <c r="O40" s="122">
        <v>176.08820947313146</v>
      </c>
      <c r="P40" s="122">
        <v>-57.088209473131457</v>
      </c>
    </row>
    <row r="41" spans="2:16" x14ac:dyDescent="0.2">
      <c r="B41" s="8">
        <v>216</v>
      </c>
      <c r="C41" s="8">
        <v>291</v>
      </c>
      <c r="N41" s="122">
        <v>13</v>
      </c>
      <c r="O41" s="122">
        <v>268.02677324363071</v>
      </c>
      <c r="P41" s="122">
        <v>35.973226756369286</v>
      </c>
    </row>
    <row r="42" spans="2:16" x14ac:dyDescent="0.2">
      <c r="B42" s="8">
        <v>289</v>
      </c>
      <c r="C42" s="8">
        <v>368</v>
      </c>
      <c r="N42" s="122">
        <v>14</v>
      </c>
      <c r="O42" s="122">
        <v>198.81459602314251</v>
      </c>
      <c r="P42" s="122">
        <v>12.185403976857486</v>
      </c>
    </row>
    <row r="43" spans="2:16" x14ac:dyDescent="0.2">
      <c r="B43" s="8">
        <v>213</v>
      </c>
      <c r="C43" s="8">
        <v>206</v>
      </c>
      <c r="N43" s="122">
        <v>15</v>
      </c>
      <c r="O43" s="122">
        <v>277.32393137772618</v>
      </c>
      <c r="P43" s="122">
        <v>8.6760686222738173</v>
      </c>
    </row>
    <row r="44" spans="2:16" x14ac:dyDescent="0.2">
      <c r="B44" s="8">
        <v>209</v>
      </c>
      <c r="C44" s="8">
        <v>231</v>
      </c>
      <c r="N44" s="122">
        <v>16</v>
      </c>
      <c r="O44" s="122">
        <v>105.84301468218818</v>
      </c>
      <c r="P44" s="122">
        <v>16.156985317811817</v>
      </c>
    </row>
    <row r="45" spans="2:16" x14ac:dyDescent="0.2">
      <c r="B45" s="8">
        <v>376</v>
      </c>
      <c r="C45" s="8">
        <v>389</v>
      </c>
      <c r="N45" s="122">
        <v>17</v>
      </c>
      <c r="O45" s="122">
        <v>447.77183050280911</v>
      </c>
      <c r="P45" s="122">
        <v>-4.7718305028091095</v>
      </c>
    </row>
    <row r="46" spans="2:16" x14ac:dyDescent="0.2">
      <c r="B46" s="8">
        <v>332</v>
      </c>
      <c r="C46" s="8">
        <v>396</v>
      </c>
      <c r="N46" s="122">
        <v>18</v>
      </c>
      <c r="O46" s="122">
        <v>327.94179233002353</v>
      </c>
      <c r="P46" s="122">
        <v>38.058207669976468</v>
      </c>
    </row>
    <row r="47" spans="2:16" x14ac:dyDescent="0.2">
      <c r="B47" s="8">
        <v>249</v>
      </c>
      <c r="C47" s="8">
        <v>339</v>
      </c>
      <c r="N47" s="122">
        <v>19</v>
      </c>
      <c r="O47" s="122">
        <v>254.59754482771513</v>
      </c>
      <c r="P47" s="122">
        <v>-10.597544827715126</v>
      </c>
    </row>
    <row r="48" spans="2:16" x14ac:dyDescent="0.2">
      <c r="B48" s="8">
        <v>228</v>
      </c>
      <c r="C48" s="8">
        <v>286</v>
      </c>
      <c r="N48" s="122">
        <v>20</v>
      </c>
      <c r="O48" s="122">
        <v>278.35694894818124</v>
      </c>
      <c r="P48" s="122">
        <v>-37.356948948181241</v>
      </c>
    </row>
    <row r="49" spans="2:16" x14ac:dyDescent="0.2">
      <c r="B49" s="8">
        <v>124</v>
      </c>
      <c r="C49" s="8">
        <v>146</v>
      </c>
      <c r="N49" s="122">
        <v>21</v>
      </c>
      <c r="O49" s="122">
        <v>229.80512313679398</v>
      </c>
      <c r="P49" s="122">
        <v>7.1948768632060194</v>
      </c>
    </row>
    <row r="50" spans="2:16" x14ac:dyDescent="0.2">
      <c r="B50" s="8">
        <v>194</v>
      </c>
      <c r="C50" s="8">
        <v>315</v>
      </c>
      <c r="N50" s="122">
        <v>22</v>
      </c>
      <c r="O50" s="122">
        <v>143.03164721856993</v>
      </c>
      <c r="P50" s="122">
        <v>-21.03164721856993</v>
      </c>
    </row>
    <row r="51" spans="2:16" x14ac:dyDescent="0.2">
      <c r="B51" s="8">
        <v>157</v>
      </c>
      <c r="C51" s="8">
        <v>183</v>
      </c>
      <c r="N51" s="122">
        <v>23</v>
      </c>
      <c r="O51" s="122">
        <v>170.92312162085622</v>
      </c>
      <c r="P51" s="122">
        <v>-41.923121620856222</v>
      </c>
    </row>
    <row r="52" spans="2:16" x14ac:dyDescent="0.2">
      <c r="B52" s="8">
        <v>402</v>
      </c>
      <c r="C52" s="8">
        <v>481</v>
      </c>
      <c r="N52" s="122">
        <v>24</v>
      </c>
      <c r="O52" s="122">
        <v>211.2108068686031</v>
      </c>
      <c r="P52" s="122">
        <v>24.7891931313969</v>
      </c>
    </row>
    <row r="53" spans="2:16" x14ac:dyDescent="0.2">
      <c r="B53" s="8">
        <v>323</v>
      </c>
      <c r="C53" s="8">
        <v>349</v>
      </c>
      <c r="N53" s="122">
        <v>25</v>
      </c>
      <c r="O53" s="122">
        <v>233.93719341861416</v>
      </c>
      <c r="P53" s="122">
        <v>17.062806581385843</v>
      </c>
    </row>
    <row r="54" spans="2:16" x14ac:dyDescent="0.2">
      <c r="B54" s="8">
        <v>181</v>
      </c>
      <c r="C54" s="8">
        <v>225</v>
      </c>
      <c r="N54" s="122">
        <v>26</v>
      </c>
      <c r="O54" s="122">
        <v>284.55505437091153</v>
      </c>
      <c r="P54" s="122">
        <v>-1.5550543709115345</v>
      </c>
    </row>
    <row r="55" spans="2:16" x14ac:dyDescent="0.2">
      <c r="B55" s="8">
        <v>157</v>
      </c>
      <c r="C55" s="8">
        <v>217</v>
      </c>
      <c r="N55" s="122">
        <v>27</v>
      </c>
      <c r="O55" s="122">
        <v>231.87115827770407</v>
      </c>
      <c r="P55" s="122">
        <v>-6.871158277704069</v>
      </c>
    </row>
    <row r="56" spans="2:16" x14ac:dyDescent="0.2">
      <c r="B56" s="8">
        <v>266</v>
      </c>
      <c r="C56" s="8">
        <v>353</v>
      </c>
      <c r="N56" s="122">
        <v>28</v>
      </c>
      <c r="O56" s="122">
        <v>120.30526066855886</v>
      </c>
      <c r="P56" s="122">
        <v>-18.305260668558859</v>
      </c>
    </row>
    <row r="57" spans="2:16" x14ac:dyDescent="0.2">
      <c r="B57" s="8">
        <v>268</v>
      </c>
      <c r="C57" s="8">
        <v>314</v>
      </c>
      <c r="N57" s="122">
        <v>29</v>
      </c>
      <c r="O57" s="122">
        <v>171.95613919131128</v>
      </c>
      <c r="P57" s="122">
        <v>8.04386080868872</v>
      </c>
    </row>
    <row r="58" spans="2:16" x14ac:dyDescent="0.2">
      <c r="B58" s="8">
        <v>167</v>
      </c>
      <c r="C58" s="8">
        <v>247</v>
      </c>
      <c r="N58" s="122">
        <v>30</v>
      </c>
      <c r="O58" s="122">
        <v>230.83814070724901</v>
      </c>
      <c r="P58" s="122">
        <v>16.161859292750989</v>
      </c>
    </row>
    <row r="59" spans="2:16" x14ac:dyDescent="0.2">
      <c r="B59" s="8">
        <v>342</v>
      </c>
      <c r="C59" s="8">
        <v>410</v>
      </c>
      <c r="N59" s="122">
        <v>31</v>
      </c>
      <c r="O59" s="122">
        <v>291.78617736409683</v>
      </c>
      <c r="P59" s="122">
        <v>51.213822635903171</v>
      </c>
    </row>
    <row r="60" spans="2:16" x14ac:dyDescent="0.2">
      <c r="B60" s="8">
        <v>349</v>
      </c>
      <c r="C60" s="8">
        <v>395</v>
      </c>
      <c r="N60" s="122">
        <v>32</v>
      </c>
      <c r="O60" s="122">
        <v>255.63056239817018</v>
      </c>
      <c r="P60" s="122">
        <v>27.369437601829816</v>
      </c>
    </row>
    <row r="61" spans="2:16" x14ac:dyDescent="0.2">
      <c r="B61" s="8">
        <v>340</v>
      </c>
      <c r="C61" s="8">
        <v>416</v>
      </c>
      <c r="N61" s="122">
        <v>33</v>
      </c>
      <c r="O61" s="122">
        <v>228.77210556633892</v>
      </c>
      <c r="P61" s="122">
        <v>24.227894433661078</v>
      </c>
    </row>
    <row r="62" spans="2:16" x14ac:dyDescent="0.2">
      <c r="B62" s="8">
        <v>227</v>
      </c>
      <c r="C62" s="8">
        <v>342</v>
      </c>
      <c r="N62" s="122">
        <v>34</v>
      </c>
      <c r="O62" s="122">
        <v>288.68712465273171</v>
      </c>
      <c r="P62" s="122">
        <v>-25.687124652731711</v>
      </c>
    </row>
    <row r="63" spans="2:16" x14ac:dyDescent="0.2">
      <c r="B63" s="8">
        <v>409</v>
      </c>
      <c r="C63" s="8">
        <v>446</v>
      </c>
      <c r="N63" s="122">
        <v>35</v>
      </c>
      <c r="O63" s="122">
        <v>264.9277205322656</v>
      </c>
      <c r="P63" s="122">
        <v>26.072279467734404</v>
      </c>
    </row>
    <row r="64" spans="2:16" x14ac:dyDescent="0.2">
      <c r="B64" s="8">
        <v>400</v>
      </c>
      <c r="C64" s="8">
        <v>477</v>
      </c>
      <c r="N64" s="122">
        <v>36</v>
      </c>
      <c r="O64" s="122">
        <v>340.33800317548412</v>
      </c>
      <c r="P64" s="122">
        <v>27.661996824515882</v>
      </c>
    </row>
    <row r="65" spans="2:16" x14ac:dyDescent="0.2">
      <c r="B65" s="8">
        <v>374</v>
      </c>
      <c r="C65" s="8">
        <v>444</v>
      </c>
      <c r="N65" s="122">
        <v>37</v>
      </c>
      <c r="O65" s="122">
        <v>261.82866782090048</v>
      </c>
      <c r="P65" s="122">
        <v>-55.828667820900478</v>
      </c>
    </row>
    <row r="66" spans="2:16" x14ac:dyDescent="0.2">
      <c r="B66" s="8">
        <v>255</v>
      </c>
      <c r="C66" s="8">
        <v>351</v>
      </c>
      <c r="N66" s="122">
        <v>38</v>
      </c>
      <c r="O66" s="122">
        <v>257.69659753908024</v>
      </c>
      <c r="P66" s="122">
        <v>-26.696597539080244</v>
      </c>
    </row>
    <row r="67" spans="2:16" x14ac:dyDescent="0.2">
      <c r="B67" s="8">
        <v>146</v>
      </c>
      <c r="C67" s="8">
        <v>165</v>
      </c>
      <c r="N67" s="122">
        <v>39</v>
      </c>
      <c r="O67" s="122">
        <v>430.21053180507329</v>
      </c>
      <c r="P67" s="122">
        <v>-41.210531805073288</v>
      </c>
    </row>
    <row r="68" spans="2:16" x14ac:dyDescent="0.2">
      <c r="B68" s="8">
        <v>248</v>
      </c>
      <c r="C68" s="8">
        <v>317</v>
      </c>
      <c r="N68" s="122">
        <v>40</v>
      </c>
      <c r="O68" s="122">
        <v>384.75775870505117</v>
      </c>
      <c r="P68" s="122">
        <v>11.242241294948826</v>
      </c>
    </row>
    <row r="69" spans="2:16" x14ac:dyDescent="0.2">
      <c r="B69" s="8">
        <v>198</v>
      </c>
      <c r="C69" s="8">
        <v>250</v>
      </c>
      <c r="N69" s="122">
        <v>41</v>
      </c>
      <c r="O69" s="122">
        <v>299.01730035728218</v>
      </c>
      <c r="P69" s="122">
        <v>39.982699642717819</v>
      </c>
    </row>
    <row r="70" spans="2:16" x14ac:dyDescent="0.2">
      <c r="B70" s="8">
        <v>210</v>
      </c>
      <c r="C70" s="8">
        <v>217</v>
      </c>
      <c r="N70" s="122">
        <v>42</v>
      </c>
      <c r="O70" s="122">
        <v>277.32393137772618</v>
      </c>
      <c r="P70" s="122">
        <v>8.6760686222738173</v>
      </c>
    </row>
    <row r="71" spans="2:16" x14ac:dyDescent="0.2">
      <c r="B71" s="8">
        <v>107</v>
      </c>
      <c r="C71" s="8">
        <v>138</v>
      </c>
      <c r="N71" s="122">
        <v>43</v>
      </c>
      <c r="O71" s="122">
        <v>169.89010405040116</v>
      </c>
      <c r="P71" s="122">
        <v>-23.890104050401163</v>
      </c>
    </row>
    <row r="72" spans="2:16" x14ac:dyDescent="0.2">
      <c r="B72" s="8">
        <v>239</v>
      </c>
      <c r="C72" s="8">
        <v>302</v>
      </c>
      <c r="N72" s="122">
        <v>44</v>
      </c>
      <c r="O72" s="122">
        <v>242.20133398225454</v>
      </c>
      <c r="P72" s="122">
        <v>72.798666017745461</v>
      </c>
    </row>
    <row r="73" spans="2:16" x14ac:dyDescent="0.2">
      <c r="B73" s="8">
        <v>287</v>
      </c>
      <c r="C73" s="8">
        <v>311</v>
      </c>
      <c r="N73" s="122">
        <v>45</v>
      </c>
      <c r="O73" s="122">
        <v>203.97968387541778</v>
      </c>
      <c r="P73" s="122">
        <v>-20.979683875417777</v>
      </c>
    </row>
    <row r="74" spans="2:16" x14ac:dyDescent="0.2">
      <c r="B74" s="8">
        <v>340</v>
      </c>
      <c r="C74" s="8">
        <v>373</v>
      </c>
      <c r="N74" s="122">
        <v>46</v>
      </c>
      <c r="O74" s="122">
        <v>457.06898863690458</v>
      </c>
      <c r="P74" s="122">
        <v>23.931011363095422</v>
      </c>
    </row>
    <row r="75" spans="2:16" x14ac:dyDescent="0.2">
      <c r="B75" s="8">
        <v>155</v>
      </c>
      <c r="C75" s="8">
        <v>196</v>
      </c>
      <c r="N75" s="122">
        <v>47</v>
      </c>
      <c r="O75" s="122">
        <v>375.46060057095576</v>
      </c>
      <c r="P75" s="122">
        <v>-26.460600570955762</v>
      </c>
    </row>
    <row r="76" spans="2:16" x14ac:dyDescent="0.2">
      <c r="B76" s="8">
        <v>263</v>
      </c>
      <c r="C76" s="8">
        <v>306</v>
      </c>
      <c r="N76" s="122">
        <v>48</v>
      </c>
      <c r="O76" s="122">
        <v>228.77210556633892</v>
      </c>
      <c r="P76" s="122">
        <v>-3.7721055663389222</v>
      </c>
    </row>
    <row r="77" spans="2:16" x14ac:dyDescent="0.2">
      <c r="B77" s="8">
        <v>265</v>
      </c>
      <c r="C77" s="8">
        <v>302</v>
      </c>
      <c r="N77" s="122">
        <v>49</v>
      </c>
      <c r="O77" s="122">
        <v>203.97968387541778</v>
      </c>
      <c r="P77" s="122">
        <v>13.020316124582223</v>
      </c>
    </row>
    <row r="78" spans="2:16" x14ac:dyDescent="0.2">
      <c r="B78" s="8">
        <v>249</v>
      </c>
      <c r="C78" s="8">
        <v>278</v>
      </c>
      <c r="N78" s="122">
        <v>50</v>
      </c>
      <c r="O78" s="122">
        <v>316.578599055018</v>
      </c>
      <c r="P78" s="122">
        <v>36.421400944981997</v>
      </c>
    </row>
    <row r="79" spans="2:16" x14ac:dyDescent="0.2">
      <c r="B79" s="8">
        <v>377</v>
      </c>
      <c r="C79" s="8">
        <v>429</v>
      </c>
      <c r="N79" s="122">
        <v>51</v>
      </c>
      <c r="O79" s="122">
        <v>318.64463419592812</v>
      </c>
      <c r="P79" s="122">
        <v>-4.6446341959281199</v>
      </c>
    </row>
    <row r="80" spans="2:16" x14ac:dyDescent="0.2">
      <c r="B80" s="8">
        <v>301</v>
      </c>
      <c r="C80" s="8">
        <v>338</v>
      </c>
      <c r="N80" s="122">
        <v>52</v>
      </c>
      <c r="O80" s="122">
        <v>214.30985957996825</v>
      </c>
      <c r="P80" s="122">
        <v>32.690140420031753</v>
      </c>
    </row>
    <row r="81" spans="2:16" x14ac:dyDescent="0.2">
      <c r="B81" s="8">
        <v>242</v>
      </c>
      <c r="C81" s="8">
        <v>261</v>
      </c>
      <c r="N81" s="122">
        <v>53</v>
      </c>
      <c r="O81" s="122">
        <v>395.0879344096017</v>
      </c>
      <c r="P81" s="122">
        <v>14.912065590398299</v>
      </c>
    </row>
    <row r="82" spans="2:16" x14ac:dyDescent="0.2">
      <c r="B82" s="8">
        <v>211</v>
      </c>
      <c r="C82" s="8">
        <v>256</v>
      </c>
      <c r="N82" s="122">
        <v>54</v>
      </c>
      <c r="O82" s="122">
        <v>402.319057402787</v>
      </c>
      <c r="P82" s="122">
        <v>-7.3190574027869957</v>
      </c>
    </row>
    <row r="83" spans="2:16" x14ac:dyDescent="0.2">
      <c r="B83" s="8">
        <v>160</v>
      </c>
      <c r="C83" s="8">
        <v>183</v>
      </c>
      <c r="N83" s="122">
        <v>55</v>
      </c>
      <c r="O83" s="122">
        <v>393.02189926869158</v>
      </c>
      <c r="P83" s="122">
        <v>22.978100731308416</v>
      </c>
    </row>
    <row r="84" spans="2:16" x14ac:dyDescent="0.2">
      <c r="B84" s="8">
        <v>218</v>
      </c>
      <c r="C84" s="8">
        <v>274</v>
      </c>
      <c r="N84" s="122">
        <v>56</v>
      </c>
      <c r="O84" s="122">
        <v>276.29091380727112</v>
      </c>
      <c r="P84" s="122">
        <v>65.709086192728876</v>
      </c>
    </row>
    <row r="85" spans="2:16" x14ac:dyDescent="0.2">
      <c r="B85" s="8">
        <v>133</v>
      </c>
      <c r="C85" s="8">
        <v>182</v>
      </c>
      <c r="N85" s="122">
        <v>57</v>
      </c>
      <c r="O85" s="122">
        <v>464.30011163008993</v>
      </c>
      <c r="P85" s="122">
        <v>-18.30011163008993</v>
      </c>
    </row>
    <row r="86" spans="2:16" x14ac:dyDescent="0.2">
      <c r="B86" s="8">
        <v>122</v>
      </c>
      <c r="C86" s="8">
        <v>183</v>
      </c>
      <c r="N86" s="122">
        <v>58</v>
      </c>
      <c r="O86" s="122">
        <v>455.00295349599446</v>
      </c>
      <c r="P86" s="122">
        <v>21.997046504005539</v>
      </c>
    </row>
    <row r="87" spans="2:16" x14ac:dyDescent="0.2">
      <c r="B87" s="8">
        <v>236</v>
      </c>
      <c r="C87" s="8">
        <v>309</v>
      </c>
      <c r="N87" s="122">
        <v>59</v>
      </c>
      <c r="O87" s="122">
        <v>428.14449666416323</v>
      </c>
      <c r="P87" s="122">
        <v>15.855503335836772</v>
      </c>
    </row>
    <row r="88" spans="2:16" x14ac:dyDescent="0.2">
      <c r="B88" s="8">
        <v>143</v>
      </c>
      <c r="C88" s="8">
        <v>178</v>
      </c>
      <c r="N88" s="122">
        <v>60</v>
      </c>
      <c r="O88" s="122">
        <v>305.21540578001247</v>
      </c>
      <c r="P88" s="122">
        <v>45.784594219987525</v>
      </c>
    </row>
    <row r="89" spans="2:16" x14ac:dyDescent="0.2">
      <c r="B89" s="8">
        <v>354</v>
      </c>
      <c r="C89" s="8">
        <v>458</v>
      </c>
      <c r="N89" s="122">
        <v>61</v>
      </c>
      <c r="O89" s="122">
        <v>192.61649060041225</v>
      </c>
      <c r="P89" s="122">
        <v>-27.616490600412249</v>
      </c>
    </row>
    <row r="90" spans="2:16" x14ac:dyDescent="0.2">
      <c r="B90" s="8">
        <v>214</v>
      </c>
      <c r="C90" s="8">
        <v>234</v>
      </c>
      <c r="N90" s="122">
        <v>62</v>
      </c>
      <c r="O90" s="122">
        <v>297.98428278682712</v>
      </c>
      <c r="P90" s="122">
        <v>19.015717213172877</v>
      </c>
    </row>
    <row r="91" spans="2:16" x14ac:dyDescent="0.2">
      <c r="B91" s="8">
        <v>225</v>
      </c>
      <c r="C91" s="8">
        <v>306</v>
      </c>
      <c r="N91" s="122">
        <v>63</v>
      </c>
      <c r="O91" s="122">
        <v>246.33340426407474</v>
      </c>
      <c r="P91" s="122">
        <v>3.6665957359252559</v>
      </c>
    </row>
    <row r="92" spans="2:16" x14ac:dyDescent="0.2">
      <c r="B92" s="8">
        <v>261</v>
      </c>
      <c r="C92" s="8">
        <v>400</v>
      </c>
      <c r="N92" s="122">
        <v>64</v>
      </c>
      <c r="O92" s="122">
        <v>258.7296151095353</v>
      </c>
      <c r="P92" s="122">
        <v>-41.729615109535303</v>
      </c>
    </row>
    <row r="93" spans="2:16" x14ac:dyDescent="0.2">
      <c r="B93" s="8">
        <v>277</v>
      </c>
      <c r="C93" s="8">
        <v>337</v>
      </c>
      <c r="N93" s="122">
        <v>65</v>
      </c>
      <c r="O93" s="122">
        <v>152.32880535266537</v>
      </c>
      <c r="P93" s="122">
        <v>-14.32880535266537</v>
      </c>
    </row>
    <row r="94" spans="2:16" x14ac:dyDescent="0.2">
      <c r="B94" s="8">
        <v>282</v>
      </c>
      <c r="C94" s="8">
        <v>325</v>
      </c>
      <c r="N94" s="122">
        <v>66</v>
      </c>
      <c r="O94" s="122">
        <v>288.68712465273171</v>
      </c>
      <c r="P94" s="122">
        <v>13.312875347268289</v>
      </c>
    </row>
    <row r="95" spans="2:16" x14ac:dyDescent="0.2">
      <c r="B95" s="8">
        <v>322</v>
      </c>
      <c r="C95" s="8">
        <v>329</v>
      </c>
      <c r="N95" s="122">
        <v>67</v>
      </c>
      <c r="O95" s="122">
        <v>338.271968034574</v>
      </c>
      <c r="P95" s="122">
        <v>-27.271968034574002</v>
      </c>
    </row>
    <row r="96" spans="2:16" x14ac:dyDescent="0.2">
      <c r="B96" s="8">
        <v>326</v>
      </c>
      <c r="C96" s="8">
        <v>369</v>
      </c>
      <c r="N96" s="122">
        <v>68</v>
      </c>
      <c r="O96" s="122">
        <v>393.02189926869158</v>
      </c>
      <c r="P96" s="122">
        <v>-20.021899268691584</v>
      </c>
    </row>
    <row r="97" spans="2:16" x14ac:dyDescent="0.2">
      <c r="B97" s="8">
        <v>421</v>
      </c>
      <c r="C97" s="8">
        <v>457</v>
      </c>
      <c r="N97" s="122">
        <v>69</v>
      </c>
      <c r="O97" s="122">
        <v>201.91364873450766</v>
      </c>
      <c r="P97" s="122">
        <v>-5.9136487345076603</v>
      </c>
    </row>
    <row r="98" spans="2:16" x14ac:dyDescent="0.2">
      <c r="B98" s="8">
        <v>368</v>
      </c>
      <c r="C98" s="8">
        <v>421</v>
      </c>
      <c r="N98" s="122">
        <v>70</v>
      </c>
      <c r="O98" s="122">
        <v>313.47954634365288</v>
      </c>
      <c r="P98" s="122">
        <v>-7.4795463436528848</v>
      </c>
    </row>
    <row r="99" spans="2:16" x14ac:dyDescent="0.2">
      <c r="B99" s="8">
        <v>279</v>
      </c>
      <c r="C99" s="8">
        <v>282</v>
      </c>
      <c r="N99" s="122">
        <v>71</v>
      </c>
      <c r="O99" s="122">
        <v>315.54558148456294</v>
      </c>
      <c r="P99" s="122">
        <v>-13.545581484562945</v>
      </c>
    </row>
    <row r="100" spans="2:16" x14ac:dyDescent="0.2">
      <c r="B100" s="8">
        <v>268</v>
      </c>
      <c r="C100" s="8">
        <v>256</v>
      </c>
      <c r="N100" s="122">
        <v>72</v>
      </c>
      <c r="O100" s="122">
        <v>299.01730035728218</v>
      </c>
      <c r="P100" s="122">
        <v>-21.017300357282181</v>
      </c>
    </row>
    <row r="101" spans="2:16" x14ac:dyDescent="0.2">
      <c r="N101" s="122">
        <v>73</v>
      </c>
      <c r="O101" s="122">
        <v>431.24354937552835</v>
      </c>
      <c r="P101" s="122">
        <v>-2.243549375528346</v>
      </c>
    </row>
    <row r="102" spans="2:16" x14ac:dyDescent="0.2">
      <c r="N102" s="122">
        <v>74</v>
      </c>
      <c r="O102" s="122">
        <v>352.73421402094471</v>
      </c>
      <c r="P102" s="122">
        <v>-14.734214020944705</v>
      </c>
    </row>
    <row r="103" spans="2:16" x14ac:dyDescent="0.2">
      <c r="N103" s="122">
        <v>75</v>
      </c>
      <c r="O103" s="122">
        <v>291.78617736409683</v>
      </c>
      <c r="P103" s="122">
        <v>-30.786177364096829</v>
      </c>
    </row>
    <row r="104" spans="2:16" x14ac:dyDescent="0.2">
      <c r="N104" s="122">
        <v>76</v>
      </c>
      <c r="O104" s="122">
        <v>259.76263267999036</v>
      </c>
      <c r="P104" s="122">
        <v>-3.7626326799903609</v>
      </c>
    </row>
    <row r="105" spans="2:16" x14ac:dyDescent="0.2">
      <c r="N105" s="122">
        <v>77</v>
      </c>
      <c r="O105" s="122">
        <v>207.0787365867829</v>
      </c>
      <c r="P105" s="122">
        <v>-24.078736586782895</v>
      </c>
    </row>
    <row r="106" spans="2:16" x14ac:dyDescent="0.2">
      <c r="N106" s="122">
        <v>78</v>
      </c>
      <c r="O106" s="122">
        <v>266.99375567317571</v>
      </c>
      <c r="P106" s="122">
        <v>7.0062443268242873</v>
      </c>
    </row>
    <row r="107" spans="2:16" x14ac:dyDescent="0.2">
      <c r="N107" s="122">
        <v>79</v>
      </c>
      <c r="O107" s="122">
        <v>179.1872621844966</v>
      </c>
      <c r="P107" s="122">
        <v>2.8127378155033966</v>
      </c>
    </row>
    <row r="108" spans="2:16" x14ac:dyDescent="0.2">
      <c r="N108" s="122">
        <v>80</v>
      </c>
      <c r="O108" s="122">
        <v>167.82406890949107</v>
      </c>
      <c r="P108" s="122">
        <v>15.175931090508925</v>
      </c>
    </row>
    <row r="109" spans="2:16" x14ac:dyDescent="0.2">
      <c r="N109" s="122">
        <v>81</v>
      </c>
      <c r="O109" s="122">
        <v>285.58807194136659</v>
      </c>
      <c r="P109" s="122">
        <v>23.411928058633407</v>
      </c>
    </row>
    <row r="110" spans="2:16" x14ac:dyDescent="0.2">
      <c r="N110" s="122">
        <v>82</v>
      </c>
      <c r="O110" s="122">
        <v>189.5174378890471</v>
      </c>
      <c r="P110" s="122">
        <v>-11.517437889047102</v>
      </c>
    </row>
    <row r="111" spans="2:16" x14ac:dyDescent="0.2">
      <c r="N111" s="122">
        <v>83</v>
      </c>
      <c r="O111" s="122">
        <v>407.48414525506223</v>
      </c>
      <c r="P111" s="122">
        <v>50.515854744937769</v>
      </c>
    </row>
    <row r="112" spans="2:16" x14ac:dyDescent="0.2">
      <c r="N112" s="122">
        <v>84</v>
      </c>
      <c r="O112" s="122">
        <v>262.86168539135554</v>
      </c>
      <c r="P112" s="122">
        <v>-28.861685391355536</v>
      </c>
    </row>
    <row r="113" spans="14:16" x14ac:dyDescent="0.2">
      <c r="N113" s="122">
        <v>85</v>
      </c>
      <c r="O113" s="122">
        <v>274.22487866636106</v>
      </c>
      <c r="P113" s="122">
        <v>31.775121333638936</v>
      </c>
    </row>
    <row r="114" spans="14:16" x14ac:dyDescent="0.2">
      <c r="N114" s="122">
        <v>86</v>
      </c>
      <c r="O114" s="122">
        <v>311.41351120274277</v>
      </c>
      <c r="P114" s="122">
        <v>88.586488797257232</v>
      </c>
    </row>
    <row r="115" spans="14:16" x14ac:dyDescent="0.2">
      <c r="N115" s="122">
        <v>87</v>
      </c>
      <c r="O115" s="122">
        <v>327.94179233002353</v>
      </c>
      <c r="P115" s="122">
        <v>9.0582076699764684</v>
      </c>
    </row>
    <row r="116" spans="14:16" x14ac:dyDescent="0.2">
      <c r="N116" s="122">
        <v>88</v>
      </c>
      <c r="O116" s="122">
        <v>333.10688018229877</v>
      </c>
      <c r="P116" s="122">
        <v>-8.1068801822987666</v>
      </c>
    </row>
    <row r="117" spans="14:16" x14ac:dyDescent="0.2">
      <c r="N117" s="122">
        <v>89</v>
      </c>
      <c r="O117" s="122">
        <v>374.4275830005007</v>
      </c>
      <c r="P117" s="122">
        <v>-45.427583000500704</v>
      </c>
    </row>
    <row r="118" spans="14:16" x14ac:dyDescent="0.2">
      <c r="N118" s="122">
        <v>90</v>
      </c>
      <c r="O118" s="122">
        <v>378.55965328232088</v>
      </c>
      <c r="P118" s="122">
        <v>-9.5596532823208804</v>
      </c>
    </row>
    <row r="119" spans="14:16" x14ac:dyDescent="0.2">
      <c r="N119" s="122">
        <v>91</v>
      </c>
      <c r="O119" s="122">
        <v>476.69632247555046</v>
      </c>
      <c r="P119" s="122">
        <v>-19.69632247555046</v>
      </c>
    </row>
    <row r="120" spans="14:16" x14ac:dyDescent="0.2">
      <c r="N120" s="122">
        <v>92</v>
      </c>
      <c r="O120" s="122">
        <v>421.94639124143293</v>
      </c>
      <c r="P120" s="122">
        <v>-0.94639124143293429</v>
      </c>
    </row>
    <row r="121" spans="14:16" x14ac:dyDescent="0.2">
      <c r="N121" s="122">
        <v>93</v>
      </c>
      <c r="O121" s="122">
        <v>330.00782747093365</v>
      </c>
      <c r="P121" s="122">
        <v>-48.007827470933648</v>
      </c>
    </row>
    <row r="122" spans="14:16" ht="16" thickBot="1" x14ac:dyDescent="0.25">
      <c r="N122" s="123">
        <v>94</v>
      </c>
      <c r="O122" s="123">
        <v>318.64463419592812</v>
      </c>
      <c r="P122" s="123">
        <v>-62.64463419592812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P124"/>
  <sheetViews>
    <sheetView showGridLines="0" tabSelected="1" workbookViewId="0">
      <selection activeCell="M5" sqref="M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13" ht="25.5" customHeight="1" x14ac:dyDescent="0.25">
      <c r="B1" s="18" t="s">
        <v>245</v>
      </c>
    </row>
    <row r="2" spans="2:13" ht="15" customHeight="1" x14ac:dyDescent="0.2">
      <c r="B2" s="30" t="s">
        <v>266</v>
      </c>
    </row>
    <row r="3" spans="2:13" ht="18" customHeight="1" x14ac:dyDescent="0.2"/>
    <row r="5" spans="2:13" x14ac:dyDescent="0.2">
      <c r="B5" s="43" t="s">
        <v>76</v>
      </c>
      <c r="C5" s="43" t="s">
        <v>22</v>
      </c>
      <c r="D5" s="43" t="s">
        <v>23</v>
      </c>
      <c r="H5" t="s">
        <v>339</v>
      </c>
    </row>
    <row r="6" spans="2:13" ht="16" thickBot="1" x14ac:dyDescent="0.25">
      <c r="B6" s="51">
        <v>68.400000000000006</v>
      </c>
      <c r="C6" s="51">
        <v>252</v>
      </c>
      <c r="D6" s="51">
        <v>276</v>
      </c>
    </row>
    <row r="7" spans="2:13" x14ac:dyDescent="0.2">
      <c r="B7" s="8">
        <v>62.1</v>
      </c>
      <c r="C7" s="8">
        <v>423</v>
      </c>
      <c r="D7" s="51">
        <v>410</v>
      </c>
      <c r="H7" s="125" t="s">
        <v>340</v>
      </c>
      <c r="I7" s="125"/>
      <c r="K7" s="128"/>
      <c r="L7" s="127" t="s">
        <v>76</v>
      </c>
      <c r="M7" s="126">
        <v>70</v>
      </c>
    </row>
    <row r="8" spans="2:13" x14ac:dyDescent="0.2">
      <c r="B8" s="8">
        <v>70.2</v>
      </c>
      <c r="C8" s="8">
        <v>101</v>
      </c>
      <c r="D8" s="51">
        <v>119</v>
      </c>
      <c r="H8" s="122" t="s">
        <v>341</v>
      </c>
      <c r="I8" s="122">
        <v>0.99279109999741466</v>
      </c>
      <c r="L8" s="127" t="s">
        <v>234</v>
      </c>
      <c r="M8" s="126">
        <v>285</v>
      </c>
    </row>
    <row r="9" spans="2:13" x14ac:dyDescent="0.2">
      <c r="B9" s="8">
        <v>75.099999999999994</v>
      </c>
      <c r="C9" s="8">
        <v>288</v>
      </c>
      <c r="D9" s="51">
        <v>334</v>
      </c>
      <c r="H9" s="122" t="s">
        <v>342</v>
      </c>
      <c r="I9" s="122">
        <v>0.98563416823407668</v>
      </c>
      <c r="L9" s="127"/>
    </row>
    <row r="10" spans="2:13" x14ac:dyDescent="0.2">
      <c r="B10" s="8">
        <v>60.9</v>
      </c>
      <c r="C10" s="8">
        <v>248</v>
      </c>
      <c r="D10" s="51">
        <v>252</v>
      </c>
      <c r="H10" s="122" t="s">
        <v>343</v>
      </c>
      <c r="I10" s="122">
        <v>0.98532186754351314</v>
      </c>
      <c r="L10" s="127" t="s">
        <v>235</v>
      </c>
      <c r="M10">
        <f>I21+I22*M7+I23*M8</f>
        <v>315.95174010556502</v>
      </c>
    </row>
    <row r="11" spans="2:13" x14ac:dyDescent="0.2">
      <c r="B11" s="8">
        <v>74.5</v>
      </c>
      <c r="C11" s="8">
        <v>145</v>
      </c>
      <c r="D11" s="51">
        <v>209</v>
      </c>
      <c r="H11" s="122" t="s">
        <v>257</v>
      </c>
      <c r="I11" s="122">
        <v>11.330387674231808</v>
      </c>
    </row>
    <row r="12" spans="2:13" ht="16" thickBot="1" x14ac:dyDescent="0.25">
      <c r="B12" s="8">
        <v>76.400000000000006</v>
      </c>
      <c r="C12" s="8">
        <v>401</v>
      </c>
      <c r="D12" s="51">
        <v>462</v>
      </c>
      <c r="H12" s="123" t="s">
        <v>344</v>
      </c>
      <c r="I12" s="123">
        <v>95</v>
      </c>
    </row>
    <row r="13" spans="2:13" x14ac:dyDescent="0.2">
      <c r="B13" s="8">
        <v>82.6</v>
      </c>
      <c r="C13" s="8">
        <v>287</v>
      </c>
      <c r="D13" s="51">
        <v>342</v>
      </c>
    </row>
    <row r="14" spans="2:13" ht="16" thickBot="1" x14ac:dyDescent="0.25">
      <c r="B14" s="8">
        <v>76.900000000000006</v>
      </c>
      <c r="C14" s="8">
        <v>275</v>
      </c>
      <c r="D14" s="51">
        <v>347</v>
      </c>
      <c r="H14" t="s">
        <v>345</v>
      </c>
    </row>
    <row r="15" spans="2:13" x14ac:dyDescent="0.2">
      <c r="B15" s="8">
        <v>83.3</v>
      </c>
      <c r="C15" s="8">
        <v>254</v>
      </c>
      <c r="D15" s="51">
        <v>313</v>
      </c>
      <c r="H15" s="124"/>
      <c r="I15" s="124" t="s">
        <v>350</v>
      </c>
      <c r="J15" s="124" t="s">
        <v>351</v>
      </c>
      <c r="K15" s="124" t="s">
        <v>352</v>
      </c>
      <c r="L15" s="124" t="s">
        <v>353</v>
      </c>
      <c r="M15" s="124" t="s">
        <v>354</v>
      </c>
    </row>
    <row r="16" spans="2:13" x14ac:dyDescent="0.2">
      <c r="B16" s="8">
        <v>75.8</v>
      </c>
      <c r="C16" s="8">
        <v>182</v>
      </c>
      <c r="D16" s="51">
        <v>232</v>
      </c>
      <c r="H16" s="122" t="s">
        <v>346</v>
      </c>
      <c r="I16" s="122">
        <v>2</v>
      </c>
      <c r="J16" s="122">
        <v>810330.78983605374</v>
      </c>
      <c r="K16" s="122">
        <v>405165.39491802687</v>
      </c>
      <c r="L16" s="122">
        <v>3156.0422311442458</v>
      </c>
      <c r="M16" s="122">
        <v>1.726695298954031E-85</v>
      </c>
    </row>
    <row r="17" spans="2:16" x14ac:dyDescent="0.2">
      <c r="B17" s="8">
        <v>76</v>
      </c>
      <c r="C17" s="8">
        <v>117</v>
      </c>
      <c r="D17" s="51">
        <v>163</v>
      </c>
      <c r="H17" s="122" t="s">
        <v>347</v>
      </c>
      <c r="I17" s="122">
        <v>92</v>
      </c>
      <c r="J17" s="122">
        <v>11810.747006051333</v>
      </c>
      <c r="K17" s="122">
        <v>128.37768484838406</v>
      </c>
      <c r="L17" s="122"/>
      <c r="M17" s="122"/>
    </row>
    <row r="18" spans="2:16" ht="16" thickBot="1" x14ac:dyDescent="0.25">
      <c r="B18" s="8">
        <v>62.8</v>
      </c>
      <c r="C18" s="8">
        <v>130</v>
      </c>
      <c r="D18" s="51">
        <v>119</v>
      </c>
      <c r="H18" s="123" t="s">
        <v>348</v>
      </c>
      <c r="I18" s="123">
        <v>94</v>
      </c>
      <c r="J18" s="123">
        <v>822141.5368421051</v>
      </c>
      <c r="K18" s="123"/>
      <c r="L18" s="123"/>
      <c r="M18" s="123"/>
    </row>
    <row r="19" spans="2:16" ht="16" thickBot="1" x14ac:dyDescent="0.25">
      <c r="B19" s="8">
        <v>82.8</v>
      </c>
      <c r="C19" s="8">
        <v>219</v>
      </c>
      <c r="D19" s="51">
        <v>304</v>
      </c>
    </row>
    <row r="20" spans="2:16" x14ac:dyDescent="0.2">
      <c r="B20" s="8">
        <v>76</v>
      </c>
      <c r="C20" s="8">
        <v>152</v>
      </c>
      <c r="D20" s="51">
        <v>211</v>
      </c>
      <c r="H20" s="124"/>
      <c r="I20" s="124" t="s">
        <v>355</v>
      </c>
      <c r="J20" s="124" t="s">
        <v>257</v>
      </c>
      <c r="K20" s="124" t="s">
        <v>356</v>
      </c>
      <c r="L20" s="124" t="s">
        <v>357</v>
      </c>
      <c r="M20" s="124" t="s">
        <v>358</v>
      </c>
      <c r="N20" s="124" t="s">
        <v>359</v>
      </c>
      <c r="O20" s="124" t="s">
        <v>360</v>
      </c>
      <c r="P20" s="124" t="s">
        <v>361</v>
      </c>
    </row>
    <row r="21" spans="2:16" x14ac:dyDescent="0.2">
      <c r="B21" s="8">
        <v>76.900000000000006</v>
      </c>
      <c r="C21" s="8">
        <v>228</v>
      </c>
      <c r="D21" s="51">
        <v>286</v>
      </c>
      <c r="H21" s="122" t="s">
        <v>349</v>
      </c>
      <c r="I21" s="122">
        <v>-222.42619776853718</v>
      </c>
      <c r="J21" s="122">
        <v>11.817463801380203</v>
      </c>
      <c r="K21" s="122">
        <v>-18.821821797546715</v>
      </c>
      <c r="L21" s="122">
        <v>2.6360711568826702E-33</v>
      </c>
      <c r="M21" s="122">
        <v>-245.89670092552367</v>
      </c>
      <c r="N21" s="122">
        <v>-198.95569461155068</v>
      </c>
      <c r="O21" s="122">
        <v>-245.89670092552367</v>
      </c>
      <c r="P21" s="122">
        <v>-198.95569461155068</v>
      </c>
    </row>
    <row r="22" spans="2:16" x14ac:dyDescent="0.2">
      <c r="B22" s="8">
        <v>75.8</v>
      </c>
      <c r="C22" s="8">
        <v>62</v>
      </c>
      <c r="D22" s="51">
        <v>122</v>
      </c>
      <c r="H22" s="122" t="s">
        <v>76</v>
      </c>
      <c r="I22" s="122">
        <v>3.6500404966015521</v>
      </c>
      <c r="J22" s="122">
        <v>0.15618021349556055</v>
      </c>
      <c r="K22" s="122">
        <v>23.370697317591418</v>
      </c>
      <c r="L22" s="122">
        <v>1.8132199734321842E-40</v>
      </c>
      <c r="M22" s="122">
        <v>3.3398531115995129</v>
      </c>
      <c r="N22" s="122">
        <v>3.9602278816035912</v>
      </c>
      <c r="O22" s="122">
        <v>3.3398531115995129</v>
      </c>
      <c r="P22" s="122">
        <v>3.9602278816035912</v>
      </c>
    </row>
    <row r="23" spans="2:16" ht="16" thickBot="1" x14ac:dyDescent="0.25">
      <c r="B23" s="8">
        <v>78</v>
      </c>
      <c r="C23" s="8">
        <v>393</v>
      </c>
      <c r="D23" s="51">
        <v>443</v>
      </c>
      <c r="H23" s="123" t="s">
        <v>22</v>
      </c>
      <c r="I23" s="123">
        <v>0.99254422144559151</v>
      </c>
      <c r="J23" s="123">
        <v>1.3705636999396694E-2</v>
      </c>
      <c r="K23" s="123">
        <v>72.418685938441399</v>
      </c>
      <c r="L23" s="123">
        <v>6.355192075965976E-83</v>
      </c>
      <c r="M23" s="123">
        <v>0.96532364333599063</v>
      </c>
      <c r="N23" s="123">
        <v>1.0197647995551924</v>
      </c>
      <c r="O23" s="123">
        <v>0.96532364333599063</v>
      </c>
      <c r="P23" s="123">
        <v>1.0197647995551924</v>
      </c>
    </row>
    <row r="24" spans="2:16" x14ac:dyDescent="0.2">
      <c r="B24" s="8">
        <v>82.4</v>
      </c>
      <c r="C24" s="8">
        <v>277</v>
      </c>
      <c r="D24" s="51">
        <v>366</v>
      </c>
    </row>
    <row r="25" spans="2:16" x14ac:dyDescent="0.2">
      <c r="B25" s="8">
        <v>76.2</v>
      </c>
      <c r="C25" s="8">
        <v>206</v>
      </c>
      <c r="D25" s="51">
        <v>244</v>
      </c>
    </row>
    <row r="26" spans="2:16" x14ac:dyDescent="0.2">
      <c r="B26" s="8">
        <v>62.5</v>
      </c>
      <c r="C26" s="8">
        <v>229</v>
      </c>
      <c r="D26" s="51">
        <v>241</v>
      </c>
    </row>
    <row r="27" spans="2:16" x14ac:dyDescent="0.2">
      <c r="B27" s="8">
        <v>78</v>
      </c>
      <c r="C27" s="8">
        <v>182</v>
      </c>
      <c r="D27" s="51">
        <v>237</v>
      </c>
      <c r="H27" t="s">
        <v>362</v>
      </c>
    </row>
    <row r="28" spans="2:16" ht="16" thickBot="1" x14ac:dyDescent="0.25">
      <c r="B28" s="8">
        <v>66.5</v>
      </c>
      <c r="C28" s="8">
        <v>98</v>
      </c>
      <c r="D28" s="51">
        <v>122</v>
      </c>
    </row>
    <row r="29" spans="2:16" x14ac:dyDescent="0.2">
      <c r="B29" s="8">
        <v>63.5</v>
      </c>
      <c r="C29" s="8">
        <v>125</v>
      </c>
      <c r="D29" s="51">
        <v>129</v>
      </c>
      <c r="H29" s="124" t="s">
        <v>363</v>
      </c>
      <c r="I29" s="124" t="s">
        <v>366</v>
      </c>
      <c r="J29" s="124" t="s">
        <v>364</v>
      </c>
    </row>
    <row r="30" spans="2:16" x14ac:dyDescent="0.2">
      <c r="B30" s="8">
        <v>82.6</v>
      </c>
      <c r="C30" s="8">
        <v>164</v>
      </c>
      <c r="D30" s="51">
        <v>236</v>
      </c>
      <c r="H30" s="122">
        <v>1</v>
      </c>
      <c r="I30" s="122">
        <v>277.35771600329804</v>
      </c>
      <c r="J30" s="122">
        <v>-1.3577160032980373</v>
      </c>
    </row>
    <row r="31" spans="2:16" x14ac:dyDescent="0.2">
      <c r="B31" s="8">
        <v>79.2</v>
      </c>
      <c r="C31" s="8">
        <v>186</v>
      </c>
      <c r="D31" s="51">
        <v>251</v>
      </c>
      <c r="H31" s="122">
        <v>2</v>
      </c>
      <c r="I31" s="122">
        <v>424.08752274190442</v>
      </c>
      <c r="J31" s="122">
        <v>-14.087522741904422</v>
      </c>
    </row>
    <row r="32" spans="2:16" x14ac:dyDescent="0.2">
      <c r="B32" s="8">
        <v>75</v>
      </c>
      <c r="C32" s="8">
        <v>235</v>
      </c>
      <c r="D32" s="51">
        <v>283</v>
      </c>
      <c r="H32" s="122">
        <v>3</v>
      </c>
      <c r="I32" s="122">
        <v>134.05361145889657</v>
      </c>
      <c r="J32" s="122">
        <v>-15.053611458896569</v>
      </c>
    </row>
    <row r="33" spans="2:10" x14ac:dyDescent="0.2">
      <c r="B33" s="8">
        <v>74.400000000000006</v>
      </c>
      <c r="C33" s="8">
        <v>184</v>
      </c>
      <c r="D33" s="51">
        <v>225</v>
      </c>
      <c r="H33" s="122">
        <v>4</v>
      </c>
      <c r="I33" s="122">
        <v>337.54457930256973</v>
      </c>
      <c r="J33" s="122">
        <v>-3.5445793025697299</v>
      </c>
    </row>
    <row r="34" spans="2:10" x14ac:dyDescent="0.2">
      <c r="B34" s="8">
        <v>67.900000000000006</v>
      </c>
      <c r="C34" s="8">
        <v>76</v>
      </c>
      <c r="D34" s="51">
        <v>102</v>
      </c>
      <c r="H34" s="122">
        <v>5</v>
      </c>
      <c r="I34" s="122">
        <v>246.01223539300403</v>
      </c>
      <c r="J34" s="122">
        <v>5.9877646069959667</v>
      </c>
    </row>
    <row r="35" spans="2:10" x14ac:dyDescent="0.2">
      <c r="B35" s="8">
        <v>76.8</v>
      </c>
      <c r="C35" s="8">
        <v>126</v>
      </c>
      <c r="D35" s="51">
        <v>180</v>
      </c>
      <c r="H35" s="122">
        <v>6</v>
      </c>
      <c r="I35" s="122">
        <v>193.42073133788924</v>
      </c>
      <c r="J35" s="122">
        <v>15.579268662110763</v>
      </c>
    </row>
    <row r="36" spans="2:10" x14ac:dyDescent="0.2">
      <c r="B36" s="8">
        <v>83</v>
      </c>
      <c r="C36" s="8">
        <v>183</v>
      </c>
      <c r="D36" s="51">
        <v>247</v>
      </c>
      <c r="H36" s="122">
        <v>7</v>
      </c>
      <c r="I36" s="122">
        <v>454.44712897150362</v>
      </c>
      <c r="J36" s="122">
        <v>7.5528710284963836</v>
      </c>
    </row>
    <row r="37" spans="2:10" x14ac:dyDescent="0.2">
      <c r="B37" s="8">
        <v>88.9</v>
      </c>
      <c r="C37" s="8">
        <v>242</v>
      </c>
      <c r="D37" s="51">
        <v>343</v>
      </c>
      <c r="H37" s="122">
        <v>8</v>
      </c>
      <c r="I37" s="122">
        <v>363.92733880563577</v>
      </c>
      <c r="J37" s="122">
        <v>-21.92733880563577</v>
      </c>
    </row>
    <row r="38" spans="2:10" x14ac:dyDescent="0.2">
      <c r="B38" s="8">
        <v>76.5</v>
      </c>
      <c r="C38" s="8">
        <v>207</v>
      </c>
      <c r="D38" s="51">
        <v>283</v>
      </c>
      <c r="H38" s="122">
        <v>9</v>
      </c>
      <c r="I38" s="122">
        <v>331.21157731765987</v>
      </c>
      <c r="J38" s="122">
        <v>15.788422682340126</v>
      </c>
    </row>
    <row r="39" spans="2:10" x14ac:dyDescent="0.2">
      <c r="B39" s="8">
        <v>79.900000000000006</v>
      </c>
      <c r="C39" s="8">
        <v>181</v>
      </c>
      <c r="D39" s="51">
        <v>253</v>
      </c>
      <c r="H39" s="122">
        <v>10</v>
      </c>
      <c r="I39" s="122">
        <v>333.72840784555234</v>
      </c>
      <c r="J39" s="122">
        <v>-20.72840784555234</v>
      </c>
    </row>
    <row r="40" spans="2:10" x14ac:dyDescent="0.2">
      <c r="B40" s="8">
        <v>70.400000000000006</v>
      </c>
      <c r="C40" s="8">
        <v>239</v>
      </c>
      <c r="D40" s="51">
        <v>263</v>
      </c>
      <c r="H40" s="122">
        <v>11</v>
      </c>
      <c r="I40" s="122">
        <v>234.88992017695813</v>
      </c>
      <c r="J40" s="122">
        <v>-2.8899201769581282</v>
      </c>
    </row>
    <row r="41" spans="2:10" x14ac:dyDescent="0.2">
      <c r="B41" s="8">
        <v>83.4</v>
      </c>
      <c r="C41" s="8">
        <v>216</v>
      </c>
      <c r="D41" s="51">
        <v>291</v>
      </c>
      <c r="H41" s="122">
        <v>12</v>
      </c>
      <c r="I41" s="122">
        <v>171.10455388231497</v>
      </c>
      <c r="J41" s="122">
        <v>-8.1045538823149741</v>
      </c>
    </row>
    <row r="42" spans="2:10" x14ac:dyDescent="0.2">
      <c r="B42" s="8">
        <v>79.2</v>
      </c>
      <c r="C42" s="8">
        <v>289</v>
      </c>
      <c r="D42" s="51">
        <v>368</v>
      </c>
      <c r="H42" s="122">
        <v>13</v>
      </c>
      <c r="I42" s="122">
        <v>135.8270942059672</v>
      </c>
      <c r="J42" s="122">
        <v>-16.8270942059672</v>
      </c>
    </row>
    <row r="43" spans="2:10" x14ac:dyDescent="0.2">
      <c r="B43" s="8">
        <v>61.2</v>
      </c>
      <c r="C43" s="8">
        <v>213</v>
      </c>
      <c r="D43" s="51">
        <v>206</v>
      </c>
      <c r="H43" s="122">
        <v>14</v>
      </c>
      <c r="I43" s="122">
        <v>297.16433984665582</v>
      </c>
      <c r="J43" s="122">
        <v>6.835660153344179</v>
      </c>
    </row>
    <row r="44" spans="2:10" x14ac:dyDescent="0.2">
      <c r="B44" s="8">
        <v>64</v>
      </c>
      <c r="C44" s="8">
        <v>209</v>
      </c>
      <c r="D44" s="51">
        <v>231</v>
      </c>
      <c r="H44" s="122">
        <v>15</v>
      </c>
      <c r="I44" s="122">
        <v>205.84360163291066</v>
      </c>
      <c r="J44" s="122">
        <v>5.1563983670893379</v>
      </c>
    </row>
    <row r="45" spans="2:10" x14ac:dyDescent="0.2">
      <c r="B45" s="8">
        <v>68</v>
      </c>
      <c r="C45" s="8">
        <v>376</v>
      </c>
      <c r="D45" s="51">
        <v>389</v>
      </c>
      <c r="H45" s="122">
        <v>16</v>
      </c>
      <c r="I45" s="122">
        <v>284.56199890971709</v>
      </c>
      <c r="J45" s="122">
        <v>1.4380010902829099</v>
      </c>
    </row>
    <row r="46" spans="2:10" x14ac:dyDescent="0.2">
      <c r="B46" s="8">
        <v>78.5</v>
      </c>
      <c r="C46" s="8">
        <v>332</v>
      </c>
      <c r="D46" s="51">
        <v>396</v>
      </c>
      <c r="H46" s="122">
        <v>17</v>
      </c>
      <c r="I46" s="122">
        <v>115.78461360348714</v>
      </c>
      <c r="J46" s="122">
        <v>6.2153863965128551</v>
      </c>
    </row>
    <row r="47" spans="2:10" x14ac:dyDescent="0.2">
      <c r="B47" s="8">
        <v>83</v>
      </c>
      <c r="C47" s="8">
        <v>249</v>
      </c>
      <c r="D47" s="51">
        <v>339</v>
      </c>
      <c r="H47" s="122">
        <v>18</v>
      </c>
      <c r="I47" s="122">
        <v>452.34683999450129</v>
      </c>
      <c r="J47" s="122">
        <v>-9.3468399945012948</v>
      </c>
    </row>
    <row r="48" spans="2:10" x14ac:dyDescent="0.2">
      <c r="B48" s="8">
        <v>75.2</v>
      </c>
      <c r="C48" s="8">
        <v>228</v>
      </c>
      <c r="D48" s="51">
        <v>286</v>
      </c>
      <c r="H48" s="122">
        <v>19</v>
      </c>
      <c r="I48" s="122">
        <v>353.27188849185956</v>
      </c>
      <c r="J48" s="122">
        <v>12.728111508140444</v>
      </c>
    </row>
    <row r="49" spans="2:10" x14ac:dyDescent="0.2">
      <c r="B49" s="8">
        <v>68.099999999999994</v>
      </c>
      <c r="C49" s="8">
        <v>124</v>
      </c>
      <c r="D49" s="51">
        <v>146</v>
      </c>
      <c r="H49" s="122">
        <v>20</v>
      </c>
      <c r="I49" s="122">
        <v>260.17099769029295</v>
      </c>
      <c r="J49" s="122">
        <v>-16.17099769029295</v>
      </c>
    </row>
    <row r="50" spans="2:10" x14ac:dyDescent="0.2">
      <c r="B50" s="8">
        <v>93.6</v>
      </c>
      <c r="C50" s="8">
        <v>194</v>
      </c>
      <c r="D50" s="51">
        <v>315</v>
      </c>
      <c r="H50" s="122">
        <v>21</v>
      </c>
      <c r="I50" s="122">
        <v>232.9939599801003</v>
      </c>
      <c r="J50" s="122">
        <v>8.0060400198997002</v>
      </c>
    </row>
    <row r="51" spans="2:10" x14ac:dyDescent="0.2">
      <c r="B51" s="8">
        <v>75.599999999999994</v>
      </c>
      <c r="C51" s="8">
        <v>157</v>
      </c>
      <c r="D51" s="51">
        <v>183</v>
      </c>
      <c r="H51" s="122">
        <v>22</v>
      </c>
      <c r="I51" s="122">
        <v>242.92000926948151</v>
      </c>
      <c r="J51" s="122">
        <v>-5.9200092694815112</v>
      </c>
    </row>
    <row r="52" spans="2:10" x14ac:dyDescent="0.2">
      <c r="B52" s="8">
        <v>82.3</v>
      </c>
      <c r="C52" s="8">
        <v>402</v>
      </c>
      <c r="D52" s="51">
        <v>481</v>
      </c>
      <c r="H52" s="122">
        <v>23</v>
      </c>
      <c r="I52" s="122">
        <v>117.570828957134</v>
      </c>
      <c r="J52" s="122">
        <v>4.4291710428660025</v>
      </c>
    </row>
    <row r="53" spans="2:10" x14ac:dyDescent="0.2">
      <c r="B53" s="8">
        <v>71.400000000000006</v>
      </c>
      <c r="C53" s="8">
        <v>323</v>
      </c>
      <c r="D53" s="51">
        <v>349</v>
      </c>
      <c r="H53" s="122">
        <v>24</v>
      </c>
      <c r="I53" s="122">
        <v>133.41940144636033</v>
      </c>
      <c r="J53" s="122">
        <v>-4.4194014463603253</v>
      </c>
    </row>
    <row r="54" spans="2:10" x14ac:dyDescent="0.2">
      <c r="B54" s="8">
        <v>71.900000000000006</v>
      </c>
      <c r="C54" s="8">
        <v>181</v>
      </c>
      <c r="D54" s="51">
        <v>225</v>
      </c>
      <c r="H54" s="122">
        <v>25</v>
      </c>
      <c r="I54" s="122">
        <v>241.84439956782802</v>
      </c>
      <c r="J54" s="122">
        <v>-5.8443995678280203</v>
      </c>
    </row>
    <row r="55" spans="2:10" x14ac:dyDescent="0.2">
      <c r="B55" s="8">
        <v>79.099999999999994</v>
      </c>
      <c r="C55" s="8">
        <v>157</v>
      </c>
      <c r="D55" s="51">
        <v>217</v>
      </c>
      <c r="H55" s="122">
        <v>26</v>
      </c>
      <c r="I55" s="122">
        <v>251.27023475118577</v>
      </c>
      <c r="J55" s="122">
        <v>-0.27023475118576812</v>
      </c>
    </row>
    <row r="56" spans="2:10" x14ac:dyDescent="0.2">
      <c r="B56" s="8">
        <v>88.7</v>
      </c>
      <c r="C56" s="8">
        <v>266</v>
      </c>
      <c r="D56" s="51">
        <v>353</v>
      </c>
      <c r="H56" s="122">
        <v>27</v>
      </c>
      <c r="I56" s="122">
        <v>284.57473151629324</v>
      </c>
      <c r="J56" s="122">
        <v>-1.5747315162932409</v>
      </c>
    </row>
    <row r="57" spans="2:10" x14ac:dyDescent="0.2">
      <c r="B57" s="8">
        <v>69.400000000000006</v>
      </c>
      <c r="C57" s="8">
        <v>268</v>
      </c>
      <c r="D57" s="51">
        <v>314</v>
      </c>
      <c r="H57" s="122">
        <v>28</v>
      </c>
      <c r="I57" s="122">
        <v>231.76495192460712</v>
      </c>
      <c r="J57" s="122">
        <v>-6.7649519246071179</v>
      </c>
    </row>
    <row r="58" spans="2:10" x14ac:dyDescent="0.2">
      <c r="B58" s="8">
        <v>80.3</v>
      </c>
      <c r="C58" s="8">
        <v>167</v>
      </c>
      <c r="D58" s="51">
        <v>247</v>
      </c>
      <c r="H58" s="122">
        <v>29</v>
      </c>
      <c r="I58" s="122">
        <v>100.84491278057318</v>
      </c>
      <c r="J58" s="122">
        <v>1.155087219426818</v>
      </c>
    </row>
    <row r="59" spans="2:10" x14ac:dyDescent="0.2">
      <c r="B59" s="8">
        <v>83</v>
      </c>
      <c r="C59" s="8">
        <v>342</v>
      </c>
      <c r="D59" s="51">
        <v>410</v>
      </c>
      <c r="H59" s="122">
        <v>30</v>
      </c>
      <c r="I59" s="122">
        <v>182.95748427260656</v>
      </c>
      <c r="J59" s="122">
        <v>-2.957484272606564</v>
      </c>
    </row>
    <row r="60" spans="2:10" x14ac:dyDescent="0.2">
      <c r="B60" s="8">
        <v>74.099999999999994</v>
      </c>
      <c r="C60" s="8">
        <v>349</v>
      </c>
      <c r="D60" s="51">
        <v>395</v>
      </c>
      <c r="H60" s="122">
        <v>31</v>
      </c>
      <c r="I60" s="122">
        <v>262.16275597393491</v>
      </c>
      <c r="J60" s="122">
        <v>-15.162755973934907</v>
      </c>
    </row>
    <row r="61" spans="2:10" x14ac:dyDescent="0.2">
      <c r="B61" s="8">
        <v>79.400000000000006</v>
      </c>
      <c r="C61" s="8">
        <v>340</v>
      </c>
      <c r="D61" s="51">
        <v>416</v>
      </c>
      <c r="H61" s="122">
        <v>32</v>
      </c>
      <c r="I61" s="122">
        <v>342.25810396917393</v>
      </c>
      <c r="J61" s="122">
        <v>0.74189603082606936</v>
      </c>
    </row>
    <row r="62" spans="2:10" x14ac:dyDescent="0.2">
      <c r="B62" s="8">
        <v>88.1</v>
      </c>
      <c r="C62" s="8">
        <v>227</v>
      </c>
      <c r="D62" s="51">
        <v>342</v>
      </c>
      <c r="H62" s="122">
        <v>33</v>
      </c>
      <c r="I62" s="122">
        <v>262.25855406071901</v>
      </c>
      <c r="J62" s="122">
        <v>20.741445939280993</v>
      </c>
    </row>
    <row r="63" spans="2:10" x14ac:dyDescent="0.2">
      <c r="B63" s="8">
        <v>74.599999999999994</v>
      </c>
      <c r="C63" s="8">
        <v>409</v>
      </c>
      <c r="D63" s="51">
        <v>446</v>
      </c>
      <c r="H63" s="122">
        <v>34</v>
      </c>
      <c r="I63" s="122">
        <v>248.86254199157889</v>
      </c>
      <c r="J63" s="122">
        <v>4.1374580084211061</v>
      </c>
    </row>
    <row r="64" spans="2:10" x14ac:dyDescent="0.2">
      <c r="B64" s="8">
        <v>87.1</v>
      </c>
      <c r="C64" s="8">
        <v>400</v>
      </c>
      <c r="D64" s="51">
        <v>477</v>
      </c>
      <c r="H64" s="122">
        <v>35</v>
      </c>
      <c r="I64" s="122">
        <v>271.75472211770847</v>
      </c>
      <c r="J64" s="122">
        <v>-8.754722117708468</v>
      </c>
    </row>
    <row r="65" spans="2:10" x14ac:dyDescent="0.2">
      <c r="B65" s="8">
        <v>79.7</v>
      </c>
      <c r="C65" s="8">
        <v>374</v>
      </c>
      <c r="D65" s="51">
        <v>444</v>
      </c>
      <c r="H65" s="122">
        <v>36</v>
      </c>
      <c r="I65" s="122">
        <v>296.37673148028006</v>
      </c>
      <c r="J65" s="122">
        <v>-5.376731480280057</v>
      </c>
    </row>
    <row r="66" spans="2:10" x14ac:dyDescent="0.2">
      <c r="B66" s="8">
        <v>82.1</v>
      </c>
      <c r="C66" s="8">
        <v>255</v>
      </c>
      <c r="D66" s="51">
        <v>351</v>
      </c>
      <c r="H66" s="122">
        <v>37</v>
      </c>
      <c r="I66" s="122">
        <v>353.50228956008169</v>
      </c>
      <c r="J66" s="122">
        <v>14.497710439918308</v>
      </c>
    </row>
    <row r="67" spans="2:10" x14ac:dyDescent="0.2">
      <c r="B67" s="8">
        <v>70.2</v>
      </c>
      <c r="C67" s="8">
        <v>146</v>
      </c>
      <c r="D67" s="51">
        <v>165</v>
      </c>
      <c r="H67" s="122">
        <v>38</v>
      </c>
      <c r="I67" s="122">
        <v>212.3681997913888</v>
      </c>
      <c r="J67" s="122">
        <v>-6.368199791388804</v>
      </c>
    </row>
    <row r="68" spans="2:10" x14ac:dyDescent="0.2">
      <c r="B68" s="8">
        <v>81.7</v>
      </c>
      <c r="C68" s="8">
        <v>248</v>
      </c>
      <c r="D68" s="51">
        <v>317</v>
      </c>
      <c r="H68" s="122">
        <v>39</v>
      </c>
      <c r="I68" s="122">
        <v>218.61813629609077</v>
      </c>
      <c r="J68" s="122">
        <v>12.381863703909232</v>
      </c>
    </row>
    <row r="69" spans="2:10" x14ac:dyDescent="0.2">
      <c r="B69" s="8">
        <v>76.099999999999994</v>
      </c>
      <c r="C69" s="8">
        <v>198</v>
      </c>
      <c r="D69" s="51">
        <v>250</v>
      </c>
      <c r="H69" s="122">
        <v>40</v>
      </c>
      <c r="I69" s="122">
        <v>398.97318326391076</v>
      </c>
      <c r="J69" s="122">
        <v>-9.9731832639107552</v>
      </c>
    </row>
    <row r="70" spans="2:10" x14ac:dyDescent="0.2">
      <c r="B70" s="8">
        <v>65.400000000000006</v>
      </c>
      <c r="C70" s="8">
        <v>210</v>
      </c>
      <c r="D70" s="51">
        <v>217</v>
      </c>
      <c r="H70" s="122">
        <v>41</v>
      </c>
      <c r="I70" s="122">
        <v>393.62666273462105</v>
      </c>
      <c r="J70" s="122">
        <v>2.3733372653789502</v>
      </c>
    </row>
    <row r="71" spans="2:10" x14ac:dyDescent="0.2">
      <c r="B71" s="8">
        <v>70.099999999999994</v>
      </c>
      <c r="C71" s="8">
        <v>107</v>
      </c>
      <c r="D71" s="51">
        <v>138</v>
      </c>
      <c r="H71" s="122">
        <v>42</v>
      </c>
      <c r="I71" s="122">
        <v>327.67067458934395</v>
      </c>
      <c r="J71" s="122">
        <v>11.329325410656054</v>
      </c>
    </row>
    <row r="72" spans="2:10" x14ac:dyDescent="0.2">
      <c r="B72" s="8">
        <v>75.3</v>
      </c>
      <c r="C72" s="8">
        <v>239</v>
      </c>
      <c r="D72" s="51">
        <v>302</v>
      </c>
      <c r="H72" s="122">
        <v>43</v>
      </c>
      <c r="I72" s="122">
        <v>278.35693006549445</v>
      </c>
      <c r="J72" s="122">
        <v>7.6430699345055473</v>
      </c>
    </row>
    <row r="73" spans="2:10" x14ac:dyDescent="0.2">
      <c r="B73" s="8">
        <v>68.7</v>
      </c>
      <c r="C73" s="8">
        <v>287</v>
      </c>
      <c r="D73" s="51">
        <v>311</v>
      </c>
      <c r="H73" s="122">
        <v>44</v>
      </c>
      <c r="I73" s="122">
        <v>149.21704350928184</v>
      </c>
      <c r="J73" s="122">
        <v>-3.2170435092818366</v>
      </c>
    </row>
    <row r="74" spans="2:10" x14ac:dyDescent="0.2">
      <c r="B74" s="8">
        <v>75.7</v>
      </c>
      <c r="C74" s="8">
        <v>340</v>
      </c>
      <c r="D74" s="51">
        <v>373</v>
      </c>
      <c r="H74" s="122">
        <v>45</v>
      </c>
      <c r="I74" s="122">
        <v>311.77117167381277</v>
      </c>
      <c r="J74" s="122">
        <v>3.2288283261872266</v>
      </c>
    </row>
    <row r="75" spans="2:10" x14ac:dyDescent="0.2">
      <c r="B75" s="8">
        <v>68.7</v>
      </c>
      <c r="C75" s="8">
        <v>155</v>
      </c>
      <c r="D75" s="51">
        <v>196</v>
      </c>
      <c r="H75" s="122">
        <v>46</v>
      </c>
      <c r="I75" s="122">
        <v>209.346306541498</v>
      </c>
      <c r="J75" s="122">
        <v>-26.346306541497995</v>
      </c>
    </row>
    <row r="76" spans="2:10" x14ac:dyDescent="0.2">
      <c r="B76" s="8">
        <v>70.400000000000006</v>
      </c>
      <c r="C76" s="8">
        <v>263</v>
      </c>
      <c r="D76" s="51">
        <v>306</v>
      </c>
      <c r="H76" s="122">
        <v>47</v>
      </c>
      <c r="I76" s="122">
        <v>476.97491212289833</v>
      </c>
      <c r="J76" s="122">
        <v>4.0250878771016687</v>
      </c>
    </row>
    <row r="77" spans="2:10" x14ac:dyDescent="0.2">
      <c r="B77" s="8">
        <v>68.3</v>
      </c>
      <c r="C77" s="8">
        <v>265</v>
      </c>
      <c r="D77" s="51">
        <v>302</v>
      </c>
      <c r="H77" s="122">
        <v>48</v>
      </c>
      <c r="I77" s="122">
        <v>358.77847721573971</v>
      </c>
      <c r="J77" s="122">
        <v>-9.7784772157397128</v>
      </c>
    </row>
    <row r="78" spans="2:10" x14ac:dyDescent="0.2">
      <c r="B78" s="8">
        <v>71.7</v>
      </c>
      <c r="C78" s="8">
        <v>249</v>
      </c>
      <c r="D78" s="51">
        <v>278</v>
      </c>
      <c r="H78" s="122">
        <v>49</v>
      </c>
      <c r="I78" s="122">
        <v>219.66221801876651</v>
      </c>
      <c r="J78" s="122">
        <v>5.3377819812334906</v>
      </c>
    </row>
    <row r="79" spans="2:10" x14ac:dyDescent="0.2">
      <c r="B79" s="8">
        <v>70.900000000000006</v>
      </c>
      <c r="C79" s="8">
        <v>377</v>
      </c>
      <c r="D79" s="51">
        <v>429</v>
      </c>
      <c r="H79" s="122">
        <v>50</v>
      </c>
      <c r="I79" s="122">
        <v>222.12144827960344</v>
      </c>
      <c r="J79" s="122">
        <v>-5.1214482796034417</v>
      </c>
    </row>
    <row r="80" spans="2:10" x14ac:dyDescent="0.2">
      <c r="B80" s="8">
        <v>66.3</v>
      </c>
      <c r="C80" s="8">
        <v>301</v>
      </c>
      <c r="D80" s="51">
        <v>338</v>
      </c>
      <c r="H80" s="122">
        <v>51</v>
      </c>
      <c r="I80" s="122">
        <v>365.34915718454783</v>
      </c>
      <c r="J80" s="122">
        <v>-12.349157184547835</v>
      </c>
    </row>
    <row r="81" spans="2:10" x14ac:dyDescent="0.2">
      <c r="B81" s="8">
        <v>65.3</v>
      </c>
      <c r="C81" s="8">
        <v>242</v>
      </c>
      <c r="D81" s="51">
        <v>261</v>
      </c>
      <c r="H81" s="122">
        <v>52</v>
      </c>
      <c r="I81" s="122">
        <v>296.8884640430291</v>
      </c>
      <c r="J81" s="122">
        <v>17.111535956970897</v>
      </c>
    </row>
    <row r="82" spans="2:10" x14ac:dyDescent="0.2">
      <c r="B82" s="8">
        <v>75.7</v>
      </c>
      <c r="C82" s="8">
        <v>211</v>
      </c>
      <c r="D82" s="51">
        <v>256</v>
      </c>
      <c r="H82" s="122">
        <v>53</v>
      </c>
      <c r="I82" s="122">
        <v>236.42693908998126</v>
      </c>
      <c r="J82" s="122">
        <v>10.573060910018739</v>
      </c>
    </row>
    <row r="83" spans="2:10" x14ac:dyDescent="0.2">
      <c r="B83" s="8">
        <v>66</v>
      </c>
      <c r="C83" s="8">
        <v>160</v>
      </c>
      <c r="D83" s="51">
        <v>183</v>
      </c>
      <c r="H83" s="122">
        <v>54</v>
      </c>
      <c r="I83" s="122">
        <v>419.97728718378397</v>
      </c>
      <c r="J83" s="122">
        <v>-9.9772871837839716</v>
      </c>
    </row>
    <row r="84" spans="2:10" x14ac:dyDescent="0.2">
      <c r="B84" s="8">
        <v>78.900000000000006</v>
      </c>
      <c r="C84" s="8">
        <v>218</v>
      </c>
      <c r="D84" s="51">
        <v>274</v>
      </c>
      <c r="H84" s="122">
        <v>55</v>
      </c>
      <c r="I84" s="122">
        <v>394.43973631414929</v>
      </c>
      <c r="J84" s="122">
        <v>0.56026368585071396</v>
      </c>
    </row>
    <row r="85" spans="2:10" x14ac:dyDescent="0.2">
      <c r="B85" s="8">
        <v>74</v>
      </c>
      <c r="C85" s="8">
        <v>133</v>
      </c>
      <c r="D85" s="51">
        <v>182</v>
      </c>
      <c r="H85" s="122">
        <v>56</v>
      </c>
      <c r="I85" s="122">
        <v>404.85205295312721</v>
      </c>
      <c r="J85" s="122">
        <v>11.147947046872787</v>
      </c>
    </row>
    <row r="86" spans="2:10" x14ac:dyDescent="0.2">
      <c r="B86" s="8">
        <v>74.599999999999994</v>
      </c>
      <c r="C86" s="8">
        <v>122</v>
      </c>
      <c r="D86" s="51">
        <v>183</v>
      </c>
      <c r="H86" s="122">
        <v>57</v>
      </c>
      <c r="I86" s="122">
        <v>324.44990825020886</v>
      </c>
      <c r="J86" s="122">
        <v>17.550091749791136</v>
      </c>
    </row>
    <row r="87" spans="2:10" x14ac:dyDescent="0.2">
      <c r="B87" s="8">
        <v>79.3</v>
      </c>
      <c r="C87" s="8">
        <v>236</v>
      </c>
      <c r="D87" s="51">
        <v>309</v>
      </c>
      <c r="H87" s="122">
        <v>58</v>
      </c>
      <c r="I87" s="122">
        <v>455.81740984918548</v>
      </c>
      <c r="J87" s="122">
        <v>-9.8174098491854807</v>
      </c>
    </row>
    <row r="88" spans="2:10" x14ac:dyDescent="0.2">
      <c r="B88" s="8">
        <v>70.099999999999994</v>
      </c>
      <c r="C88" s="8">
        <v>143</v>
      </c>
      <c r="D88" s="51">
        <v>178</v>
      </c>
      <c r="H88" s="122">
        <v>59</v>
      </c>
      <c r="I88" s="122">
        <v>492.51001806369459</v>
      </c>
      <c r="J88" s="122">
        <v>-15.510018063694588</v>
      </c>
    </row>
    <row r="89" spans="2:10" x14ac:dyDescent="0.2">
      <c r="B89" s="8">
        <v>88.8</v>
      </c>
      <c r="C89" s="8">
        <v>354</v>
      </c>
      <c r="D89" s="51">
        <v>458</v>
      </c>
      <c r="H89" s="122">
        <v>60</v>
      </c>
      <c r="I89" s="122">
        <v>439.69356863125779</v>
      </c>
      <c r="J89" s="122">
        <v>4.30643136874221</v>
      </c>
    </row>
    <row r="90" spans="2:10" x14ac:dyDescent="0.2">
      <c r="B90" s="8">
        <v>66</v>
      </c>
      <c r="C90" s="8">
        <v>214</v>
      </c>
      <c r="D90" s="51">
        <v>234</v>
      </c>
      <c r="H90" s="122">
        <v>61</v>
      </c>
      <c r="I90" s="122">
        <v>330.34090347107605</v>
      </c>
      <c r="J90" s="122">
        <v>20.659096528923953</v>
      </c>
    </row>
    <row r="91" spans="2:10" x14ac:dyDescent="0.2">
      <c r="B91" s="8">
        <v>82.9</v>
      </c>
      <c r="C91" s="8">
        <v>225</v>
      </c>
      <c r="D91" s="51">
        <v>306</v>
      </c>
      <c r="H91" s="122">
        <v>62</v>
      </c>
      <c r="I91" s="122">
        <v>178.71810142394818</v>
      </c>
      <c r="J91" s="122">
        <v>-13.718101423948184</v>
      </c>
    </row>
    <row r="92" spans="2:10" x14ac:dyDescent="0.2">
      <c r="B92" s="8">
        <v>100</v>
      </c>
      <c r="C92" s="8">
        <v>261</v>
      </c>
      <c r="D92" s="51">
        <v>400</v>
      </c>
      <c r="H92" s="122">
        <v>63</v>
      </c>
      <c r="I92" s="122">
        <v>321.93307772231634</v>
      </c>
      <c r="J92" s="122">
        <v>-4.9330777223163409</v>
      </c>
    </row>
    <row r="93" spans="2:10" x14ac:dyDescent="0.2">
      <c r="B93" s="8">
        <v>75.599999999999994</v>
      </c>
      <c r="C93" s="8">
        <v>277</v>
      </c>
      <c r="D93" s="51">
        <v>337</v>
      </c>
      <c r="H93" s="122">
        <v>64</v>
      </c>
      <c r="I93" s="122">
        <v>251.86563986906805</v>
      </c>
      <c r="J93" s="122">
        <v>-1.8656398690680476</v>
      </c>
    </row>
    <row r="94" spans="2:10" x14ac:dyDescent="0.2">
      <c r="B94" s="8">
        <v>67.5</v>
      </c>
      <c r="C94" s="8">
        <v>282</v>
      </c>
      <c r="D94" s="51">
        <v>325</v>
      </c>
      <c r="H94" s="122">
        <v>65</v>
      </c>
      <c r="I94" s="122">
        <v>224.72073721277857</v>
      </c>
      <c r="J94" s="122">
        <v>-7.7207372127785732</v>
      </c>
    </row>
    <row r="95" spans="2:10" x14ac:dyDescent="0.2">
      <c r="B95" s="8">
        <v>68.7</v>
      </c>
      <c r="C95" s="8">
        <v>322</v>
      </c>
      <c r="D95" s="51">
        <v>329</v>
      </c>
      <c r="H95" s="122">
        <v>66</v>
      </c>
      <c r="I95" s="122">
        <v>139.6438727379099</v>
      </c>
      <c r="J95" s="122">
        <v>-1.6438727379099021</v>
      </c>
    </row>
    <row r="96" spans="2:10" x14ac:dyDescent="0.2">
      <c r="B96" s="8">
        <v>76</v>
      </c>
      <c r="C96" s="8">
        <v>326</v>
      </c>
      <c r="D96" s="51">
        <v>369</v>
      </c>
      <c r="H96" s="122">
        <v>67</v>
      </c>
      <c r="I96" s="122">
        <v>289.63992055105604</v>
      </c>
      <c r="J96" s="122">
        <v>12.360079448943964</v>
      </c>
    </row>
    <row r="97" spans="2:10" x14ac:dyDescent="0.2">
      <c r="B97" s="8">
        <v>67.7</v>
      </c>
      <c r="C97" s="8">
        <v>421</v>
      </c>
      <c r="D97" s="51">
        <v>457</v>
      </c>
      <c r="H97" s="122">
        <v>68</v>
      </c>
      <c r="I97" s="122">
        <v>313.19177590287421</v>
      </c>
      <c r="J97" s="122">
        <v>-2.1917759028742125</v>
      </c>
    </row>
    <row r="98" spans="2:10" x14ac:dyDescent="0.2">
      <c r="B98" s="8">
        <v>75.3</v>
      </c>
      <c r="C98" s="8">
        <v>368</v>
      </c>
      <c r="D98" s="51">
        <v>421</v>
      </c>
      <c r="H98" s="122">
        <v>69</v>
      </c>
      <c r="I98" s="122">
        <v>391.34690311570142</v>
      </c>
      <c r="J98" s="122">
        <v>-18.346903115701423</v>
      </c>
    </row>
    <row r="99" spans="2:10" x14ac:dyDescent="0.2">
      <c r="B99" s="8">
        <v>68.099999999999994</v>
      </c>
      <c r="C99" s="8">
        <v>279</v>
      </c>
      <c r="D99" s="51">
        <v>282</v>
      </c>
      <c r="H99" s="122">
        <v>70</v>
      </c>
      <c r="I99" s="122">
        <v>182.17593867205613</v>
      </c>
      <c r="J99" s="122">
        <v>13.824061327943866</v>
      </c>
    </row>
    <row r="100" spans="2:10" x14ac:dyDescent="0.2">
      <c r="B100" s="8">
        <v>63.3</v>
      </c>
      <c r="C100" s="8">
        <v>268</v>
      </c>
      <c r="D100" s="51">
        <v>256</v>
      </c>
      <c r="H100" s="122">
        <v>71</v>
      </c>
      <c r="I100" s="122">
        <v>295.57578343240266</v>
      </c>
      <c r="J100" s="122">
        <v>10.424216567597341</v>
      </c>
    </row>
    <row r="101" spans="2:10" x14ac:dyDescent="0.2">
      <c r="H101" s="122">
        <v>72</v>
      </c>
      <c r="I101" s="122">
        <v>289.89578683243053</v>
      </c>
      <c r="J101" s="122">
        <v>12.104213167569469</v>
      </c>
    </row>
    <row r="102" spans="2:10" x14ac:dyDescent="0.2">
      <c r="H102" s="122">
        <v>73</v>
      </c>
      <c r="I102" s="122">
        <v>286.4252169777464</v>
      </c>
      <c r="J102" s="122">
        <v>-8.4252169777464019</v>
      </c>
    </row>
    <row r="103" spans="2:10" x14ac:dyDescent="0.2">
      <c r="H103" s="122">
        <v>74</v>
      </c>
      <c r="I103" s="122">
        <v>410.55084492550088</v>
      </c>
      <c r="J103" s="122">
        <v>18.449155074499117</v>
      </c>
    </row>
    <row r="104" spans="2:10" x14ac:dyDescent="0.2">
      <c r="H104" s="122">
        <v>75</v>
      </c>
      <c r="I104" s="122">
        <v>318.32729781126875</v>
      </c>
      <c r="J104" s="122">
        <v>19.67270218873125</v>
      </c>
    </row>
    <row r="105" spans="2:10" x14ac:dyDescent="0.2">
      <c r="H105" s="122">
        <v>76</v>
      </c>
      <c r="I105" s="122">
        <v>256.11714824937729</v>
      </c>
      <c r="J105" s="122">
        <v>4.8828517506227058</v>
      </c>
    </row>
    <row r="106" spans="2:10" x14ac:dyDescent="0.2">
      <c r="H106" s="122">
        <v>77</v>
      </c>
      <c r="I106" s="122">
        <v>263.30869854922014</v>
      </c>
      <c r="J106" s="122">
        <v>-7.3086985492201393</v>
      </c>
    </row>
    <row r="107" spans="2:10" x14ac:dyDescent="0.2">
      <c r="H107" s="122">
        <v>78</v>
      </c>
      <c r="I107" s="122">
        <v>177.28355043845988</v>
      </c>
      <c r="J107" s="122">
        <v>5.7164495615401165</v>
      </c>
    </row>
    <row r="108" spans="2:10" x14ac:dyDescent="0.2">
      <c r="H108" s="122">
        <v>79</v>
      </c>
      <c r="I108" s="122">
        <v>281.9366376884642</v>
      </c>
      <c r="J108" s="122">
        <v>-7.9366376884642023</v>
      </c>
    </row>
    <row r="109" spans="2:10" x14ac:dyDescent="0.2">
      <c r="H109" s="122">
        <v>80</v>
      </c>
      <c r="I109" s="122">
        <v>179.68518043224134</v>
      </c>
      <c r="J109" s="122">
        <v>2.3148195677586614</v>
      </c>
    </row>
    <row r="110" spans="2:10" x14ac:dyDescent="0.2">
      <c r="H110" s="122">
        <v>81</v>
      </c>
      <c r="I110" s="122">
        <v>170.95721829430073</v>
      </c>
      <c r="J110" s="122">
        <v>12.042781705699269</v>
      </c>
    </row>
    <row r="111" spans="2:10" x14ac:dyDescent="0.2">
      <c r="H111" s="122">
        <v>82</v>
      </c>
      <c r="I111" s="122">
        <v>301.26244987312543</v>
      </c>
      <c r="J111" s="122">
        <v>7.7375501268745666</v>
      </c>
    </row>
    <row r="112" spans="2:10" x14ac:dyDescent="0.2">
      <c r="H112" s="122">
        <v>83</v>
      </c>
      <c r="I112" s="122">
        <v>175.37546470995119</v>
      </c>
      <c r="J112" s="122">
        <v>2.6245352900488115</v>
      </c>
    </row>
    <row r="113" spans="8:10" x14ac:dyDescent="0.2">
      <c r="H113" s="122">
        <v>84</v>
      </c>
      <c r="I113" s="122">
        <v>453.05805272142004</v>
      </c>
      <c r="J113" s="122">
        <v>4.9419472785799599</v>
      </c>
    </row>
    <row r="114" spans="8:10" x14ac:dyDescent="0.2">
      <c r="H114" s="122">
        <v>85</v>
      </c>
      <c r="I114" s="122">
        <v>230.88093839652183</v>
      </c>
      <c r="J114" s="122">
        <v>3.1190616034781726</v>
      </c>
    </row>
    <row r="115" spans="8:10" x14ac:dyDescent="0.2">
      <c r="H115" s="122">
        <v>86</v>
      </c>
      <c r="I115" s="122">
        <v>303.48460922498958</v>
      </c>
      <c r="J115" s="122">
        <v>2.5153907750104167</v>
      </c>
    </row>
    <row r="116" spans="8:10" x14ac:dyDescent="0.2">
      <c r="H116" s="122">
        <v>87</v>
      </c>
      <c r="I116" s="122">
        <v>401.63189368891739</v>
      </c>
      <c r="J116" s="122">
        <v>-1.631893688917387</v>
      </c>
    </row>
    <row r="117" spans="8:10" x14ac:dyDescent="0.2">
      <c r="H117" s="122">
        <v>88</v>
      </c>
      <c r="I117" s="122">
        <v>328.45161311496895</v>
      </c>
      <c r="J117" s="122">
        <v>8.54838688503105</v>
      </c>
    </row>
    <row r="118" spans="8:10" x14ac:dyDescent="0.2">
      <c r="H118" s="122">
        <v>89</v>
      </c>
      <c r="I118" s="122">
        <v>303.84900619972439</v>
      </c>
      <c r="J118" s="122">
        <v>21.150993800275614</v>
      </c>
    </row>
    <row r="119" spans="8:10" x14ac:dyDescent="0.2">
      <c r="H119" s="122">
        <v>90</v>
      </c>
      <c r="I119" s="122">
        <v>347.93082365346993</v>
      </c>
      <c r="J119" s="122">
        <v>-18.930823653469929</v>
      </c>
    </row>
    <row r="120" spans="8:10" x14ac:dyDescent="0.2">
      <c r="H120" s="122">
        <v>91</v>
      </c>
      <c r="I120" s="122">
        <v>378.54629616444362</v>
      </c>
      <c r="J120" s="122">
        <v>-9.5462961644436177</v>
      </c>
    </row>
    <row r="121" spans="8:10" x14ac:dyDescent="0.2">
      <c r="H121" s="122">
        <v>92</v>
      </c>
      <c r="I121" s="122">
        <v>442.54266107998194</v>
      </c>
      <c r="J121" s="122">
        <v>14.45733892001806</v>
      </c>
    </row>
    <row r="122" spans="8:10" x14ac:dyDescent="0.2">
      <c r="H122" s="122">
        <v>93</v>
      </c>
      <c r="I122" s="122">
        <v>417.67812511753732</v>
      </c>
      <c r="J122" s="122">
        <v>3.32187488246268</v>
      </c>
    </row>
    <row r="123" spans="8:10" x14ac:dyDescent="0.2">
      <c r="H123" s="122">
        <v>94</v>
      </c>
      <c r="I123" s="122">
        <v>303.06139783334851</v>
      </c>
      <c r="J123" s="122">
        <v>-21.061397833348508</v>
      </c>
    </row>
    <row r="124" spans="8:10" ht="16" thickBot="1" x14ac:dyDescent="0.25">
      <c r="H124" s="123">
        <v>95</v>
      </c>
      <c r="I124" s="123">
        <v>274.62321701375959</v>
      </c>
      <c r="J124" s="123">
        <v>-18.623217013759586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Melissa Soto Prieto</cp:lastModifiedBy>
  <dcterms:created xsi:type="dcterms:W3CDTF">2022-08-25T18:47:42Z</dcterms:created>
  <dcterms:modified xsi:type="dcterms:W3CDTF">2023-03-05T13:59:33Z</dcterms:modified>
</cp:coreProperties>
</file>