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20C0D96B-7194-E741-96FE-C5461BD66F3D}" xr6:coauthVersionLast="47" xr6:coauthVersionMax="47" xr10:uidLastSave="{00000000-0000-0000-0000-000000000000}"/>
  <bookViews>
    <workbookView xWindow="0" yWindow="500" windowWidth="25580" windowHeight="20140" firstSheet="33" activeTab="36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2" hidden="1">'Frequency Distributions'!$D$18:$D$25</definedName>
    <definedName name="_xlchart.v1.3" hidden="1">'Frequency Distributions'!$E$17</definedName>
    <definedName name="_xlchart.v1.4" hidden="1">'Frequency Distributions'!$E$18:$E$25</definedName>
    <definedName name="_xlchart.v1.5" hidden="1">'Box &amp; Whisker'!$B$5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43" l="1"/>
  <c r="P6" i="43"/>
  <c r="M11" i="43"/>
  <c r="M10" i="43"/>
  <c r="M9" i="43"/>
  <c r="M8" i="43"/>
  <c r="M7" i="43"/>
  <c r="J6" i="43"/>
  <c r="G13" i="43"/>
  <c r="F13" i="43"/>
  <c r="G9" i="43"/>
  <c r="F9" i="43"/>
  <c r="G12" i="43"/>
  <c r="F12" i="43"/>
  <c r="G8" i="43"/>
  <c r="F8" i="43"/>
  <c r="G7" i="43"/>
  <c r="F7" i="43"/>
  <c r="M9" i="42"/>
  <c r="G11" i="42"/>
  <c r="M11" i="42" s="1"/>
  <c r="F11" i="42"/>
  <c r="N12" i="41"/>
  <c r="N11" i="41"/>
  <c r="N10" i="41"/>
  <c r="M10" i="42"/>
  <c r="N9" i="41"/>
  <c r="M8" i="42"/>
  <c r="M7" i="42"/>
  <c r="J6" i="42"/>
  <c r="G11" i="41"/>
  <c r="F10" i="42" a="1"/>
  <c r="F10" i="42" s="1"/>
  <c r="G10" i="42" a="1"/>
  <c r="G10" i="42" s="1"/>
  <c r="G10" i="41"/>
  <c r="F9" i="42"/>
  <c r="K6" i="41"/>
  <c r="G9" i="42"/>
  <c r="G8" i="42"/>
  <c r="F8" i="42"/>
  <c r="G7" i="42"/>
  <c r="F7" i="42"/>
  <c r="N8" i="41"/>
  <c r="N7" i="41"/>
  <c r="H11" i="41"/>
  <c r="H10" i="41"/>
  <c r="H9" i="41"/>
  <c r="G9" i="41"/>
  <c r="H8" i="41"/>
  <c r="G8" i="41"/>
  <c r="H7" i="41"/>
  <c r="G7" i="41"/>
  <c r="N7" i="40"/>
  <c r="N6" i="40"/>
  <c r="K11" i="40"/>
  <c r="K10" i="40"/>
  <c r="K10" i="39"/>
  <c r="K11" i="39" s="1"/>
  <c r="K9" i="40"/>
  <c r="K8" i="40"/>
  <c r="H11" i="38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H8" i="40" s="1"/>
  <c r="H6" i="40"/>
  <c r="K7" i="40"/>
  <c r="K9" i="39"/>
  <c r="K8" i="39"/>
  <c r="K7" i="39"/>
  <c r="H8" i="39"/>
  <c r="H7" i="39"/>
  <c r="H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H11" i="37"/>
  <c r="H10" i="37"/>
  <c r="E12" i="37"/>
  <c r="E11" i="37"/>
  <c r="E8" i="37"/>
  <c r="H7" i="38"/>
  <c r="H8" i="38" s="1"/>
  <c r="H9" i="38" s="1"/>
  <c r="E7" i="38"/>
  <c r="E6" i="38"/>
  <c r="H9" i="37"/>
  <c r="H8" i="37"/>
  <c r="H7" i="37"/>
  <c r="E7" i="37"/>
  <c r="E6" i="37"/>
  <c r="H10" i="35"/>
  <c r="K7" i="36"/>
  <c r="K6" i="36"/>
  <c r="H8" i="36"/>
  <c r="H11" i="35"/>
  <c r="K6" i="35" s="1"/>
  <c r="H7" i="36"/>
  <c r="E8" i="36"/>
  <c r="E7" i="36"/>
  <c r="E6" i="36"/>
  <c r="K7" i="35"/>
  <c r="H9" i="35"/>
  <c r="H8" i="35"/>
  <c r="H7" i="35"/>
  <c r="E8" i="35"/>
  <c r="E7" i="35"/>
  <c r="E6" i="35"/>
  <c r="H7" i="34"/>
  <c r="H8" i="34" s="1"/>
  <c r="E7" i="34"/>
  <c r="E6" i="34"/>
  <c r="K7" i="33"/>
  <c r="K6" i="33"/>
  <c r="H11" i="33"/>
  <c r="H10" i="33"/>
  <c r="H9" i="33"/>
  <c r="H8" i="33"/>
  <c r="H7" i="33"/>
  <c r="E7" i="33"/>
  <c r="E6" i="33"/>
  <c r="H7" i="32"/>
  <c r="K10" i="25"/>
  <c r="K7" i="25"/>
  <c r="H6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H10" i="23"/>
  <c r="L7" i="25"/>
  <c r="L10" i="25" s="1"/>
  <c r="M7" i="25"/>
  <c r="M10" i="25" s="1"/>
  <c r="L8" i="25"/>
  <c r="M8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M12" i="42" l="1"/>
  <c r="N6" i="39"/>
  <c r="N7" i="39"/>
  <c r="H7" i="40"/>
  <c r="K7" i="38"/>
  <c r="K6" i="38"/>
  <c r="E8" i="38"/>
  <c r="H10" i="38" s="1"/>
  <c r="E11" i="38"/>
  <c r="E12" i="38"/>
  <c r="K7" i="37"/>
  <c r="K6" i="37"/>
  <c r="K7" i="34"/>
  <c r="K6" i="34"/>
  <c r="H8" i="32"/>
  <c r="G12" i="16"/>
  <c r="L10" i="66"/>
  <c r="L8" i="66"/>
  <c r="L7" i="66" a="1"/>
  <c r="L7" i="66" s="1"/>
  <c r="I7" i="66"/>
  <c r="L6" i="66" a="1"/>
  <c r="L6" i="66" s="1"/>
  <c r="L9" i="66" s="1"/>
  <c r="I6" i="66"/>
  <c r="F6" i="66"/>
  <c r="P7" i="42" l="1"/>
  <c r="P6" i="42"/>
  <c r="Q7" i="41"/>
  <c r="Q6" i="41"/>
  <c r="L12" i="66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<sst xmlns="http://schemas.openxmlformats.org/spreadsheetml/2006/main" count="2315" uniqueCount="332">
  <si>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</si>
  <si>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</si>
  <si>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</si>
  <si>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</si>
  <si>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</si>
  <si>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</si>
  <si>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</si>
  <si>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</si>
  <si>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</si>
  <si>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</si>
  <si>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</si>
  <si>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</si>
  <si>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</si>
  <si>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</si>
  <si>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</si>
  <si>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</si>
  <si>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</si>
  <si>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</si>
  <si>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</si>
  <si>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</si>
  <si>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</si>
  <si>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</si>
  <si>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</si>
  <si>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</si>
  <si>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</si>
  <si>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</si>
  <si>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</si>
  <si>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</si>
  <si>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</si>
  <si>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</si>
  <si>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</si>
  <si>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</si>
  <si>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</si>
  <si>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</si>
  <si>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</si>
  <si>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</si>
  <si>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</si>
  <si>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</si>
  <si>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</si>
  <si>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</si>
  <si>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</si>
  <si>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</si>
  <si>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</si>
  <si>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</si>
  <si>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</si>
  <si>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</si>
  <si>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</si>
  <si>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</si>
  <si>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</si>
  <si>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</si>
  <si>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</si>
  <si>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</si>
  <si>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</si>
  <si>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</si>
  <si>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</si>
  <si>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</si>
  <si>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</si>
  <si>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</si>
  <si>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</si>
  <si>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</si>
  <si>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</si>
  <si>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</si>
  <si>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</si>
  <si>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</si>
  <si>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</si>
  <si>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</si>
  <si>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</si>
  <si>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</si>
  <si>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</si>
  <si>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</si>
  <si>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</si>
  <si>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</si>
  <si>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</si>
  <si>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</si>
  <si>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</si>
  <si>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</si>
  <si>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</si>
  <si>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</si>
  <si>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</si>
  <si>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</si>
  <si>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</si>
  <si>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</si>
  <si>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</si>
  <si>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</si>
  <si>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</si>
  <si>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</si>
  <si>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</si>
  <si>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</si>
  <si>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</si>
  <si>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</si>
  <si>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</si>
  <si>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</si>
  <si>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</si>
  <si>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</si>
  <si>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</si>
  <si>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</si>
  <si>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</si>
  <si>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</si>
  <si>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</si>
  <si>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</si>
  <si>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</si>
  <si>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</si>
  <si>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</si>
  <si>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</si>
  <si>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</si>
  <si>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</si>
  <si>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</si>
  <si>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</si>
  <si>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</si>
  <si>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</si>
  <si>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</si>
  <si>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</si>
  <si>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</si>
  <si>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</si>
  <si>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</si>
  <si>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</si>
  <si>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</si>
  <si>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</si>
  <si>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</si>
  <si>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</si>
  <si>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</si>
  <si>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</si>
  <si>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</si>
  <si>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</si>
  <si>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</si>
  <si>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</si>
  <si>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</si>
  <si>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</si>
  <si>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</si>
  <si>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</si>
  <si>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</si>
  <si>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</si>
  <si>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</si>
  <si>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</si>
  <si>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</si>
  <si>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</si>
  <si>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</si>
  <si>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</si>
  <si>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</si>
  <si>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</si>
  <si>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</si>
  <si>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</si>
  <si>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</si>
  <si>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</si>
  <si>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</si>
  <si>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</si>
  <si>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</si>
  <si>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</si>
  <si>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</si>
  <si>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</si>
  <si>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</si>
  <si>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</si>
  <si>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</si>
  <si>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</si>
  <si>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</si>
  <si>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</si>
  <si>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</si>
  <si>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</si>
  <si>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</si>
  <si>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</si>
  <si>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</si>
  <si>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</si>
  <si>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</si>
  <si>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</si>
  <si>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</si>
  <si>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</si>
  <si>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</si>
  <si>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</si>
  <si>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</si>
  <si>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</si>
  <si>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</si>
  <si>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</si>
  <si>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</si>
  <si>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</si>
  <si>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</si>
  <si>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</si>
  <si>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</si>
  <si>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</si>
  <si>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</si>
  <si>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</si>
  <si>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</si>
  <si>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</si>
  <si>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</si>
  <si>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</si>
  <si>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</si>
  <si>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</si>
  <si>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</si>
  <si>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</si>
  <si>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</si>
  <si>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</si>
  <si>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</si>
  <si>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</si>
  <si>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</si>
  <si>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</si>
  <si>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</si>
  <si>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</si>
  <si>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</si>
  <si>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</si>
  <si>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</si>
  <si>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</si>
  <si>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</si>
  <si>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</si>
  <si>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</si>
  <si>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</si>
  <si>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</si>
  <si>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</si>
  <si>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</si>
  <si>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</si>
  <si>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</si>
  <si>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</si>
  <si>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</si>
  <si>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</si>
  <si>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</si>
  <si>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</si>
  <si>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</si>
  <si>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</si>
  <si>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</si>
  <si>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</si>
  <si>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</si>
  <si>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</si>
  <si>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</si>
  <si>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</si>
  <si>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</si>
  <si>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</si>
  <si>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</si>
  <si>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</si>
  <si>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</si>
  <si>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</si>
  <si>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</si>
  <si>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</si>
  <si>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</si>
  <si>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</si>
  <si>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</si>
  <si>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</si>
  <si>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</si>
  <si>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</si>
  <si>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</si>
  <si>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</si>
  <si>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</si>
  <si>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</si>
  <si>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</si>
  <si>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</si>
  <si>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</si>
  <si>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</si>
  <si>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</si>
  <si>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</si>
  <si>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</si>
  <si>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</si>
  <si>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</si>
  <si>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</si>
  <si>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</si>
  <si>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</si>
  <si>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</si>
  <si>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</si>
  <si>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</si>
  <si>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</si>
  <si>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</si>
  <si>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</si>
  <si>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</si>
  <si>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</si>
  <si>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</si>
  <si>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</si>
  <si>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</si>
  <si>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</si>
  <si>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</si>
  <si>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</si>
  <si>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</si>
  <si>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</si>
  <si>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</si>
  <si>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</si>
  <si>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</si>
  <si>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</si>
  <si>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</si>
  <si>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</si>
  <si>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</si>
  <si>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</si>
  <si>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</si>
  <si>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</si>
  <si>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</si>
  <si>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</si>
  <si>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</si>
  <si>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</si>
  <si>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</si>
  <si>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</si>
  <si>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</si>
  <si>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</si>
  <si>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</si>
  <si>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</si>
  <si>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</si>
  <si>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</si>
  <si>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</si>
  <si>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</si>
  <si>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</si>
  <si>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</si>
  <si>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</si>
  <si>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</si>
  <si>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</si>
  <si>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</si>
  <si>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</si>
  <si>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</si>
  <si>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</si>
  <si>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</si>
  <si>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</si>
  <si>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</si>
  <si>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</si>
  <si>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</si>
  <si>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</si>
  <si>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</si>
  <si>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</si>
  <si>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</si>
  <si>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</si>
  <si>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</si>
  <si>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</si>
  <si>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</si>
  <si>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</si>
  <si>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</si>
  <si>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</si>
  <si>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</si>
  <si>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</si>
  <si>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</si>
  <si>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</si>
  <si>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</si>
  <si>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</si>
  <si>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</si>
  <si>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</si>
  <si>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</si>
  <si>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</si>
  <si>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</si>
  <si>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</si>
  <si>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</si>
  <si>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</si>
  <si>
    <t>This is the emperical rule that says 68% of value live 1 STA DIV away from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</si>
</sst>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/>
    </xf>
    <xf numFmtId="1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75000"/>
                <a:alpha val="48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926032"/>
        <c:axId val="1142741824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926032"/>
        <c:axId val="1142741824"/>
      </c:lineChart>
      <c:catAx>
        <c:axId val="120892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1824"/>
        <c:crosses val="autoZero"/>
        <c:auto val="1"/>
        <c:lblAlgn val="ctr"/>
        <c:lblOffset val="100"/>
        <c:noMultiLvlLbl val="0"/>
      </c:catAx>
      <c:valAx>
        <c:axId val="1142741824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208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9.xml"/><Relationship Id="rId4" Type="http://schemas.openxmlformats.org/officeDocument/2006/relationships/image" Target="../media/image18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7</xdr:row>
      <xdr:rowOff>139700</xdr:rowOff>
    </xdr:from>
    <xdr:to>
      <xdr:col>17</xdr:col>
      <xdr:colOff>209550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A7A4A-2842-9E50-5389-43307FF7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I4" sqref="I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9" t="s">
        <v>0</v>
      </c>
      <c r="C2" s="109"/>
      <c r="E2" s="110" t="s">
        <v>19</v>
      </c>
      <c r="F2" s="110"/>
      <c r="H2" s="111" t="s">
        <v>137</v>
      </c>
      <c r="I2" s="111"/>
      <c r="K2" s="112" t="s">
        <v>188</v>
      </c>
      <c r="L2" s="112"/>
      <c r="N2" s="113" t="s">
        <v>218</v>
      </c>
      <c r="O2" s="113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1" t="s">
        <v>14</v>
      </c>
      <c r="E6">
        <v>42</v>
      </c>
      <c r="F6" s="102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1" t="s">
        <v>13</v>
      </c>
      <c r="E7">
        <v>53</v>
      </c>
      <c r="F7" s="102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1" t="s">
        <v>17</v>
      </c>
      <c r="E8">
        <v>95</v>
      </c>
      <c r="F8" s="102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3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1" t="s">
        <v>318</v>
      </c>
      <c r="E6">
        <v>22</v>
      </c>
      <c r="F6" s="102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1" t="s">
        <v>319</v>
      </c>
      <c r="E7">
        <v>11</v>
      </c>
      <c r="F7" s="102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1" t="s">
        <v>326</v>
      </c>
      <c r="E8">
        <v>9</v>
      </c>
      <c r="F8" s="10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1" t="s">
        <v>320</v>
      </c>
      <c r="E9">
        <v>4</v>
      </c>
      <c r="F9" s="10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1" t="s">
        <v>321</v>
      </c>
      <c r="E10">
        <v>3</v>
      </c>
      <c r="F10" s="10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1" t="s">
        <v>322</v>
      </c>
      <c r="E11">
        <v>1</v>
      </c>
      <c r="F11" s="10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1" t="s">
        <v>325</v>
      </c>
      <c r="E12">
        <v>1</v>
      </c>
      <c r="F12" s="10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1" t="s">
        <v>324</v>
      </c>
      <c r="E13">
        <v>1</v>
      </c>
      <c r="F13" s="102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1" t="s">
        <v>323</v>
      </c>
      <c r="E14">
        <v>1</v>
      </c>
      <c r="F14" s="102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1" t="s">
        <v>17</v>
      </c>
      <c r="E15">
        <v>53</v>
      </c>
      <c r="F15" s="102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4" t="s">
        <v>328</v>
      </c>
      <c r="E5" s="105" t="s">
        <v>15</v>
      </c>
      <c r="F5" s="106" t="s">
        <v>327</v>
      </c>
    </row>
    <row r="6" spans="2:6" x14ac:dyDescent="0.2">
      <c r="B6" s="8">
        <v>90.2</v>
      </c>
      <c r="D6" s="101" t="s">
        <v>38</v>
      </c>
      <c r="E6">
        <v>1</v>
      </c>
      <c r="F6" s="102">
        <v>1.0526315789473684E-2</v>
      </c>
    </row>
    <row r="7" spans="2:6" x14ac:dyDescent="0.2">
      <c r="B7" s="8">
        <v>92.8</v>
      </c>
      <c r="D7" s="101" t="s">
        <v>39</v>
      </c>
      <c r="E7">
        <v>3</v>
      </c>
      <c r="F7" s="102">
        <v>4.2105263157894736E-2</v>
      </c>
    </row>
    <row r="8" spans="2:6" x14ac:dyDescent="0.2">
      <c r="B8" s="8">
        <v>68.7</v>
      </c>
      <c r="D8" s="101" t="s">
        <v>40</v>
      </c>
      <c r="E8">
        <v>17</v>
      </c>
      <c r="F8" s="102">
        <v>0.22105263157894736</v>
      </c>
    </row>
    <row r="9" spans="2:6" x14ac:dyDescent="0.2">
      <c r="B9" s="8">
        <v>80.7</v>
      </c>
      <c r="D9" s="101" t="s">
        <v>41</v>
      </c>
      <c r="E9">
        <v>24</v>
      </c>
      <c r="F9" s="102">
        <v>0.47368421052631576</v>
      </c>
    </row>
    <row r="10" spans="2:6" x14ac:dyDescent="0.2">
      <c r="B10" s="8">
        <v>74.900000000000006</v>
      </c>
      <c r="D10" s="101" t="s">
        <v>42</v>
      </c>
      <c r="E10">
        <v>29</v>
      </c>
      <c r="F10" s="102">
        <v>0.77894736842105261</v>
      </c>
    </row>
    <row r="11" spans="2:6" x14ac:dyDescent="0.2">
      <c r="B11" s="8">
        <v>80.7</v>
      </c>
      <c r="D11" s="101" t="s">
        <v>43</v>
      </c>
      <c r="E11">
        <v>17</v>
      </c>
      <c r="F11" s="102">
        <v>0.95789473684210524</v>
      </c>
    </row>
    <row r="12" spans="2:6" x14ac:dyDescent="0.2">
      <c r="B12" s="8">
        <v>83.3</v>
      </c>
      <c r="D12" s="101" t="s">
        <v>44</v>
      </c>
      <c r="E12">
        <v>3</v>
      </c>
      <c r="F12" s="102">
        <v>0.98947368421052628</v>
      </c>
    </row>
    <row r="13" spans="2:6" x14ac:dyDescent="0.2">
      <c r="B13" s="8">
        <v>88.7</v>
      </c>
      <c r="D13" s="101" t="s">
        <v>45</v>
      </c>
      <c r="E13">
        <v>1</v>
      </c>
      <c r="F13" s="102">
        <v>1</v>
      </c>
    </row>
    <row r="14" spans="2:6" x14ac:dyDescent="0.2">
      <c r="B14" s="8">
        <v>75.400000000000006</v>
      </c>
      <c r="D14" s="101" t="s">
        <v>17</v>
      </c>
      <c r="E14">
        <v>95</v>
      </c>
      <c r="F14" s="102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7" t="s">
        <v>328</v>
      </c>
      <c r="E17" s="107" t="s">
        <v>329</v>
      </c>
    </row>
    <row r="18" spans="2:5" x14ac:dyDescent="0.2">
      <c r="B18" s="8">
        <v>71.3</v>
      </c>
      <c r="D18" s="101" t="s">
        <v>38</v>
      </c>
      <c r="E18">
        <v>1</v>
      </c>
    </row>
    <row r="19" spans="2:5" x14ac:dyDescent="0.2">
      <c r="B19" s="8">
        <v>76.8</v>
      </c>
      <c r="D19" s="101" t="s">
        <v>39</v>
      </c>
      <c r="E19">
        <v>3</v>
      </c>
    </row>
    <row r="20" spans="2:5" x14ac:dyDescent="0.2">
      <c r="B20" s="8">
        <v>72.3</v>
      </c>
      <c r="D20" s="101" t="s">
        <v>40</v>
      </c>
      <c r="E20">
        <v>17</v>
      </c>
    </row>
    <row r="21" spans="2:5" x14ac:dyDescent="0.2">
      <c r="B21" s="8">
        <v>72.400000000000006</v>
      </c>
      <c r="D21" s="101" t="s">
        <v>41</v>
      </c>
      <c r="E21">
        <v>24</v>
      </c>
    </row>
    <row r="22" spans="2:5" x14ac:dyDescent="0.2">
      <c r="B22" s="8">
        <v>72</v>
      </c>
      <c r="D22" s="101" t="s">
        <v>42</v>
      </c>
      <c r="E22">
        <v>29</v>
      </c>
    </row>
    <row r="23" spans="2:5" x14ac:dyDescent="0.2">
      <c r="B23" s="8">
        <v>81</v>
      </c>
      <c r="D23" s="101" t="s">
        <v>43</v>
      </c>
      <c r="E23">
        <v>17</v>
      </c>
    </row>
    <row r="24" spans="2:5" x14ac:dyDescent="0.2">
      <c r="B24" s="8">
        <v>96.1</v>
      </c>
      <c r="D24" s="101" t="s">
        <v>44</v>
      </c>
      <c r="E24">
        <v>3</v>
      </c>
    </row>
    <row r="25" spans="2:5" x14ac:dyDescent="0.2">
      <c r="B25" s="8">
        <v>76.7</v>
      </c>
      <c r="D25" s="101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4" t="s">
        <v>51</v>
      </c>
      <c r="F5" s="114"/>
      <c r="H5" s="114" t="s">
        <v>57</v>
      </c>
      <c r="I5" s="114"/>
      <c r="J5" s="114"/>
      <c r="L5" s="115" t="s">
        <v>57</v>
      </c>
      <c r="M5" s="115"/>
      <c r="N5" s="115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4" t="s">
        <v>51</v>
      </c>
      <c r="E5" s="114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4" t="s">
        <v>60</v>
      </c>
      <c r="G5" s="114"/>
      <c r="H5" s="114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4" t="s">
        <v>64</v>
      </c>
      <c r="F5" s="114"/>
      <c r="G5" s="114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4" t="s">
        <v>64</v>
      </c>
      <c r="F5" s="114"/>
      <c r="G5" s="114"/>
      <c r="I5" s="115" t="s">
        <v>64</v>
      </c>
      <c r="J5" s="115"/>
      <c r="K5" s="115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100" t="s">
        <v>242</v>
      </c>
      <c r="F5" s="114" t="s">
        <v>317</v>
      </c>
      <c r="G5" s="114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4" t="s">
        <v>80</v>
      </c>
      <c r="F5" s="114"/>
      <c r="G5" s="114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5" t="s">
        <v>60</v>
      </c>
      <c r="F5" s="115"/>
      <c r="G5" s="115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8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4" t="s">
        <v>85</v>
      </c>
      <c r="H5" s="114"/>
      <c r="J5" s="114" t="s">
        <v>86</v>
      </c>
      <c r="K5" s="114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4" t="s">
        <v>86</v>
      </c>
      <c r="F5" s="114"/>
      <c r="H5" s="114" t="s">
        <v>87</v>
      </c>
      <c r="I5" s="114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4" t="s">
        <v>86</v>
      </c>
      <c r="E5" s="114"/>
      <c r="G5" s="114" t="s">
        <v>96</v>
      </c>
      <c r="H5" s="114"/>
      <c r="I5" s="114"/>
      <c r="J5" s="114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4" t="s">
        <v>85</v>
      </c>
      <c r="E5" s="114"/>
      <c r="G5" s="114" t="s">
        <v>86</v>
      </c>
      <c r="H5" s="114"/>
      <c r="J5" s="114" t="s">
        <v>96</v>
      </c>
      <c r="K5" s="114"/>
      <c r="L5" s="114"/>
      <c r="M5" s="114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>
        <f>_xlfn.NORM.DIST(H6,E6,E7,TRUE)</f>
        <v>4.9675867098228202E-2</v>
      </c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F10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6" ht="25.5" customHeight="1" x14ac:dyDescent="0.25">
      <c r="B1" s="18" t="s">
        <v>296</v>
      </c>
    </row>
    <row r="2" spans="2:6" ht="15" customHeight="1" x14ac:dyDescent="0.2">
      <c r="B2" s="30" t="s">
        <v>294</v>
      </c>
    </row>
    <row r="3" spans="2:6" ht="18" customHeight="1" x14ac:dyDescent="0.2"/>
    <row r="4" spans="2:6" x14ac:dyDescent="0.2">
      <c r="D4" s="3" t="s">
        <v>54</v>
      </c>
    </row>
    <row r="5" spans="2:6" x14ac:dyDescent="0.2">
      <c r="B5" s="7" t="s">
        <v>77</v>
      </c>
      <c r="D5" s="114" t="s">
        <v>293</v>
      </c>
      <c r="E5" s="114"/>
    </row>
    <row r="6" spans="2:6" x14ac:dyDescent="0.2">
      <c r="B6" s="8">
        <v>90.2</v>
      </c>
      <c r="D6" s="20" t="s">
        <v>107</v>
      </c>
      <c r="E6" s="71">
        <v>-1</v>
      </c>
    </row>
    <row r="7" spans="2:6" x14ac:dyDescent="0.2">
      <c r="B7" s="8">
        <v>92.8</v>
      </c>
      <c r="D7" s="20" t="s">
        <v>108</v>
      </c>
      <c r="E7" s="71">
        <v>1</v>
      </c>
    </row>
    <row r="8" spans="2:6" x14ac:dyDescent="0.2">
      <c r="B8" s="8">
        <v>68.7</v>
      </c>
      <c r="D8" s="20" t="s">
        <v>131</v>
      </c>
      <c r="E8" s="81">
        <f>_xlfn.NORM.S.DIST(E7,TRUE)-_xlfn.NORM.S.DIST(E6,TRUE)</f>
        <v>0.68268949213708607</v>
      </c>
      <c r="F8" t="s">
        <v>331</v>
      </c>
    </row>
    <row r="9" spans="2:6" x14ac:dyDescent="0.2">
      <c r="B9" s="8">
        <v>80.7</v>
      </c>
      <c r="D9" s="20"/>
      <c r="E9" s="29"/>
    </row>
    <row r="10" spans="2:6" x14ac:dyDescent="0.2">
      <c r="B10" s="8">
        <v>74.900000000000006</v>
      </c>
    </row>
    <row r="11" spans="2:6" x14ac:dyDescent="0.2">
      <c r="B11" s="8">
        <v>80.7</v>
      </c>
    </row>
    <row r="12" spans="2:6" x14ac:dyDescent="0.2">
      <c r="B12" s="8">
        <v>83.3</v>
      </c>
    </row>
    <row r="13" spans="2:6" x14ac:dyDescent="0.2">
      <c r="B13" s="8">
        <v>88.7</v>
      </c>
    </row>
    <row r="14" spans="2:6" x14ac:dyDescent="0.2">
      <c r="B14" s="8">
        <v>75.400000000000006</v>
      </c>
    </row>
    <row r="15" spans="2:6" x14ac:dyDescent="0.2">
      <c r="B15" s="8">
        <v>82.1</v>
      </c>
    </row>
    <row r="16" spans="2:6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D1" workbookViewId="0">
      <selection activeCell="I6" sqref="I6:I26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4" t="s">
        <v>86</v>
      </c>
      <c r="E5" s="114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IF(AND(G6&gt;=72,G6&lt;=86),H6,-100)</f>
        <v>-100</v>
      </c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IF(AND(G7&gt;=72,G7&lt;=86),H7,-100)</f>
        <v>-100</v>
      </c>
    </row>
    <row r="8" spans="2:9" x14ac:dyDescent="0.2">
      <c r="B8" s="8">
        <v>68.7</v>
      </c>
      <c r="G8" s="8">
        <v>64</v>
      </c>
      <c r="H8" s="8">
        <f t="shared" si="0"/>
        <v>2.087421445520822E-3</v>
      </c>
      <c r="I8" s="8">
        <f t="shared" si="1"/>
        <v>-100</v>
      </c>
    </row>
    <row r="9" spans="2:9" x14ac:dyDescent="0.2">
      <c r="B9" s="8">
        <v>80.7</v>
      </c>
      <c r="G9" s="8">
        <v>66</v>
      </c>
      <c r="H9" s="8">
        <f t="shared" si="0"/>
        <v>4.6305536271465499E-3</v>
      </c>
      <c r="I9" s="8">
        <f t="shared" si="1"/>
        <v>-100</v>
      </c>
    </row>
    <row r="10" spans="2:9" x14ac:dyDescent="0.2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-100</v>
      </c>
    </row>
    <row r="11" spans="2:9" x14ac:dyDescent="0.2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-100</v>
      </c>
    </row>
    <row r="12" spans="2:9" x14ac:dyDescent="0.2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2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2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6.4625841766344283E-2</v>
      </c>
    </row>
    <row r="17" spans="2:9" x14ac:dyDescent="0.2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6.186735083523575E-2</v>
      </c>
    </row>
    <row r="18" spans="2:9" x14ac:dyDescent="0.2">
      <c r="B18" s="8">
        <v>71.3</v>
      </c>
      <c r="G18" s="8">
        <v>84</v>
      </c>
      <c r="H18" s="8">
        <f t="shared" si="0"/>
        <v>5.332070624163418E-2</v>
      </c>
      <c r="I18" s="8">
        <f t="shared" si="1"/>
        <v>5.332070624163418E-2</v>
      </c>
    </row>
    <row r="19" spans="2:9" x14ac:dyDescent="0.2">
      <c r="B19" s="8">
        <v>76.8</v>
      </c>
      <c r="G19" s="8">
        <v>86</v>
      </c>
      <c r="H19" s="8">
        <f t="shared" si="0"/>
        <v>4.137226830550346E-2</v>
      </c>
      <c r="I19" s="8">
        <f t="shared" si="1"/>
        <v>4.137226830550346E-2</v>
      </c>
    </row>
    <row r="20" spans="2:9" x14ac:dyDescent="0.2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301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7">
        <v>0.2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f>1-10%</f>
        <v>0.9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_xlfn.NORM.INV((H6),$E$6,$E$7)</f>
        <v>88.077646506529305</v>
      </c>
    </row>
    <row r="8" spans="2:8" x14ac:dyDescent="0.2">
      <c r="B8" s="8">
        <v>68.7</v>
      </c>
      <c r="G8" s="20" t="s">
        <v>90</v>
      </c>
      <c r="H8" s="84">
        <f>_xlfn.NORM.S.INV(H6)</f>
        <v>1.2815515655446006</v>
      </c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274.159110498644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304.53562634346127</v>
      </c>
    </row>
    <row r="8" spans="2:11" x14ac:dyDescent="0.2">
      <c r="B8" s="8">
        <v>119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D9" s="114" t="s">
        <v>139</v>
      </c>
      <c r="E9" s="114"/>
      <c r="G9" s="20" t="s">
        <v>151</v>
      </c>
      <c r="H9" s="86">
        <f>_xlfn.NORM.S.INV(1-H8)</f>
        <v>1.6448536269514715</v>
      </c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>
        <f>E10/SQRT(E6)</f>
        <v>9.2338051687663878</v>
      </c>
    </row>
    <row r="11" spans="2:11" x14ac:dyDescent="0.2">
      <c r="B11" s="8">
        <v>209</v>
      </c>
      <c r="D11" s="20"/>
      <c r="E11" s="1"/>
      <c r="G11" s="20" t="s">
        <v>149</v>
      </c>
      <c r="H11" s="75">
        <f>H10*H9</f>
        <v>15.188257922408638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I9" sqref="I9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106008.15937411779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132765.4255315426</v>
      </c>
    </row>
    <row r="8" spans="2:11" x14ac:dyDescent="0.2">
      <c r="B8" s="12">
        <v>109000</v>
      </c>
      <c r="D8" s="20"/>
      <c r="E8" s="28"/>
      <c r="G8" s="20" t="s">
        <v>149</v>
      </c>
      <c r="H8" s="80">
        <f>_xlfn.CONFIDENCE.NORM(H7,E11,E6)</f>
        <v>13378.633078712406</v>
      </c>
    </row>
    <row r="9" spans="2:11" x14ac:dyDescent="0.2">
      <c r="B9" s="12">
        <v>148000</v>
      </c>
      <c r="D9" s="114" t="s">
        <v>139</v>
      </c>
      <c r="E9" s="114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273.40781140085119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305.28692544125408</v>
      </c>
    </row>
    <row r="8" spans="2:11" x14ac:dyDescent="0.2">
      <c r="B8" s="8">
        <v>119</v>
      </c>
      <c r="D8" s="20" t="s">
        <v>70</v>
      </c>
      <c r="E8" s="75">
        <f>STDEV(B6:B100)</f>
        <v>93.521048765238149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G9" s="20" t="s">
        <v>155</v>
      </c>
      <c r="H9" s="86">
        <f>_xlfn.T.INV(1-H8,E6-1)</f>
        <v>1.6612258552965111</v>
      </c>
    </row>
    <row r="10" spans="2:11" x14ac:dyDescent="0.2">
      <c r="B10" s="8">
        <v>252</v>
      </c>
      <c r="G10" s="20" t="s">
        <v>145</v>
      </c>
      <c r="H10" s="75">
        <f>E8/SQRT(E6)</f>
        <v>9.5950571497434378</v>
      </c>
    </row>
    <row r="11" spans="2:11" x14ac:dyDescent="0.2">
      <c r="B11" s="8">
        <v>209</v>
      </c>
      <c r="G11" s="20" t="s">
        <v>149</v>
      </c>
      <c r="H11" s="75">
        <f>_xlfn.CONFIDENCE.T(H7,E8,E6)</f>
        <v>15.939557020201446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111265.76090747744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127507.82399818295</v>
      </c>
    </row>
    <row r="8" spans="2:11" x14ac:dyDescent="0.2">
      <c r="B8" s="12">
        <v>109000</v>
      </c>
      <c r="D8" s="20" t="s">
        <v>70</v>
      </c>
      <c r="E8" s="80">
        <f>STDEV(B6:B58)</f>
        <v>45546.958176470725</v>
      </c>
      <c r="G8" s="20" t="s">
        <v>149</v>
      </c>
      <c r="H8" s="80">
        <f>_xlfn.CONFIDENCE.T(H7,E8,E6)</f>
        <v>8121.0315453527564</v>
      </c>
    </row>
    <row r="9" spans="2:11" x14ac:dyDescent="0.2">
      <c r="B9" s="12">
        <v>148000</v>
      </c>
    </row>
    <row r="10" spans="2:11" x14ac:dyDescent="0.2">
      <c r="B10" s="12">
        <v>255500</v>
      </c>
      <c r="H10" s="98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25</v>
      </c>
      <c r="D6" s="20" t="s">
        <v>71</v>
      </c>
      <c r="E6" s="71">
        <f>COUNTA(B6:B100)</f>
        <v>95</v>
      </c>
      <c r="G6" s="20" t="s">
        <v>141</v>
      </c>
      <c r="H6" s="82">
        <v>0.9</v>
      </c>
      <c r="J6" s="20" t="s">
        <v>147</v>
      </c>
      <c r="K6" s="82">
        <f>E7-H11</f>
        <v>0.1698162967729179</v>
      </c>
    </row>
    <row r="7" spans="2:11" x14ac:dyDescent="0.2">
      <c r="B7" s="8" t="s">
        <v>25</v>
      </c>
      <c r="D7" s="20" t="s">
        <v>157</v>
      </c>
      <c r="E7" s="87">
        <f>COUNTIFS(B6:B100,"Yes")/E6</f>
        <v>0.24210526315789474</v>
      </c>
      <c r="G7" s="20" t="s">
        <v>142</v>
      </c>
      <c r="H7" s="82">
        <f>1-H6</f>
        <v>9.9999999999999978E-2</v>
      </c>
      <c r="J7" s="20" t="s">
        <v>148</v>
      </c>
      <c r="K7" s="82">
        <f>E7+H11</f>
        <v>0.31439422954287155</v>
      </c>
    </row>
    <row r="8" spans="2:11" x14ac:dyDescent="0.2">
      <c r="B8" s="8" t="s">
        <v>27</v>
      </c>
      <c r="D8" s="20" t="s">
        <v>158</v>
      </c>
      <c r="E8" s="87">
        <f>1-E7</f>
        <v>0.75789473684210529</v>
      </c>
      <c r="G8" s="20" t="s">
        <v>143</v>
      </c>
      <c r="H8" s="85">
        <f>H7/2</f>
        <v>4.9999999999999989E-2</v>
      </c>
    </row>
    <row r="9" spans="2:11" x14ac:dyDescent="0.2">
      <c r="B9" s="8" t="s">
        <v>25</v>
      </c>
      <c r="G9" s="20" t="s">
        <v>151</v>
      </c>
      <c r="H9" s="86">
        <f>_xlfn.NORM.S.INV(1-H8)</f>
        <v>1.6448536269514715</v>
      </c>
    </row>
    <row r="10" spans="2:11" x14ac:dyDescent="0.2">
      <c r="B10" s="8" t="s">
        <v>25</v>
      </c>
      <c r="D10" s="114" t="s">
        <v>162</v>
      </c>
      <c r="E10" s="114"/>
      <c r="G10" s="20" t="s">
        <v>145</v>
      </c>
      <c r="H10" s="81">
        <f>SQRT(E7*E8/E6)</f>
        <v>4.394857098558691E-2</v>
      </c>
    </row>
    <row r="11" spans="2:11" x14ac:dyDescent="0.2">
      <c r="B11" s="8" t="s">
        <v>25</v>
      </c>
      <c r="D11" s="20" t="s">
        <v>163</v>
      </c>
      <c r="E11" s="71">
        <f>E7*E6</f>
        <v>23</v>
      </c>
      <c r="G11" s="20" t="s">
        <v>149</v>
      </c>
      <c r="H11" s="87">
        <f>H9*H10</f>
        <v>7.2288966384976838E-2</v>
      </c>
    </row>
    <row r="12" spans="2:11" x14ac:dyDescent="0.2">
      <c r="B12" s="8" t="s">
        <v>25</v>
      </c>
      <c r="D12" s="20" t="s">
        <v>164</v>
      </c>
      <c r="E12" s="71">
        <f>(1-E7)*E6</f>
        <v>72</v>
      </c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H9" sqref="H9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13</v>
      </c>
      <c r="D6" s="20" t="s">
        <v>71</v>
      </c>
      <c r="E6" s="71">
        <f>COUNTA(B6:B100)</f>
        <v>95</v>
      </c>
      <c r="G6" s="20" t="s">
        <v>141</v>
      </c>
      <c r="H6" s="82">
        <v>0.95</v>
      </c>
      <c r="J6" s="20" t="s">
        <v>147</v>
      </c>
      <c r="K6" s="82">
        <f>E7-H11</f>
        <v>0.45802698737891206</v>
      </c>
    </row>
    <row r="7" spans="2:11" x14ac:dyDescent="0.2">
      <c r="B7" s="8" t="s">
        <v>14</v>
      </c>
      <c r="D7" s="20" t="s">
        <v>157</v>
      </c>
      <c r="E7" s="87">
        <f>COUNTIFS(B6:B100,"Placed")/E6</f>
        <v>0.55789473684210522</v>
      </c>
      <c r="G7" s="20" t="s">
        <v>142</v>
      </c>
      <c r="H7" s="82">
        <f>1-H6</f>
        <v>5.0000000000000044E-2</v>
      </c>
      <c r="J7" s="20" t="s">
        <v>148</v>
      </c>
      <c r="K7" s="82">
        <f>H11+E7</f>
        <v>0.65776248630529843</v>
      </c>
    </row>
    <row r="8" spans="2:11" x14ac:dyDescent="0.2">
      <c r="B8" s="8" t="s">
        <v>13</v>
      </c>
      <c r="D8" s="20" t="s">
        <v>158</v>
      </c>
      <c r="E8" s="87">
        <f>1-E7</f>
        <v>0.44210526315789478</v>
      </c>
      <c r="G8" s="20" t="s">
        <v>143</v>
      </c>
      <c r="H8" s="85">
        <f>H7/2</f>
        <v>2.5000000000000022E-2</v>
      </c>
    </row>
    <row r="9" spans="2:11" x14ac:dyDescent="0.2">
      <c r="B9" s="8" t="s">
        <v>14</v>
      </c>
      <c r="G9" s="20" t="s">
        <v>151</v>
      </c>
      <c r="H9" s="86">
        <f>_xlfn.NORM.S.INV(1-H8)</f>
        <v>1.9599639845400536</v>
      </c>
    </row>
    <row r="10" spans="2:11" x14ac:dyDescent="0.2">
      <c r="B10" s="8" t="s">
        <v>14</v>
      </c>
      <c r="D10" s="114" t="s">
        <v>162</v>
      </c>
      <c r="E10" s="114"/>
      <c r="G10" s="20" t="s">
        <v>145</v>
      </c>
      <c r="H10" s="81">
        <f>SQRT(E7*E8/E6)</f>
        <v>5.0953869688901053E-2</v>
      </c>
    </row>
    <row r="11" spans="2:11" x14ac:dyDescent="0.2">
      <c r="B11" s="8" t="s">
        <v>14</v>
      </c>
      <c r="D11" s="20" t="s">
        <v>163</v>
      </c>
      <c r="E11" s="71">
        <f>E7*E6</f>
        <v>52.999999999999993</v>
      </c>
      <c r="G11" s="20" t="s">
        <v>149</v>
      </c>
      <c r="H11" s="87">
        <f>H10*H9</f>
        <v>9.986774946319317E-2</v>
      </c>
    </row>
    <row r="12" spans="2:11" x14ac:dyDescent="0.2">
      <c r="B12" s="8" t="s">
        <v>13</v>
      </c>
      <c r="D12" s="20" t="s">
        <v>164</v>
      </c>
      <c r="E12" s="71">
        <f>(1-E7)*E6</f>
        <v>42.000000000000007</v>
      </c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68.400000000000006</v>
      </c>
      <c r="D6" s="8">
        <v>90.2</v>
      </c>
      <c r="E6" s="8">
        <f>D6-C6</f>
        <v>21.799999999999997</v>
      </c>
      <c r="G6" s="20" t="s">
        <v>71</v>
      </c>
      <c r="H6" s="71">
        <f>COUNT(E6:E100)</f>
        <v>95</v>
      </c>
      <c r="J6" s="20" t="s">
        <v>141</v>
      </c>
      <c r="K6" s="82">
        <v>0.95</v>
      </c>
      <c r="M6" s="20" t="s">
        <v>147</v>
      </c>
      <c r="N6" s="75">
        <f>H7-K11</f>
        <v>3.3169926990789627</v>
      </c>
    </row>
    <row r="7" spans="2:14" x14ac:dyDescent="0.2">
      <c r="B7" s="8">
        <v>2</v>
      </c>
      <c r="C7" s="8">
        <v>62.1</v>
      </c>
      <c r="D7" s="8">
        <v>92.8</v>
      </c>
      <c r="E7" s="8">
        <f t="shared" ref="E7:E70" si="0">D7-C7</f>
        <v>30.699999999999996</v>
      </c>
      <c r="G7" s="20" t="s">
        <v>46</v>
      </c>
      <c r="H7" s="72">
        <f>AVERAGE(E6:E100)</f>
        <v>5.1957894736842114</v>
      </c>
      <c r="J7" s="20" t="s">
        <v>142</v>
      </c>
      <c r="K7" s="82">
        <f>1-K6</f>
        <v>5.0000000000000044E-2</v>
      </c>
      <c r="M7" s="20" t="s">
        <v>148</v>
      </c>
      <c r="N7" s="75">
        <f>H7+K11</f>
        <v>7.0745862482894601</v>
      </c>
    </row>
    <row r="8" spans="2:14" x14ac:dyDescent="0.2">
      <c r="B8" s="8">
        <v>3</v>
      </c>
      <c r="C8" s="8">
        <v>70.2</v>
      </c>
      <c r="D8" s="8">
        <v>68.7</v>
      </c>
      <c r="E8" s="8">
        <f t="shared" si="0"/>
        <v>-1.5</v>
      </c>
      <c r="G8" s="20" t="s">
        <v>70</v>
      </c>
      <c r="H8" s="75">
        <f>STDEV(E6:E100)</f>
        <v>9.2241463398998604</v>
      </c>
      <c r="J8" s="20" t="s">
        <v>143</v>
      </c>
      <c r="K8" s="85">
        <f>K7/2</f>
        <v>2.5000000000000022E-2</v>
      </c>
    </row>
    <row r="9" spans="2:14" x14ac:dyDescent="0.2">
      <c r="B9" s="8">
        <v>4</v>
      </c>
      <c r="C9" s="8">
        <v>75.099999999999994</v>
      </c>
      <c r="D9" s="8">
        <v>80.7</v>
      </c>
      <c r="E9" s="8">
        <f t="shared" si="0"/>
        <v>5.6000000000000085</v>
      </c>
      <c r="J9" s="20" t="s">
        <v>155</v>
      </c>
      <c r="K9" s="86">
        <f>_xlfn.T.INV(1-K8,H6)</f>
        <v>1.9852510035054973</v>
      </c>
    </row>
    <row r="10" spans="2:14" x14ac:dyDescent="0.2">
      <c r="B10" s="8">
        <v>5</v>
      </c>
      <c r="C10" s="8">
        <v>60.9</v>
      </c>
      <c r="D10" s="8">
        <v>74.900000000000006</v>
      </c>
      <c r="E10" s="8">
        <f t="shared" si="0"/>
        <v>14.000000000000007</v>
      </c>
      <c r="J10" s="20" t="s">
        <v>145</v>
      </c>
      <c r="K10" s="75">
        <f>H8/SQRT(H6)</f>
        <v>0.94637744612027652</v>
      </c>
    </row>
    <row r="11" spans="2:14" x14ac:dyDescent="0.2">
      <c r="B11" s="8">
        <v>6</v>
      </c>
      <c r="C11" s="8">
        <v>74.5</v>
      </c>
      <c r="D11" s="8">
        <v>80.7</v>
      </c>
      <c r="E11" s="8">
        <f t="shared" si="0"/>
        <v>6.2000000000000028</v>
      </c>
      <c r="J11" s="20" t="s">
        <v>149</v>
      </c>
      <c r="K11" s="75">
        <f>K9*K10</f>
        <v>1.8787967746052487</v>
      </c>
    </row>
    <row r="12" spans="2:14" x14ac:dyDescent="0.2">
      <c r="B12" s="8">
        <v>7</v>
      </c>
      <c r="C12" s="8">
        <v>76.400000000000006</v>
      </c>
      <c r="D12" s="8">
        <v>83.3</v>
      </c>
      <c r="E12" s="8">
        <f t="shared" si="0"/>
        <v>6.8999999999999915</v>
      </c>
    </row>
    <row r="13" spans="2:14" x14ac:dyDescent="0.2">
      <c r="B13" s="8">
        <v>8</v>
      </c>
      <c r="C13" s="8">
        <v>82.6</v>
      </c>
      <c r="D13" s="8">
        <v>88.7</v>
      </c>
      <c r="E13" s="8">
        <f t="shared" si="0"/>
        <v>6.1000000000000085</v>
      </c>
    </row>
    <row r="14" spans="2:14" x14ac:dyDescent="0.2">
      <c r="B14" s="8">
        <v>9</v>
      </c>
      <c r="C14" s="8">
        <v>76.900000000000006</v>
      </c>
      <c r="D14" s="8">
        <v>75.400000000000006</v>
      </c>
      <c r="E14" s="8">
        <f t="shared" si="0"/>
        <v>-1.5</v>
      </c>
    </row>
    <row r="15" spans="2:14" x14ac:dyDescent="0.2">
      <c r="B15" s="8">
        <v>10</v>
      </c>
      <c r="C15" s="8">
        <v>83.3</v>
      </c>
      <c r="D15" s="8">
        <v>82.1</v>
      </c>
      <c r="E15" s="8">
        <f t="shared" si="0"/>
        <v>-1.2000000000000028</v>
      </c>
    </row>
    <row r="16" spans="2:14" x14ac:dyDescent="0.2">
      <c r="B16" s="8">
        <v>11</v>
      </c>
      <c r="C16" s="8">
        <v>75.8</v>
      </c>
      <c r="D16" s="8">
        <v>87.5</v>
      </c>
      <c r="E16" s="8">
        <f t="shared" si="0"/>
        <v>11.700000000000003</v>
      </c>
    </row>
    <row r="17" spans="2:5" x14ac:dyDescent="0.2">
      <c r="B17" s="8">
        <v>12</v>
      </c>
      <c r="C17" s="8">
        <v>76</v>
      </c>
      <c r="D17" s="8">
        <v>66.900000000000006</v>
      </c>
      <c r="E17" s="8">
        <f t="shared" si="0"/>
        <v>-9.0999999999999943</v>
      </c>
    </row>
    <row r="18" spans="2:5" x14ac:dyDescent="0.2">
      <c r="B18" s="8">
        <v>13</v>
      </c>
      <c r="C18" s="8">
        <v>62.8</v>
      </c>
      <c r="D18" s="8">
        <v>71.3</v>
      </c>
      <c r="E18" s="8">
        <f t="shared" si="0"/>
        <v>8.5</v>
      </c>
    </row>
    <row r="19" spans="2:5" x14ac:dyDescent="0.2">
      <c r="B19" s="8">
        <v>14</v>
      </c>
      <c r="C19" s="8">
        <v>82.8</v>
      </c>
      <c r="D19" s="8">
        <v>76.8</v>
      </c>
      <c r="E19" s="8">
        <f t="shared" si="0"/>
        <v>-6</v>
      </c>
    </row>
    <row r="20" spans="2:5" x14ac:dyDescent="0.2">
      <c r="B20" s="8">
        <v>15</v>
      </c>
      <c r="C20" s="8">
        <v>76</v>
      </c>
      <c r="D20" s="8">
        <v>72.3</v>
      </c>
      <c r="E20" s="8">
        <f t="shared" si="0"/>
        <v>-3.7000000000000028</v>
      </c>
    </row>
    <row r="21" spans="2:5" x14ac:dyDescent="0.2">
      <c r="B21" s="8">
        <v>16</v>
      </c>
      <c r="C21" s="8">
        <v>76.900000000000006</v>
      </c>
      <c r="D21" s="8">
        <v>72.400000000000006</v>
      </c>
      <c r="E21" s="8">
        <f t="shared" si="0"/>
        <v>-4.5</v>
      </c>
    </row>
    <row r="22" spans="2:5" x14ac:dyDescent="0.2">
      <c r="B22" s="8">
        <v>17</v>
      </c>
      <c r="C22" s="8">
        <v>75.8</v>
      </c>
      <c r="D22" s="8">
        <v>72</v>
      </c>
      <c r="E22" s="8">
        <f t="shared" si="0"/>
        <v>-3.7999999999999972</v>
      </c>
    </row>
    <row r="23" spans="2:5" x14ac:dyDescent="0.2">
      <c r="B23" s="8">
        <v>18</v>
      </c>
      <c r="C23" s="8">
        <v>78</v>
      </c>
      <c r="D23" s="8">
        <v>81</v>
      </c>
      <c r="E23" s="8">
        <f t="shared" si="0"/>
        <v>3</v>
      </c>
    </row>
    <row r="24" spans="2:5" x14ac:dyDescent="0.2">
      <c r="B24" s="8">
        <v>19</v>
      </c>
      <c r="C24" s="8">
        <v>82.4</v>
      </c>
      <c r="D24" s="8">
        <v>96.1</v>
      </c>
      <c r="E24" s="8">
        <f t="shared" si="0"/>
        <v>13.699999999999989</v>
      </c>
    </row>
    <row r="25" spans="2:5" x14ac:dyDescent="0.2">
      <c r="B25" s="8">
        <v>20</v>
      </c>
      <c r="C25" s="8">
        <v>76.2</v>
      </c>
      <c r="D25" s="8">
        <v>76.7</v>
      </c>
      <c r="E25" s="8">
        <f t="shared" si="0"/>
        <v>0.5</v>
      </c>
    </row>
    <row r="26" spans="2:5" x14ac:dyDescent="0.2">
      <c r="B26" s="8">
        <v>21</v>
      </c>
      <c r="C26" s="8">
        <v>62.5</v>
      </c>
      <c r="D26" s="8">
        <v>80.3</v>
      </c>
      <c r="E26" s="8">
        <f t="shared" si="0"/>
        <v>17.799999999999997</v>
      </c>
    </row>
    <row r="27" spans="2:5" x14ac:dyDescent="0.2">
      <c r="B27" s="8">
        <v>22</v>
      </c>
      <c r="C27" s="8">
        <v>78</v>
      </c>
      <c r="D27" s="8">
        <v>77.8</v>
      </c>
      <c r="E27" s="8">
        <f t="shared" si="0"/>
        <v>-0.20000000000000284</v>
      </c>
    </row>
    <row r="28" spans="2:5" x14ac:dyDescent="0.2">
      <c r="B28" s="8">
        <v>23</v>
      </c>
      <c r="C28" s="8">
        <v>66.5</v>
      </c>
      <c r="D28" s="8">
        <v>62.6</v>
      </c>
      <c r="E28" s="8">
        <f t="shared" si="0"/>
        <v>-3.8999999999999986</v>
      </c>
    </row>
    <row r="29" spans="2:5" x14ac:dyDescent="0.2">
      <c r="B29" s="8">
        <v>24</v>
      </c>
      <c r="C29" s="8">
        <v>63.5</v>
      </c>
      <c r="D29" s="8">
        <v>80.2</v>
      </c>
      <c r="E29" s="8">
        <f t="shared" si="0"/>
        <v>16.700000000000003</v>
      </c>
    </row>
    <row r="30" spans="2:5" x14ac:dyDescent="0.2">
      <c r="B30" s="8">
        <v>25</v>
      </c>
      <c r="C30" s="8">
        <v>82.6</v>
      </c>
      <c r="D30" s="8">
        <v>79.099999999999994</v>
      </c>
      <c r="E30" s="8">
        <f t="shared" si="0"/>
        <v>-3.5</v>
      </c>
    </row>
    <row r="31" spans="2:5" x14ac:dyDescent="0.2">
      <c r="B31" s="8">
        <v>26</v>
      </c>
      <c r="C31" s="8">
        <v>79.2</v>
      </c>
      <c r="D31" s="8">
        <v>77.8</v>
      </c>
      <c r="E31" s="8">
        <f t="shared" si="0"/>
        <v>-1.4000000000000057</v>
      </c>
    </row>
    <row r="32" spans="2:5" x14ac:dyDescent="0.2">
      <c r="B32" s="8">
        <v>27</v>
      </c>
      <c r="C32" s="8">
        <v>75</v>
      </c>
      <c r="D32" s="8">
        <v>75.099999999999994</v>
      </c>
      <c r="E32" s="8">
        <f t="shared" si="0"/>
        <v>9.9999999999994316E-2</v>
      </c>
    </row>
    <row r="33" spans="2:5" x14ac:dyDescent="0.2">
      <c r="B33" s="8">
        <v>28</v>
      </c>
      <c r="C33" s="8">
        <v>74.400000000000006</v>
      </c>
      <c r="D33" s="8">
        <v>82.2</v>
      </c>
      <c r="E33" s="8">
        <f t="shared" si="0"/>
        <v>7.7999999999999972</v>
      </c>
    </row>
    <row r="34" spans="2:5" x14ac:dyDescent="0.2">
      <c r="B34" s="8">
        <v>29</v>
      </c>
      <c r="C34" s="8">
        <v>67.900000000000006</v>
      </c>
      <c r="D34" s="8">
        <v>70.5</v>
      </c>
      <c r="E34" s="8">
        <f t="shared" si="0"/>
        <v>2.5999999999999943</v>
      </c>
    </row>
    <row r="35" spans="2:5" x14ac:dyDescent="0.2">
      <c r="B35" s="8">
        <v>30</v>
      </c>
      <c r="C35" s="8">
        <v>76.8</v>
      </c>
      <c r="D35" s="8">
        <v>70.8</v>
      </c>
      <c r="E35" s="8">
        <f t="shared" si="0"/>
        <v>-6</v>
      </c>
    </row>
    <row r="36" spans="2:5" x14ac:dyDescent="0.2">
      <c r="B36" s="8">
        <v>31</v>
      </c>
      <c r="C36" s="8">
        <v>83</v>
      </c>
      <c r="D36" s="8">
        <v>87.5</v>
      </c>
      <c r="E36" s="8">
        <f t="shared" si="0"/>
        <v>4.5</v>
      </c>
    </row>
    <row r="37" spans="2:5" x14ac:dyDescent="0.2">
      <c r="B37" s="8">
        <v>32</v>
      </c>
      <c r="C37" s="8">
        <v>88.9</v>
      </c>
      <c r="D37" s="8">
        <v>79.5</v>
      </c>
      <c r="E37" s="8">
        <f t="shared" si="0"/>
        <v>-9.4000000000000057</v>
      </c>
    </row>
    <row r="38" spans="2:5" x14ac:dyDescent="0.2">
      <c r="B38" s="8">
        <v>33</v>
      </c>
      <c r="C38" s="8">
        <v>76.5</v>
      </c>
      <c r="D38" s="8">
        <v>80.8</v>
      </c>
      <c r="E38" s="8">
        <f t="shared" si="0"/>
        <v>4.2999999999999972</v>
      </c>
    </row>
    <row r="39" spans="2:5" x14ac:dyDescent="0.2">
      <c r="B39" s="8">
        <v>34</v>
      </c>
      <c r="C39" s="8">
        <v>79.900000000000006</v>
      </c>
      <c r="D39" s="8">
        <v>79.599999999999994</v>
      </c>
      <c r="E39" s="8">
        <f t="shared" si="0"/>
        <v>-0.30000000000001137</v>
      </c>
    </row>
    <row r="40" spans="2:5" x14ac:dyDescent="0.2">
      <c r="B40" s="8">
        <v>35</v>
      </c>
      <c r="C40" s="8">
        <v>70.400000000000006</v>
      </c>
      <c r="D40" s="8">
        <v>88.9</v>
      </c>
      <c r="E40" s="8">
        <f t="shared" si="0"/>
        <v>18.5</v>
      </c>
    </row>
    <row r="41" spans="2:5" x14ac:dyDescent="0.2">
      <c r="B41" s="8">
        <v>36</v>
      </c>
      <c r="C41" s="8">
        <v>83.4</v>
      </c>
      <c r="D41" s="8">
        <v>85.9</v>
      </c>
      <c r="E41" s="8">
        <f t="shared" si="0"/>
        <v>2.5</v>
      </c>
    </row>
    <row r="42" spans="2:5" x14ac:dyDescent="0.2">
      <c r="B42" s="8">
        <v>37</v>
      </c>
      <c r="C42" s="8">
        <v>79.2</v>
      </c>
      <c r="D42" s="8">
        <v>82.3</v>
      </c>
      <c r="E42" s="8">
        <f t="shared" si="0"/>
        <v>3.0999999999999943</v>
      </c>
    </row>
    <row r="43" spans="2:5" x14ac:dyDescent="0.2">
      <c r="B43" s="8">
        <v>38</v>
      </c>
      <c r="C43" s="8">
        <v>61.2</v>
      </c>
      <c r="D43" s="8">
        <v>76.7</v>
      </c>
      <c r="E43" s="8">
        <f t="shared" si="0"/>
        <v>15.5</v>
      </c>
    </row>
    <row r="44" spans="2:5" x14ac:dyDescent="0.2">
      <c r="B44" s="8">
        <v>39</v>
      </c>
      <c r="C44" s="8">
        <v>64</v>
      </c>
      <c r="D44" s="8">
        <v>79.900000000000006</v>
      </c>
      <c r="E44" s="8">
        <f t="shared" si="0"/>
        <v>15.900000000000006</v>
      </c>
    </row>
    <row r="45" spans="2:5" x14ac:dyDescent="0.2">
      <c r="B45" s="8">
        <v>40</v>
      </c>
      <c r="C45" s="8">
        <v>68</v>
      </c>
      <c r="D45" s="8">
        <v>86.2</v>
      </c>
      <c r="E45" s="8">
        <f t="shared" si="0"/>
        <v>18.200000000000003</v>
      </c>
    </row>
    <row r="46" spans="2:5" x14ac:dyDescent="0.2">
      <c r="B46" s="8">
        <v>41</v>
      </c>
      <c r="C46" s="8">
        <v>78.5</v>
      </c>
      <c r="D46" s="8">
        <v>79.2</v>
      </c>
      <c r="E46" s="8">
        <f t="shared" si="0"/>
        <v>0.70000000000000284</v>
      </c>
    </row>
    <row r="47" spans="2:5" x14ac:dyDescent="0.2">
      <c r="B47" s="8">
        <v>42</v>
      </c>
      <c r="C47" s="8">
        <v>83</v>
      </c>
      <c r="D47" s="8">
        <v>83.4</v>
      </c>
      <c r="E47" s="8">
        <f t="shared" si="0"/>
        <v>0.40000000000000568</v>
      </c>
    </row>
    <row r="48" spans="2:5" x14ac:dyDescent="0.2">
      <c r="B48" s="8">
        <v>43</v>
      </c>
      <c r="C48" s="8">
        <v>75.2</v>
      </c>
      <c r="D48" s="8">
        <v>85.2</v>
      </c>
      <c r="E48" s="8">
        <f t="shared" si="0"/>
        <v>10</v>
      </c>
    </row>
    <row r="49" spans="2:5" x14ac:dyDescent="0.2">
      <c r="B49" s="8">
        <v>44</v>
      </c>
      <c r="C49" s="8">
        <v>68.099999999999994</v>
      </c>
      <c r="D49" s="8">
        <v>77.8</v>
      </c>
      <c r="E49" s="8">
        <f t="shared" si="0"/>
        <v>9.7000000000000028</v>
      </c>
    </row>
    <row r="50" spans="2:5" x14ac:dyDescent="0.2">
      <c r="B50" s="8">
        <v>45</v>
      </c>
      <c r="C50" s="8">
        <v>93.6</v>
      </c>
      <c r="D50" s="8">
        <v>80.2</v>
      </c>
      <c r="E50" s="8">
        <f t="shared" si="0"/>
        <v>-13.399999999999991</v>
      </c>
    </row>
    <row r="51" spans="2:5" x14ac:dyDescent="0.2">
      <c r="B51" s="8">
        <v>46</v>
      </c>
      <c r="C51" s="8">
        <v>75.599999999999994</v>
      </c>
      <c r="D51" s="8">
        <v>71</v>
      </c>
      <c r="E51" s="8">
        <f t="shared" si="0"/>
        <v>-4.5999999999999943</v>
      </c>
    </row>
    <row r="52" spans="2:5" x14ac:dyDescent="0.2">
      <c r="B52" s="8">
        <v>47</v>
      </c>
      <c r="C52" s="8">
        <v>82.3</v>
      </c>
      <c r="D52" s="8">
        <v>87.2</v>
      </c>
      <c r="E52" s="8">
        <f t="shared" si="0"/>
        <v>4.9000000000000057</v>
      </c>
    </row>
    <row r="53" spans="2:5" x14ac:dyDescent="0.2">
      <c r="B53" s="8">
        <v>48</v>
      </c>
      <c r="C53" s="8">
        <v>71.400000000000006</v>
      </c>
      <c r="D53" s="8">
        <v>82.9</v>
      </c>
      <c r="E53" s="8">
        <f t="shared" si="0"/>
        <v>11.5</v>
      </c>
    </row>
    <row r="54" spans="2:5" x14ac:dyDescent="0.2">
      <c r="B54" s="8">
        <v>49</v>
      </c>
      <c r="C54" s="8">
        <v>71.900000000000006</v>
      </c>
      <c r="D54" s="8">
        <v>73.5</v>
      </c>
      <c r="E54" s="8">
        <f t="shared" si="0"/>
        <v>1.5999999999999943</v>
      </c>
    </row>
    <row r="55" spans="2:5" x14ac:dyDescent="0.2">
      <c r="B55" s="8">
        <v>50</v>
      </c>
      <c r="C55" s="8">
        <v>79.099999999999994</v>
      </c>
      <c r="D55" s="8">
        <v>74.599999999999994</v>
      </c>
      <c r="E55" s="8">
        <f t="shared" si="0"/>
        <v>-4.5</v>
      </c>
    </row>
    <row r="56" spans="2:5" x14ac:dyDescent="0.2">
      <c r="B56" s="8">
        <v>51</v>
      </c>
      <c r="C56" s="8">
        <v>88.7</v>
      </c>
      <c r="D56" s="8">
        <v>75.099999999999994</v>
      </c>
      <c r="E56" s="8">
        <f t="shared" si="0"/>
        <v>-13.600000000000009</v>
      </c>
    </row>
    <row r="57" spans="2:5" x14ac:dyDescent="0.2">
      <c r="B57" s="8">
        <v>52</v>
      </c>
      <c r="C57" s="8">
        <v>69.400000000000006</v>
      </c>
      <c r="D57" s="8">
        <v>85.1</v>
      </c>
      <c r="E57" s="8">
        <f t="shared" si="0"/>
        <v>15.699999999999989</v>
      </c>
    </row>
    <row r="58" spans="2:5" x14ac:dyDescent="0.2">
      <c r="B58" s="8">
        <v>53</v>
      </c>
      <c r="C58" s="8">
        <v>80.3</v>
      </c>
      <c r="D58" s="8">
        <v>74.900000000000006</v>
      </c>
      <c r="E58" s="8">
        <f t="shared" si="0"/>
        <v>-5.3999999999999915</v>
      </c>
    </row>
    <row r="59" spans="2:5" x14ac:dyDescent="0.2">
      <c r="B59" s="8">
        <v>54</v>
      </c>
      <c r="C59" s="8">
        <v>83</v>
      </c>
      <c r="D59" s="8">
        <v>84.6</v>
      </c>
      <c r="E59" s="8">
        <f t="shared" si="0"/>
        <v>1.5999999999999943</v>
      </c>
    </row>
    <row r="60" spans="2:5" x14ac:dyDescent="0.2">
      <c r="B60" s="8">
        <v>55</v>
      </c>
      <c r="C60" s="8">
        <v>74.099999999999994</v>
      </c>
      <c r="D60" s="8">
        <v>81.7</v>
      </c>
      <c r="E60" s="8">
        <f t="shared" si="0"/>
        <v>7.6000000000000085</v>
      </c>
    </row>
    <row r="61" spans="2:5" x14ac:dyDescent="0.2">
      <c r="B61" s="8">
        <v>56</v>
      </c>
      <c r="C61" s="8">
        <v>79.400000000000006</v>
      </c>
      <c r="D61" s="8">
        <v>81.400000000000006</v>
      </c>
      <c r="E61" s="8">
        <f t="shared" si="0"/>
        <v>2</v>
      </c>
    </row>
    <row r="62" spans="2:5" x14ac:dyDescent="0.2">
      <c r="B62" s="8">
        <v>57</v>
      </c>
      <c r="C62" s="8">
        <v>88.1</v>
      </c>
      <c r="D62" s="8">
        <v>83.8</v>
      </c>
      <c r="E62" s="8">
        <f t="shared" si="0"/>
        <v>-4.2999999999999972</v>
      </c>
    </row>
    <row r="63" spans="2:5" x14ac:dyDescent="0.2">
      <c r="B63" s="8">
        <v>58</v>
      </c>
      <c r="C63" s="8">
        <v>74.599999999999994</v>
      </c>
      <c r="D63" s="8">
        <v>88.5</v>
      </c>
      <c r="E63" s="8">
        <f t="shared" si="0"/>
        <v>13.900000000000006</v>
      </c>
    </row>
    <row r="64" spans="2:5" x14ac:dyDescent="0.2">
      <c r="B64" s="8">
        <v>59</v>
      </c>
      <c r="C64" s="8">
        <v>87.1</v>
      </c>
      <c r="D64" s="8">
        <v>84.9</v>
      </c>
      <c r="E64" s="8">
        <f t="shared" si="0"/>
        <v>-2.1999999999999886</v>
      </c>
    </row>
    <row r="65" spans="2:5" x14ac:dyDescent="0.2">
      <c r="B65" s="8">
        <v>60</v>
      </c>
      <c r="C65" s="8">
        <v>79.7</v>
      </c>
      <c r="D65" s="8">
        <v>84.3</v>
      </c>
      <c r="E65" s="8">
        <f t="shared" si="0"/>
        <v>4.5999999999999943</v>
      </c>
    </row>
    <row r="66" spans="2:5" x14ac:dyDescent="0.2">
      <c r="B66" s="8">
        <v>61</v>
      </c>
      <c r="C66" s="8">
        <v>82.1</v>
      </c>
      <c r="D66" s="8">
        <v>78.2</v>
      </c>
      <c r="E66" s="8">
        <f t="shared" si="0"/>
        <v>-3.8999999999999915</v>
      </c>
    </row>
    <row r="67" spans="2:5" x14ac:dyDescent="0.2">
      <c r="B67" s="8">
        <v>62</v>
      </c>
      <c r="C67" s="8">
        <v>70.2</v>
      </c>
      <c r="D67" s="8">
        <v>80</v>
      </c>
      <c r="E67" s="8">
        <f t="shared" si="0"/>
        <v>9.7999999999999972</v>
      </c>
    </row>
    <row r="68" spans="2:5" x14ac:dyDescent="0.2">
      <c r="B68" s="8">
        <v>63</v>
      </c>
      <c r="C68" s="8">
        <v>81.7</v>
      </c>
      <c r="D68" s="8">
        <v>74.8</v>
      </c>
      <c r="E68" s="8">
        <f t="shared" si="0"/>
        <v>-6.9000000000000057</v>
      </c>
    </row>
    <row r="69" spans="2:5" x14ac:dyDescent="0.2">
      <c r="B69" s="8">
        <v>64</v>
      </c>
      <c r="C69" s="8">
        <v>76.099999999999994</v>
      </c>
      <c r="D69" s="8">
        <v>78.5</v>
      </c>
      <c r="E69" s="8">
        <f t="shared" si="0"/>
        <v>2.4000000000000057</v>
      </c>
    </row>
    <row r="70" spans="2:5" x14ac:dyDescent="0.2">
      <c r="B70" s="8">
        <v>65</v>
      </c>
      <c r="C70" s="8">
        <v>65.400000000000006</v>
      </c>
      <c r="D70" s="8">
        <v>71.8</v>
      </c>
      <c r="E70" s="8">
        <f t="shared" si="0"/>
        <v>6.3999999999999915</v>
      </c>
    </row>
    <row r="71" spans="2:5" x14ac:dyDescent="0.2">
      <c r="B71" s="8">
        <v>66</v>
      </c>
      <c r="C71" s="8">
        <v>70.099999999999994</v>
      </c>
      <c r="D71" s="8">
        <v>69.900000000000006</v>
      </c>
      <c r="E71" s="8">
        <f t="shared" ref="E71:E100" si="1">D71-C71</f>
        <v>-0.19999999999998863</v>
      </c>
    </row>
    <row r="72" spans="2:5" x14ac:dyDescent="0.2">
      <c r="B72" s="8">
        <v>67</v>
      </c>
      <c r="C72" s="8">
        <v>75.3</v>
      </c>
      <c r="D72" s="8">
        <v>82.7</v>
      </c>
      <c r="E72" s="8">
        <f t="shared" si="1"/>
        <v>7.4000000000000057</v>
      </c>
    </row>
    <row r="73" spans="2:5" x14ac:dyDescent="0.2">
      <c r="B73" s="8">
        <v>68</v>
      </c>
      <c r="C73" s="8">
        <v>68.7</v>
      </c>
      <c r="D73" s="8">
        <v>74</v>
      </c>
      <c r="E73" s="8">
        <f t="shared" si="1"/>
        <v>5.2999999999999972</v>
      </c>
    </row>
    <row r="74" spans="2:5" x14ac:dyDescent="0.2">
      <c r="B74" s="8">
        <v>69</v>
      </c>
      <c r="C74" s="8">
        <v>75.7</v>
      </c>
      <c r="D74" s="8">
        <v>84</v>
      </c>
      <c r="E74" s="8">
        <f t="shared" si="1"/>
        <v>8.2999999999999972</v>
      </c>
    </row>
    <row r="75" spans="2:5" x14ac:dyDescent="0.2">
      <c r="B75" s="8">
        <v>70</v>
      </c>
      <c r="C75" s="8">
        <v>68.7</v>
      </c>
      <c r="D75" s="8">
        <v>84.7</v>
      </c>
      <c r="E75" s="8">
        <f t="shared" si="1"/>
        <v>16</v>
      </c>
    </row>
    <row r="76" spans="2:5" x14ac:dyDescent="0.2">
      <c r="B76" s="8">
        <v>71</v>
      </c>
      <c r="C76" s="8">
        <v>70.400000000000006</v>
      </c>
      <c r="D76" s="8">
        <v>78.2</v>
      </c>
      <c r="E76" s="8">
        <f t="shared" si="1"/>
        <v>7.7999999999999972</v>
      </c>
    </row>
    <row r="77" spans="2:5" x14ac:dyDescent="0.2">
      <c r="B77" s="8">
        <v>72</v>
      </c>
      <c r="C77" s="8">
        <v>68.3</v>
      </c>
      <c r="D77" s="8">
        <v>85</v>
      </c>
      <c r="E77" s="8">
        <f t="shared" si="1"/>
        <v>16.700000000000003</v>
      </c>
    </row>
    <row r="78" spans="2:5" x14ac:dyDescent="0.2">
      <c r="B78" s="8">
        <v>73</v>
      </c>
      <c r="C78" s="8">
        <v>71.7</v>
      </c>
      <c r="D78" s="8">
        <v>80.099999999999994</v>
      </c>
      <c r="E78" s="8">
        <f t="shared" si="1"/>
        <v>8.3999999999999915</v>
      </c>
    </row>
    <row r="79" spans="2:5" x14ac:dyDescent="0.2">
      <c r="B79" s="8">
        <v>74</v>
      </c>
      <c r="C79" s="8">
        <v>70.900000000000006</v>
      </c>
      <c r="D79" s="8">
        <v>85.3</v>
      </c>
      <c r="E79" s="8">
        <f t="shared" si="1"/>
        <v>14.399999999999991</v>
      </c>
    </row>
    <row r="80" spans="2:5" x14ac:dyDescent="0.2">
      <c r="B80" s="8">
        <v>75</v>
      </c>
      <c r="C80" s="8">
        <v>66.3</v>
      </c>
      <c r="D80" s="8">
        <v>79.7</v>
      </c>
      <c r="E80" s="8">
        <f t="shared" si="1"/>
        <v>13.400000000000006</v>
      </c>
    </row>
    <row r="81" spans="2:5" x14ac:dyDescent="0.2">
      <c r="B81" s="8">
        <v>76</v>
      </c>
      <c r="C81" s="8">
        <v>65.3</v>
      </c>
      <c r="D81" s="8">
        <v>79.599999999999994</v>
      </c>
      <c r="E81" s="8">
        <f t="shared" si="1"/>
        <v>14.299999999999997</v>
      </c>
    </row>
    <row r="82" spans="2:5" x14ac:dyDescent="0.2">
      <c r="B82" s="8">
        <v>77</v>
      </c>
      <c r="C82" s="8">
        <v>75.7</v>
      </c>
      <c r="D82" s="8">
        <v>78.900000000000006</v>
      </c>
      <c r="E82" s="8">
        <f t="shared" si="1"/>
        <v>3.2000000000000028</v>
      </c>
    </row>
    <row r="83" spans="2:5" x14ac:dyDescent="0.2">
      <c r="B83" s="8">
        <v>78</v>
      </c>
      <c r="C83" s="8">
        <v>66</v>
      </c>
      <c r="D83" s="8">
        <v>78.5</v>
      </c>
      <c r="E83" s="8">
        <f t="shared" si="1"/>
        <v>12.5</v>
      </c>
    </row>
    <row r="84" spans="2:5" x14ac:dyDescent="0.2">
      <c r="B84" s="8">
        <v>79</v>
      </c>
      <c r="C84" s="8">
        <v>78.900000000000006</v>
      </c>
      <c r="D84" s="8">
        <v>72</v>
      </c>
      <c r="E84" s="8">
        <f t="shared" si="1"/>
        <v>-6.9000000000000057</v>
      </c>
    </row>
    <row r="85" spans="2:5" x14ac:dyDescent="0.2">
      <c r="B85" s="8">
        <v>80</v>
      </c>
      <c r="C85" s="8">
        <v>74</v>
      </c>
      <c r="D85" s="8">
        <v>74.2</v>
      </c>
      <c r="E85" s="8">
        <f t="shared" si="1"/>
        <v>0.20000000000000284</v>
      </c>
    </row>
    <row r="86" spans="2:5" x14ac:dyDescent="0.2">
      <c r="B86" s="8">
        <v>81</v>
      </c>
      <c r="C86" s="8">
        <v>74.599999999999994</v>
      </c>
      <c r="D86" s="8">
        <v>71.7</v>
      </c>
      <c r="E86" s="8">
        <f t="shared" si="1"/>
        <v>-2.8999999999999915</v>
      </c>
    </row>
    <row r="87" spans="2:5" x14ac:dyDescent="0.2">
      <c r="B87" s="8">
        <v>82</v>
      </c>
      <c r="C87" s="8">
        <v>79.3</v>
      </c>
      <c r="D87" s="8">
        <v>80.7</v>
      </c>
      <c r="E87" s="8">
        <f t="shared" si="1"/>
        <v>1.4000000000000057</v>
      </c>
    </row>
    <row r="88" spans="2:5" x14ac:dyDescent="0.2">
      <c r="B88" s="8">
        <v>83</v>
      </c>
      <c r="C88" s="8">
        <v>70.099999999999994</v>
      </c>
      <c r="D88" s="8">
        <v>84.1</v>
      </c>
      <c r="E88" s="8">
        <f t="shared" si="1"/>
        <v>14</v>
      </c>
    </row>
    <row r="89" spans="2:5" x14ac:dyDescent="0.2">
      <c r="B89" s="8">
        <v>84</v>
      </c>
      <c r="C89" s="8">
        <v>88.8</v>
      </c>
      <c r="D89" s="8">
        <v>87.4</v>
      </c>
      <c r="E89" s="8">
        <f t="shared" si="1"/>
        <v>-1.3999999999999915</v>
      </c>
    </row>
    <row r="90" spans="2:5" x14ac:dyDescent="0.2">
      <c r="B90" s="8">
        <v>85</v>
      </c>
      <c r="C90" s="8">
        <v>66</v>
      </c>
      <c r="D90" s="8">
        <v>77.400000000000006</v>
      </c>
      <c r="E90" s="8">
        <f t="shared" si="1"/>
        <v>11.400000000000006</v>
      </c>
    </row>
    <row r="91" spans="2:5" x14ac:dyDescent="0.2">
      <c r="B91" s="8">
        <v>86</v>
      </c>
      <c r="C91" s="8">
        <v>82.9</v>
      </c>
      <c r="D91" s="8">
        <v>84.7</v>
      </c>
      <c r="E91" s="8">
        <f t="shared" si="1"/>
        <v>1.7999999999999972</v>
      </c>
    </row>
    <row r="92" spans="2:5" x14ac:dyDescent="0.2">
      <c r="B92" s="8">
        <v>87</v>
      </c>
      <c r="C92" s="8">
        <v>100</v>
      </c>
      <c r="D92" s="8">
        <v>78.8</v>
      </c>
      <c r="E92" s="8">
        <f t="shared" si="1"/>
        <v>-21.200000000000003</v>
      </c>
    </row>
    <row r="93" spans="2:5" x14ac:dyDescent="0.2">
      <c r="B93" s="8">
        <v>88</v>
      </c>
      <c r="C93" s="8">
        <v>75.599999999999994</v>
      </c>
      <c r="D93" s="8">
        <v>92.7</v>
      </c>
      <c r="E93" s="8">
        <f t="shared" si="1"/>
        <v>17.100000000000009</v>
      </c>
    </row>
    <row r="94" spans="2:5" x14ac:dyDescent="0.2">
      <c r="B94" s="8">
        <v>89</v>
      </c>
      <c r="C94" s="8">
        <v>67.5</v>
      </c>
      <c r="D94" s="8">
        <v>88.8</v>
      </c>
      <c r="E94" s="8">
        <f t="shared" si="1"/>
        <v>21.299999999999997</v>
      </c>
    </row>
    <row r="95" spans="2:5" x14ac:dyDescent="0.2">
      <c r="B95" s="8">
        <v>90</v>
      </c>
      <c r="C95" s="8">
        <v>68.7</v>
      </c>
      <c r="D95" s="8">
        <v>86.6</v>
      </c>
      <c r="E95" s="8">
        <f t="shared" si="1"/>
        <v>17.899999999999991</v>
      </c>
    </row>
    <row r="96" spans="2:5" x14ac:dyDescent="0.2">
      <c r="B96" s="8">
        <v>91</v>
      </c>
      <c r="C96" s="8">
        <v>76</v>
      </c>
      <c r="D96" s="8">
        <v>77.900000000000006</v>
      </c>
      <c r="E96" s="8">
        <f t="shared" si="1"/>
        <v>1.9000000000000057</v>
      </c>
    </row>
    <row r="97" spans="2:5" x14ac:dyDescent="0.2">
      <c r="B97" s="8">
        <v>92</v>
      </c>
      <c r="C97" s="8">
        <v>67.7</v>
      </c>
      <c r="D97" s="8">
        <v>86.1</v>
      </c>
      <c r="E97" s="8">
        <f t="shared" si="1"/>
        <v>18.399999999999991</v>
      </c>
    </row>
    <row r="98" spans="2:5" x14ac:dyDescent="0.2">
      <c r="B98" s="8">
        <v>93</v>
      </c>
      <c r="C98" s="8">
        <v>75.3</v>
      </c>
      <c r="D98" s="8">
        <v>89.9</v>
      </c>
      <c r="E98" s="8">
        <f t="shared" si="1"/>
        <v>14.600000000000009</v>
      </c>
    </row>
    <row r="99" spans="2:5" x14ac:dyDescent="0.2">
      <c r="B99" s="8">
        <v>94</v>
      </c>
      <c r="C99" s="8">
        <v>68.099999999999994</v>
      </c>
      <c r="D99" s="8">
        <v>83.1</v>
      </c>
      <c r="E99" s="8">
        <f t="shared" si="1"/>
        <v>15</v>
      </c>
    </row>
    <row r="100" spans="2:5" x14ac:dyDescent="0.2">
      <c r="B100" s="8">
        <v>95</v>
      </c>
      <c r="C100" s="8">
        <v>63.3</v>
      </c>
      <c r="D100" s="8">
        <v>82.6</v>
      </c>
      <c r="E100" s="8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N8" sqref="N8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252</v>
      </c>
      <c r="D6" s="8">
        <v>276</v>
      </c>
      <c r="E6" s="8">
        <f>D6-C6</f>
        <v>24</v>
      </c>
      <c r="G6" s="20" t="s">
        <v>71</v>
      </c>
      <c r="H6" s="71">
        <f>COUNT(B6:B100)</f>
        <v>95</v>
      </c>
      <c r="J6" s="20" t="s">
        <v>141</v>
      </c>
      <c r="K6" s="82">
        <v>0.9</v>
      </c>
      <c r="M6" s="20" t="s">
        <v>147</v>
      </c>
      <c r="N6" s="72">
        <f>H7-K11</f>
        <v>44.388289333700001</v>
      </c>
    </row>
    <row r="7" spans="2:14" x14ac:dyDescent="0.2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46</v>
      </c>
      <c r="H7" s="72">
        <f>AVERAGE(E6:E100)</f>
        <v>49.442105263157892</v>
      </c>
      <c r="J7" s="20" t="s">
        <v>142</v>
      </c>
      <c r="K7" s="82">
        <f>1-K6</f>
        <v>9.9999999999999978E-2</v>
      </c>
      <c r="M7" s="20" t="s">
        <v>148</v>
      </c>
      <c r="N7" s="72">
        <f>H7+K11</f>
        <v>54.495921192615782</v>
      </c>
    </row>
    <row r="8" spans="2:1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 t="s">
        <v>70</v>
      </c>
      <c r="H8" s="75">
        <f>_xlfn.STDEV.S(E6:E100)</f>
        <v>29.655007753875548</v>
      </c>
      <c r="J8" s="20" t="s">
        <v>143</v>
      </c>
      <c r="K8" s="75">
        <f>K7/2</f>
        <v>4.9999999999999989E-2</v>
      </c>
    </row>
    <row r="9" spans="2:14" x14ac:dyDescent="0.2">
      <c r="B9" s="8">
        <v>4</v>
      </c>
      <c r="C9" s="8">
        <v>288</v>
      </c>
      <c r="D9" s="8">
        <v>334</v>
      </c>
      <c r="E9" s="8">
        <f t="shared" si="0"/>
        <v>46</v>
      </c>
      <c r="J9" s="20" t="s">
        <v>155</v>
      </c>
      <c r="K9" s="75">
        <f>_xlfn.T.INV(1-K8,H6)</f>
        <v>1.6610518172772404</v>
      </c>
    </row>
    <row r="10" spans="2:1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J10" s="20" t="s">
        <v>145</v>
      </c>
      <c r="K10" s="75">
        <f>H8/SQRT(H6)</f>
        <v>3.0425395986393706</v>
      </c>
    </row>
    <row r="11" spans="2:1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J11" s="20" t="s">
        <v>149</v>
      </c>
      <c r="K11" s="75">
        <f>K9*K10</f>
        <v>5.0538159294578922</v>
      </c>
    </row>
    <row r="12" spans="2:1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1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1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1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14" x14ac:dyDescent="0.2">
      <c r="B16" s="8">
        <v>11</v>
      </c>
      <c r="C16" s="8">
        <v>182</v>
      </c>
      <c r="D16" s="8">
        <v>232</v>
      </c>
      <c r="E16" s="8">
        <f t="shared" si="0"/>
        <v>50</v>
      </c>
      <c r="J16" s="20"/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N13" sqref="N13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4" t="s">
        <v>138</v>
      </c>
      <c r="G5" s="114"/>
      <c r="H5" s="114"/>
      <c r="J5" s="114" t="s">
        <v>178</v>
      </c>
      <c r="K5" s="114"/>
      <c r="M5" s="114" t="s">
        <v>140</v>
      </c>
      <c r="N5" s="114"/>
      <c r="P5" s="114" t="s">
        <v>146</v>
      </c>
      <c r="Q5" s="114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>
        <f>G9-H9</f>
        <v>1.8650659133709979</v>
      </c>
      <c r="M6" s="20" t="s">
        <v>141</v>
      </c>
      <c r="N6" s="77">
        <v>0.9</v>
      </c>
      <c r="P6" s="20" t="s">
        <v>147</v>
      </c>
      <c r="Q6" s="72">
        <f>K6-N12</f>
        <v>-0.39955679893334928</v>
      </c>
    </row>
    <row r="7" spans="2:17" x14ac:dyDescent="0.2">
      <c r="B7" s="8">
        <v>92.8</v>
      </c>
      <c r="D7" s="8">
        <v>80.7</v>
      </c>
      <c r="F7" s="20" t="s">
        <v>175</v>
      </c>
      <c r="G7" s="71">
        <f>COUNT(B6:B41)</f>
        <v>36</v>
      </c>
      <c r="H7" s="71">
        <f>COUNT(D6:D64)</f>
        <v>59</v>
      </c>
      <c r="M7" s="20" t="s">
        <v>142</v>
      </c>
      <c r="N7" s="82">
        <f>1-N6</f>
        <v>9.9999999999999978E-2</v>
      </c>
      <c r="P7" s="20" t="s">
        <v>148</v>
      </c>
      <c r="Q7" s="72">
        <f>K6+N12</f>
        <v>4.1296886256753451</v>
      </c>
    </row>
    <row r="8" spans="2:17" x14ac:dyDescent="0.2">
      <c r="B8" s="8">
        <v>88.7</v>
      </c>
      <c r="D8" s="8">
        <v>74.900000000000006</v>
      </c>
      <c r="F8" s="20" t="s">
        <v>183</v>
      </c>
      <c r="G8" s="71">
        <f>G7-1</f>
        <v>35</v>
      </c>
      <c r="H8" s="71">
        <f>H7-1</f>
        <v>58</v>
      </c>
      <c r="M8" s="20" t="s">
        <v>143</v>
      </c>
      <c r="N8" s="71">
        <f>N7/2</f>
        <v>4.9999999999999989E-2</v>
      </c>
    </row>
    <row r="9" spans="2:17" x14ac:dyDescent="0.2">
      <c r="B9" s="8">
        <v>87.5</v>
      </c>
      <c r="D9" s="8">
        <v>80.7</v>
      </c>
      <c r="F9" s="20" t="s">
        <v>176</v>
      </c>
      <c r="G9" s="72">
        <f>AVERAGE(B6:B41)</f>
        <v>81.327777777777783</v>
      </c>
      <c r="H9" s="72">
        <f>AVERAGE(D6:D64)</f>
        <v>79.462711864406785</v>
      </c>
      <c r="M9" s="20" t="s">
        <v>180</v>
      </c>
      <c r="N9" s="75">
        <f>(G11+H11)^2/(G11^2/G8+H11^2/H8)</f>
        <v>66.234134266561668</v>
      </c>
    </row>
    <row r="10" spans="2:17" ht="17" x14ac:dyDescent="0.2">
      <c r="B10" s="8">
        <v>71.3</v>
      </c>
      <c r="D10" s="8">
        <v>83.3</v>
      </c>
      <c r="F10" s="20" t="s">
        <v>177</v>
      </c>
      <c r="G10" s="75">
        <f>_xlfn.VAR.S(B6:B41)</f>
        <v>44.135206349206364</v>
      </c>
      <c r="H10" s="75">
        <f>_xlfn.VAR.S(D6:D64)</f>
        <v>33.739275277615427</v>
      </c>
      <c r="M10" s="20" t="s">
        <v>155</v>
      </c>
      <c r="N10" s="70">
        <f>_xlfn.T.INV(1-N8,N9)</f>
        <v>1.6682705142276302</v>
      </c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>
        <f>G10/G8</f>
        <v>1.2610058956916104</v>
      </c>
      <c r="H11" s="70">
        <f>H10/H8</f>
        <v>0.5817116427175073</v>
      </c>
      <c r="M11" s="20" t="s">
        <v>145</v>
      </c>
      <c r="N11" s="75">
        <f>SQRT(G11+H11)</f>
        <v>1.3574673249876468</v>
      </c>
    </row>
    <row r="12" spans="2:17" x14ac:dyDescent="0.2">
      <c r="B12" s="8">
        <v>96.1</v>
      </c>
      <c r="D12" s="8">
        <v>82.1</v>
      </c>
      <c r="M12" s="20" t="s">
        <v>149</v>
      </c>
      <c r="N12" s="75">
        <f>N11*N10</f>
        <v>2.2646227123043472</v>
      </c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M10" sqref="M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5" t="s">
        <v>138</v>
      </c>
      <c r="F5" s="115"/>
      <c r="G5" s="115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>
        <f>F9-G9</f>
        <v>70.528301886792462</v>
      </c>
      <c r="L6" s="20" t="s">
        <v>141</v>
      </c>
      <c r="M6" s="77">
        <v>0.9</v>
      </c>
      <c r="O6" s="20" t="s">
        <v>147</v>
      </c>
      <c r="P6" s="73">
        <f>J6-M12</f>
        <v>40.555836759906974</v>
      </c>
    </row>
    <row r="7" spans="2:16" x14ac:dyDescent="0.2">
      <c r="B7" s="8" t="s">
        <v>14</v>
      </c>
      <c r="C7" s="8">
        <v>410</v>
      </c>
      <c r="E7" s="20" t="s">
        <v>175</v>
      </c>
      <c r="F7" s="71">
        <f>COUNTIFS(B6:B100,"Placed")</f>
        <v>53</v>
      </c>
      <c r="G7" s="71">
        <f>COUNTIFS(B6:B100,"Not Placed")</f>
        <v>42</v>
      </c>
      <c r="L7" s="20" t="s">
        <v>142</v>
      </c>
      <c r="M7" s="82">
        <f>1-M6</f>
        <v>9.9999999999999978E-2</v>
      </c>
      <c r="O7" s="20" t="s">
        <v>148</v>
      </c>
      <c r="P7" s="73">
        <f>J6+M12</f>
        <v>100.50076701367794</v>
      </c>
    </row>
    <row r="8" spans="2:16" x14ac:dyDescent="0.2">
      <c r="B8" s="8" t="s">
        <v>13</v>
      </c>
      <c r="C8" s="8">
        <v>119</v>
      </c>
      <c r="E8" s="20" t="s">
        <v>183</v>
      </c>
      <c r="F8" s="71">
        <f>F7-1</f>
        <v>52</v>
      </c>
      <c r="G8" s="71">
        <f>G7-1</f>
        <v>41</v>
      </c>
      <c r="L8" s="20" t="s">
        <v>143</v>
      </c>
      <c r="M8" s="71">
        <f>M7/2</f>
        <v>4.9999999999999989E-2</v>
      </c>
    </row>
    <row r="9" spans="2:16" x14ac:dyDescent="0.2">
      <c r="B9" s="8" t="s">
        <v>14</v>
      </c>
      <c r="C9" s="8">
        <v>334</v>
      </c>
      <c r="E9" s="20" t="s">
        <v>176</v>
      </c>
      <c r="F9" s="73">
        <f>AVERAGEIFS($C$6:$C$100,$B$6:$B$100,F6)</f>
        <v>320.52830188679246</v>
      </c>
      <c r="G9" s="73">
        <f>AVERAGEIFS($C$6:$C$100,$B$6:$B$100,G6)</f>
        <v>250</v>
      </c>
      <c r="L9" s="20" t="s">
        <v>180</v>
      </c>
      <c r="M9" s="75">
        <f>(F11+G11)^2/(F11^2/F8+G11^2/G8)</f>
        <v>87.464124652300455</v>
      </c>
    </row>
    <row r="10" spans="2:16" ht="17" x14ac:dyDescent="0.2">
      <c r="B10" s="8" t="s">
        <v>14</v>
      </c>
      <c r="C10" s="8">
        <v>252</v>
      </c>
      <c r="E10" s="20" t="s">
        <v>177</v>
      </c>
      <c r="F10" s="74" cm="1">
        <f t="array" ref="F10">_xlfn.VAR.S(IF($B$6:$B$100=F6,$C$6:$C$100))</f>
        <v>7479.7924528301946</v>
      </c>
      <c r="G10" s="74" cm="1">
        <f t="array" ref="G10">_xlfn.VAR.S(IF($B$6:$B$100=G6,$C$6:$C$100))</f>
        <v>7722.8780487804879</v>
      </c>
      <c r="L10" s="20" t="s">
        <v>155</v>
      </c>
      <c r="M10" s="70">
        <f>_xlfn.T.INV(1-M8,M9)</f>
        <v>1.662557349412876</v>
      </c>
    </row>
    <row r="11" spans="2:16" ht="17" x14ac:dyDescent="0.2">
      <c r="B11" s="8" t="s">
        <v>14</v>
      </c>
      <c r="C11" s="8">
        <v>209</v>
      </c>
      <c r="E11" s="20" t="s">
        <v>182</v>
      </c>
      <c r="F11" s="70">
        <f>F10/F7</f>
        <v>141.12815948736215</v>
      </c>
      <c r="G11" s="70">
        <f>G10/G7</f>
        <v>183.8780487804878</v>
      </c>
      <c r="L11" s="20" t="s">
        <v>145</v>
      </c>
      <c r="M11" s="75">
        <f>SQRT(F11+G11)</f>
        <v>18.027928562867391</v>
      </c>
    </row>
    <row r="12" spans="2:16" x14ac:dyDescent="0.2">
      <c r="B12" s="8" t="s">
        <v>13</v>
      </c>
      <c r="C12" s="8">
        <v>462</v>
      </c>
      <c r="L12" s="20" t="s">
        <v>149</v>
      </c>
      <c r="M12" s="75">
        <f>M11*M10</f>
        <v>29.972465126885488</v>
      </c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tabSelected="1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4" t="s">
        <v>138</v>
      </c>
      <c r="F5" s="114"/>
      <c r="G5" s="114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>
        <f>F8-G8</f>
        <v>0.23913043478260865</v>
      </c>
      <c r="L6" s="20" t="s">
        <v>141</v>
      </c>
      <c r="M6" s="77">
        <v>0.99</v>
      </c>
      <c r="O6" s="20" t="s">
        <v>147</v>
      </c>
      <c r="P6" s="88">
        <f>J6-M11</f>
        <v>-4.1334137258359216E-2</v>
      </c>
    </row>
    <row r="7" spans="2:16" x14ac:dyDescent="0.2">
      <c r="B7" s="8" t="s">
        <v>25</v>
      </c>
      <c r="C7" s="8" t="s">
        <v>14</v>
      </c>
      <c r="E7" s="20" t="s">
        <v>175</v>
      </c>
      <c r="F7" s="71">
        <f>COUNTIFS($B$6:$B$100,F6)</f>
        <v>23</v>
      </c>
      <c r="G7" s="71">
        <f>COUNTIFS($B$6:$B$100,G6)</f>
        <v>72</v>
      </c>
      <c r="L7" s="20" t="s">
        <v>142</v>
      </c>
      <c r="M7" s="82">
        <f>1-M6</f>
        <v>1.0000000000000009E-2</v>
      </c>
      <c r="O7" s="20" t="s">
        <v>148</v>
      </c>
      <c r="P7" s="88">
        <f>J6+M11</f>
        <v>0.51959500682357651</v>
      </c>
    </row>
    <row r="8" spans="2:16" x14ac:dyDescent="0.2">
      <c r="B8" s="8" t="s">
        <v>27</v>
      </c>
      <c r="C8" s="8" t="s">
        <v>13</v>
      </c>
      <c r="E8" s="20" t="s">
        <v>187</v>
      </c>
      <c r="F8" s="70">
        <f>COUNTIFS($B$6:$B$100,F6,$C$6:$C$100,"Placed")/F7</f>
        <v>0.73913043478260865</v>
      </c>
      <c r="G8" s="70">
        <f>COUNTIFS($B$6:$B$100,G6,$C$6:$C$100,"Placed")/G7</f>
        <v>0.5</v>
      </c>
      <c r="L8" s="20" t="s">
        <v>143</v>
      </c>
      <c r="M8" s="71">
        <f>M7/2</f>
        <v>5.0000000000000044E-3</v>
      </c>
    </row>
    <row r="9" spans="2:16" x14ac:dyDescent="0.2">
      <c r="B9" s="8" t="s">
        <v>25</v>
      </c>
      <c r="C9" s="8" t="s">
        <v>14</v>
      </c>
      <c r="E9" s="20" t="s">
        <v>158</v>
      </c>
      <c r="F9" s="70">
        <f>1-F8</f>
        <v>0.26086956521739135</v>
      </c>
      <c r="G9" s="70">
        <f>1-G8</f>
        <v>0.5</v>
      </c>
      <c r="L9" s="20" t="s">
        <v>151</v>
      </c>
      <c r="M9" s="70">
        <f>_xlfn.NORM.S.INV(1-M8)</f>
        <v>2.5758293035488999</v>
      </c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>
        <f>SQRT(SUM(F8*F9/F7,G8*G9/G7))</f>
        <v>0.10888321351673119</v>
      </c>
    </row>
    <row r="11" spans="2:16" x14ac:dyDescent="0.2">
      <c r="B11" s="8" t="s">
        <v>25</v>
      </c>
      <c r="C11" s="8" t="s">
        <v>14</v>
      </c>
      <c r="E11" s="114" t="s">
        <v>162</v>
      </c>
      <c r="F11" s="114"/>
      <c r="G11" s="114"/>
      <c r="L11" s="20" t="s">
        <v>149</v>
      </c>
      <c r="M11" s="70">
        <f>M10*M9</f>
        <v>0.28046457204096786</v>
      </c>
    </row>
    <row r="12" spans="2:16" x14ac:dyDescent="0.2">
      <c r="B12" s="8" t="s">
        <v>25</v>
      </c>
      <c r="C12" s="8" t="s">
        <v>13</v>
      </c>
      <c r="E12" s="20" t="s">
        <v>307</v>
      </c>
      <c r="F12" s="71">
        <f>F8*F7</f>
        <v>17</v>
      </c>
      <c r="G12" s="71">
        <f>G8*G7</f>
        <v>36</v>
      </c>
    </row>
    <row r="13" spans="2:16" x14ac:dyDescent="0.2">
      <c r="B13" s="8" t="s">
        <v>25</v>
      </c>
      <c r="C13" s="8" t="s">
        <v>13</v>
      </c>
      <c r="E13" s="20" t="s">
        <v>164</v>
      </c>
      <c r="F13" s="71">
        <f>F9*F7</f>
        <v>6.0000000000000009</v>
      </c>
      <c r="G13" s="71">
        <f>G9*G7</f>
        <v>36</v>
      </c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6" t="s">
        <v>198</v>
      </c>
      <c r="E5" s="116"/>
      <c r="F5" s="116"/>
      <c r="G5" s="116"/>
    </row>
    <row r="6" spans="2:7" x14ac:dyDescent="0.2">
      <c r="B6" s="8">
        <v>276</v>
      </c>
      <c r="D6" s="20" t="s">
        <v>194</v>
      </c>
      <c r="E6" s="89"/>
      <c r="F6" s="89"/>
      <c r="G6" s="90"/>
    </row>
    <row r="7" spans="2:7" x14ac:dyDescent="0.2">
      <c r="B7" s="8">
        <v>410</v>
      </c>
      <c r="D7" s="20" t="s">
        <v>195</v>
      </c>
      <c r="E7" s="89"/>
      <c r="F7" s="89"/>
      <c r="G7" s="90"/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/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/>
      <c r="O6" s="20" t="s">
        <v>145</v>
      </c>
      <c r="P6" s="75"/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/>
      <c r="O7" s="20" t="s">
        <v>201</v>
      </c>
      <c r="P7" s="91"/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7"/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7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7"/>
    </row>
    <row r="9" spans="2:18" x14ac:dyDescent="0.2">
      <c r="B9" s="8">
        <v>334</v>
      </c>
      <c r="D9" s="20"/>
      <c r="E9" s="37"/>
      <c r="F9" s="37"/>
      <c r="G9" s="37"/>
      <c r="R9" s="117"/>
    </row>
    <row r="10" spans="2:18" x14ac:dyDescent="0.2">
      <c r="B10" s="8">
        <v>252</v>
      </c>
      <c r="D10" s="20"/>
      <c r="E10" s="22"/>
      <c r="F10" s="22"/>
      <c r="G10" s="22"/>
      <c r="R10" s="117"/>
    </row>
    <row r="11" spans="2:18" x14ac:dyDescent="0.2">
      <c r="B11" s="8">
        <v>209</v>
      </c>
      <c r="D11" s="20"/>
      <c r="E11" s="22"/>
      <c r="F11" s="22"/>
      <c r="G11" s="22"/>
      <c r="R11" s="117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/>
      <c r="G6" s="90"/>
      <c r="I6" s="20" t="s">
        <v>142</v>
      </c>
      <c r="J6" s="71"/>
      <c r="L6" s="20" t="s">
        <v>71</v>
      </c>
      <c r="M6" s="71"/>
      <c r="O6" s="20" t="s">
        <v>145</v>
      </c>
      <c r="P6" s="75"/>
      <c r="R6" s="117"/>
    </row>
    <row r="7" spans="2:18" x14ac:dyDescent="0.2">
      <c r="B7" s="8">
        <v>92.8</v>
      </c>
      <c r="D7" s="20" t="s">
        <v>195</v>
      </c>
      <c r="E7" s="89" t="s">
        <v>196</v>
      </c>
      <c r="F7" s="89"/>
      <c r="G7" s="90"/>
      <c r="I7" s="20"/>
      <c r="J7" s="1"/>
      <c r="L7" s="20" t="s">
        <v>46</v>
      </c>
      <c r="M7" s="72"/>
      <c r="O7" s="20" t="s">
        <v>201</v>
      </c>
      <c r="P7" s="91"/>
      <c r="R7" s="117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206</v>
      </c>
      <c r="P8" s="70"/>
      <c r="R8" s="117"/>
    </row>
    <row r="9" spans="2:18" x14ac:dyDescent="0.2">
      <c r="B9" s="8">
        <v>80.7</v>
      </c>
      <c r="D9" s="20"/>
      <c r="E9" s="37"/>
      <c r="F9" s="37"/>
      <c r="G9" s="37"/>
      <c r="R9" s="117"/>
    </row>
    <row r="10" spans="2:18" x14ac:dyDescent="0.2">
      <c r="B10" s="8">
        <v>74.900000000000006</v>
      </c>
      <c r="D10" s="20"/>
      <c r="E10" s="22"/>
      <c r="F10" s="22"/>
      <c r="G10" s="22"/>
      <c r="R10" s="117"/>
    </row>
    <row r="11" spans="2:18" x14ac:dyDescent="0.2">
      <c r="B11" s="8">
        <v>80.7</v>
      </c>
      <c r="D11" s="20"/>
      <c r="E11" s="22"/>
      <c r="F11" s="22"/>
      <c r="G11" s="22"/>
      <c r="R11" s="117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6" t="s">
        <v>198</v>
      </c>
      <c r="F5" s="116"/>
      <c r="G5" s="116"/>
      <c r="H5" s="116"/>
      <c r="J5" s="116" t="s">
        <v>200</v>
      </c>
      <c r="K5" s="116"/>
      <c r="M5" s="114" t="s">
        <v>138</v>
      </c>
      <c r="N5" s="114"/>
      <c r="P5" s="114" t="s">
        <v>203</v>
      </c>
      <c r="Q5" s="114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/>
      <c r="H6" s="90"/>
      <c r="J6" s="20" t="s">
        <v>142</v>
      </c>
      <c r="K6" s="71"/>
      <c r="M6" s="20" t="s">
        <v>71</v>
      </c>
      <c r="N6" s="71"/>
      <c r="P6" s="20" t="s">
        <v>145</v>
      </c>
      <c r="Q6" s="75"/>
      <c r="S6" s="117"/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/>
      <c r="H7" s="90"/>
      <c r="J7" s="20"/>
      <c r="K7" s="1"/>
      <c r="M7" s="20" t="s">
        <v>46</v>
      </c>
      <c r="N7" s="72"/>
      <c r="P7" s="20" t="s">
        <v>201</v>
      </c>
      <c r="Q7" s="91"/>
      <c r="S7" s="117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206</v>
      </c>
      <c r="Q8" s="70"/>
      <c r="S8" s="117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17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17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17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2" max="12" width="11.5" customWidth="1"/>
    <col min="15" max="15" width="15.6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4" t="s">
        <v>138</v>
      </c>
      <c r="E5" s="114"/>
      <c r="G5" s="116" t="s">
        <v>198</v>
      </c>
      <c r="H5" s="116"/>
      <c r="I5" s="116"/>
      <c r="J5" s="116"/>
      <c r="L5" s="116" t="s">
        <v>200</v>
      </c>
      <c r="M5" s="116"/>
      <c r="O5" s="114" t="s">
        <v>203</v>
      </c>
      <c r="P5" s="114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/>
      <c r="G6" s="20" t="s">
        <v>194</v>
      </c>
      <c r="H6" s="89" t="s">
        <v>212</v>
      </c>
      <c r="I6" s="89"/>
      <c r="J6" s="93"/>
      <c r="L6" s="20" t="s">
        <v>142</v>
      </c>
      <c r="M6" s="71"/>
      <c r="O6" s="20" t="s">
        <v>145</v>
      </c>
      <c r="P6" s="94"/>
      <c r="R6" s="117"/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/>
      <c r="G7" s="20" t="s">
        <v>195</v>
      </c>
      <c r="H7" s="89" t="s">
        <v>212</v>
      </c>
      <c r="I7" s="89"/>
      <c r="J7" s="93"/>
      <c r="L7" s="20"/>
      <c r="M7" s="1"/>
      <c r="O7" s="20" t="s">
        <v>211</v>
      </c>
      <c r="P7" s="91"/>
      <c r="R7" s="117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/>
      <c r="G8" s="20"/>
      <c r="H8" s="36"/>
      <c r="I8" s="36"/>
      <c r="J8" s="36"/>
      <c r="O8" s="20" t="s">
        <v>206</v>
      </c>
      <c r="P8" s="70"/>
      <c r="R8" s="117"/>
    </row>
    <row r="9" spans="2:22" x14ac:dyDescent="0.2">
      <c r="B9" s="53">
        <v>148000</v>
      </c>
      <c r="G9" s="20"/>
      <c r="H9" s="37"/>
      <c r="I9" s="37"/>
      <c r="J9" s="37"/>
      <c r="R9" s="117"/>
    </row>
    <row r="10" spans="2:22" x14ac:dyDescent="0.2">
      <c r="B10" s="53">
        <v>255500</v>
      </c>
      <c r="D10" s="114" t="s">
        <v>162</v>
      </c>
      <c r="E10" s="114"/>
      <c r="G10" s="20"/>
      <c r="H10" s="22"/>
      <c r="I10" s="22"/>
      <c r="J10" s="22"/>
      <c r="R10" s="117"/>
    </row>
    <row r="11" spans="2:22" x14ac:dyDescent="0.2">
      <c r="B11" s="53">
        <v>103500</v>
      </c>
      <c r="D11" s="20" t="s">
        <v>163</v>
      </c>
      <c r="E11" s="71"/>
      <c r="G11" s="20"/>
      <c r="H11" s="22"/>
      <c r="I11" s="22"/>
      <c r="J11" s="22"/>
      <c r="R11" s="117"/>
    </row>
    <row r="12" spans="2:22" x14ac:dyDescent="0.2">
      <c r="B12" s="53">
        <v>114500</v>
      </c>
      <c r="D12" s="20" t="s">
        <v>164</v>
      </c>
      <c r="E12" s="71"/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6" t="s">
        <v>198</v>
      </c>
      <c r="H5" s="116"/>
      <c r="I5" s="116"/>
      <c r="J5" s="116"/>
      <c r="L5" s="116" t="s">
        <v>200</v>
      </c>
      <c r="M5" s="116"/>
      <c r="O5" s="114" t="s">
        <v>138</v>
      </c>
      <c r="P5" s="114"/>
      <c r="R5" s="114" t="s">
        <v>203</v>
      </c>
      <c r="S5" s="114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/>
      <c r="G6" s="20" t="s">
        <v>194</v>
      </c>
      <c r="H6" s="89" t="s">
        <v>215</v>
      </c>
      <c r="I6" s="89"/>
      <c r="J6" s="90"/>
      <c r="L6" s="20" t="s">
        <v>142</v>
      </c>
      <c r="M6" s="71"/>
      <c r="O6" s="20" t="s">
        <v>71</v>
      </c>
      <c r="P6" s="71"/>
      <c r="R6" s="20" t="s">
        <v>145</v>
      </c>
      <c r="S6" s="75"/>
      <c r="U6" s="117"/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/>
      <c r="G7" s="20" t="s">
        <v>195</v>
      </c>
      <c r="H7" s="89" t="s">
        <v>215</v>
      </c>
      <c r="I7" s="89"/>
      <c r="J7" s="90"/>
      <c r="L7" s="20"/>
      <c r="M7" s="1"/>
      <c r="O7" s="20" t="s">
        <v>46</v>
      </c>
      <c r="P7" s="72"/>
      <c r="R7" s="20" t="s">
        <v>201</v>
      </c>
      <c r="S7" s="91"/>
      <c r="U7" s="117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206</v>
      </c>
      <c r="S8" s="70"/>
      <c r="U8" s="117"/>
    </row>
    <row r="9" spans="2:24" x14ac:dyDescent="0.2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17"/>
    </row>
    <row r="10" spans="2:24" x14ac:dyDescent="0.2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17"/>
    </row>
    <row r="11" spans="2:24" x14ac:dyDescent="0.2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17"/>
    </row>
    <row r="12" spans="2:24" x14ac:dyDescent="0.2">
      <c r="B12" s="8">
        <v>7</v>
      </c>
      <c r="C12" s="8">
        <v>401</v>
      </c>
      <c r="D12" s="8">
        <v>462</v>
      </c>
      <c r="E12" s="8"/>
    </row>
    <row r="13" spans="2:24" x14ac:dyDescent="0.2">
      <c r="B13" s="8">
        <v>8</v>
      </c>
      <c r="C13" s="8">
        <v>287</v>
      </c>
      <c r="D13" s="8">
        <v>342</v>
      </c>
      <c r="E13" s="8"/>
    </row>
    <row r="14" spans="2:24" x14ac:dyDescent="0.2">
      <c r="B14" s="8">
        <v>9</v>
      </c>
      <c r="C14" s="8">
        <v>275</v>
      </c>
      <c r="D14" s="8">
        <v>347</v>
      </c>
      <c r="E14" s="8"/>
    </row>
    <row r="15" spans="2:24" x14ac:dyDescent="0.2">
      <c r="B15" s="8">
        <v>10</v>
      </c>
      <c r="C15" s="8">
        <v>254</v>
      </c>
      <c r="D15" s="8">
        <v>313</v>
      </c>
      <c r="E15" s="8"/>
    </row>
    <row r="16" spans="2:2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5" t="s">
        <v>138</v>
      </c>
      <c r="F5" s="115"/>
      <c r="G5" s="115"/>
      <c r="I5" s="114" t="s">
        <v>178</v>
      </c>
      <c r="J5" s="114"/>
      <c r="L5" s="116" t="s">
        <v>198</v>
      </c>
      <c r="M5" s="116"/>
      <c r="N5" s="116"/>
      <c r="O5" s="116"/>
      <c r="Q5" s="116" t="s">
        <v>200</v>
      </c>
      <c r="R5" s="116"/>
      <c r="T5" s="114" t="s">
        <v>203</v>
      </c>
      <c r="U5" s="114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/>
      <c r="L6" s="20" t="s">
        <v>194</v>
      </c>
      <c r="M6" s="89" t="s">
        <v>215</v>
      </c>
      <c r="N6" s="89"/>
      <c r="O6" s="90"/>
      <c r="Q6" s="20" t="s">
        <v>142</v>
      </c>
      <c r="R6" s="71"/>
      <c r="T6" s="20" t="s">
        <v>145</v>
      </c>
      <c r="U6" s="80"/>
      <c r="W6" s="117"/>
      <c r="Y6" s="95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/>
      <c r="G7" s="71"/>
      <c r="L7" s="20" t="s">
        <v>195</v>
      </c>
      <c r="M7" s="89" t="s">
        <v>215</v>
      </c>
      <c r="N7" s="89"/>
      <c r="O7" s="90"/>
      <c r="Q7" s="20"/>
      <c r="R7" s="1"/>
      <c r="T7" s="20" t="s">
        <v>201</v>
      </c>
      <c r="U7" s="91"/>
      <c r="W7" s="117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/>
      <c r="G8" s="71"/>
      <c r="L8" s="20"/>
      <c r="M8" s="36"/>
      <c r="N8" s="36"/>
      <c r="O8" s="36"/>
      <c r="T8" s="20" t="s">
        <v>180</v>
      </c>
      <c r="U8" s="75"/>
      <c r="W8" s="117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/>
      <c r="G9" s="80"/>
      <c r="L9" s="20"/>
      <c r="M9" s="37"/>
      <c r="N9" s="37"/>
      <c r="O9" s="37"/>
      <c r="T9" s="20" t="s">
        <v>206</v>
      </c>
      <c r="U9" s="70"/>
      <c r="W9" s="117"/>
    </row>
    <row r="10" spans="2:26" ht="17" x14ac:dyDescent="0.2">
      <c r="B10" s="8" t="s">
        <v>25</v>
      </c>
      <c r="C10" s="12">
        <v>255500</v>
      </c>
      <c r="E10" s="20" t="s">
        <v>177</v>
      </c>
      <c r="F10" s="74"/>
      <c r="G10" s="74"/>
      <c r="L10" s="20"/>
      <c r="M10" s="22"/>
      <c r="N10" s="22"/>
      <c r="O10" s="22"/>
      <c r="W10" s="117"/>
    </row>
    <row r="11" spans="2:26" ht="17" x14ac:dyDescent="0.2">
      <c r="B11" s="8" t="s">
        <v>25</v>
      </c>
      <c r="C11" s="12">
        <v>103500</v>
      </c>
      <c r="E11" s="20" t="s">
        <v>182</v>
      </c>
      <c r="F11" s="74"/>
      <c r="G11" s="74"/>
      <c r="L11" s="20"/>
      <c r="M11" s="22"/>
      <c r="N11" s="22"/>
      <c r="O11" s="22"/>
      <c r="W11" s="117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4" t="s">
        <v>228</v>
      </c>
      <c r="F5" s="114"/>
    </row>
    <row r="6" spans="2:6" x14ac:dyDescent="0.2">
      <c r="B6" s="51">
        <v>68.400000000000006</v>
      </c>
      <c r="C6" s="51">
        <v>90.2</v>
      </c>
      <c r="E6" s="20" t="s">
        <v>229</v>
      </c>
      <c r="F6" s="87"/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4" t="s">
        <v>231</v>
      </c>
      <c r="I5" s="114"/>
      <c r="J5" s="114"/>
      <c r="K5" s="114"/>
      <c r="L5" s="114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/>
      <c r="J7" s="87"/>
      <c r="K7" s="87"/>
      <c r="L7" s="87"/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4" t="s">
        <v>228</v>
      </c>
      <c r="F5" s="114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/>
      <c r="K6" s="20" t="s">
        <v>234</v>
      </c>
      <c r="L6" s="71"/>
      <c r="N6" s="99"/>
    </row>
    <row r="7" spans="2:14" x14ac:dyDescent="0.2">
      <c r="B7" s="8">
        <v>423</v>
      </c>
      <c r="C7" s="8">
        <v>410</v>
      </c>
      <c r="H7" s="20" t="s">
        <v>239</v>
      </c>
      <c r="I7" s="87"/>
      <c r="K7" s="20" t="s">
        <v>235</v>
      </c>
      <c r="L7" s="72"/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4" t="s">
        <v>228</v>
      </c>
      <c r="J5" s="114"/>
      <c r="K5" s="114"/>
      <c r="M5" s="114" t="s">
        <v>241</v>
      </c>
      <c r="N5" s="114"/>
      <c r="P5" s="114" t="s">
        <v>240</v>
      </c>
      <c r="Q5" s="114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238</v>
      </c>
      <c r="N6" s="75"/>
      <c r="P6" s="20" t="s">
        <v>314</v>
      </c>
      <c r="Q6" s="71"/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 s="87"/>
      <c r="K7" s="87"/>
      <c r="M7" s="20" t="s">
        <v>239</v>
      </c>
      <c r="N7" s="87"/>
      <c r="P7" s="20" t="s">
        <v>254</v>
      </c>
      <c r="Q7" s="72"/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5" ht="25.5" customHeight="1" x14ac:dyDescent="0.25">
      <c r="B1" s="18" t="s">
        <v>262</v>
      </c>
    </row>
    <row r="2" spans="2:15" ht="15" customHeight="1" x14ac:dyDescent="0.2">
      <c r="B2" s="30" t="s">
        <v>256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/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/>
    </row>
    <row r="8" spans="2:15" x14ac:dyDescent="0.2">
      <c r="B8" s="8">
        <v>101</v>
      </c>
      <c r="C8" s="8">
        <v>119</v>
      </c>
      <c r="N8" s="20" t="s">
        <v>250</v>
      </c>
      <c r="O8" s="87"/>
    </row>
    <row r="9" spans="2:15" x14ac:dyDescent="0.2">
      <c r="B9" s="8">
        <v>288</v>
      </c>
      <c r="C9" s="8">
        <v>334</v>
      </c>
    </row>
    <row r="10" spans="2:15" x14ac:dyDescent="0.2">
      <c r="B10" s="8">
        <v>248</v>
      </c>
      <c r="C10" s="8">
        <v>252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/>
    </row>
    <row r="10" spans="2:15" x14ac:dyDescent="0.2">
      <c r="B10" s="8">
        <v>248</v>
      </c>
      <c r="C10" s="8">
        <v>252</v>
      </c>
      <c r="N10" s="20" t="s">
        <v>145</v>
      </c>
      <c r="O10" s="75"/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/>
    </row>
    <row r="12" spans="2:15" x14ac:dyDescent="0.2">
      <c r="B12" s="8">
        <v>401</v>
      </c>
      <c r="C12" s="8">
        <v>462</v>
      </c>
      <c r="N12" s="58" t="s">
        <v>252</v>
      </c>
      <c r="O12" s="97"/>
    </row>
    <row r="13" spans="2:15" x14ac:dyDescent="0.2">
      <c r="B13" s="8">
        <v>287</v>
      </c>
      <c r="C13" s="8">
        <v>342</v>
      </c>
      <c r="N13" s="20" t="s">
        <v>251</v>
      </c>
      <c r="O13" s="75"/>
    </row>
    <row r="14" spans="2:15" x14ac:dyDescent="0.2">
      <c r="B14" s="8">
        <v>275</v>
      </c>
      <c r="C14" s="8">
        <v>347</v>
      </c>
      <c r="N14" s="20" t="s">
        <v>206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7"/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7"/>
    </row>
    <row r="8" spans="2:15" x14ac:dyDescent="0.2">
      <c r="B8" s="8">
        <v>70.2</v>
      </c>
      <c r="C8" s="51">
        <v>18</v>
      </c>
      <c r="N8" s="20" t="s">
        <v>250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7"/>
    </row>
    <row r="10" spans="2:15" x14ac:dyDescent="0.2">
      <c r="B10" s="8">
        <v>60.9</v>
      </c>
      <c r="C10" s="51">
        <v>4</v>
      </c>
      <c r="N10" s="20" t="s">
        <v>145</v>
      </c>
      <c r="O10" s="75"/>
    </row>
    <row r="11" spans="2:15" x14ac:dyDescent="0.2">
      <c r="B11" s="8">
        <v>74.5</v>
      </c>
      <c r="C11" s="51">
        <v>64</v>
      </c>
      <c r="N11" s="20" t="s">
        <v>142</v>
      </c>
      <c r="O11" s="71"/>
    </row>
    <row r="12" spans="2:15" x14ac:dyDescent="0.2">
      <c r="B12" s="8">
        <v>76.400000000000006</v>
      </c>
      <c r="C12" s="51">
        <v>61</v>
      </c>
      <c r="N12" s="58" t="s">
        <v>252</v>
      </c>
      <c r="O12" s="97"/>
    </row>
    <row r="13" spans="2:15" x14ac:dyDescent="0.2">
      <c r="B13" s="8">
        <v>82.6</v>
      </c>
      <c r="C13" s="51">
        <v>55</v>
      </c>
      <c r="N13" s="20" t="s">
        <v>251</v>
      </c>
      <c r="O13" s="75"/>
    </row>
    <row r="14" spans="2:15" x14ac:dyDescent="0.2">
      <c r="B14" s="8">
        <v>76.900000000000006</v>
      </c>
      <c r="C14" s="51">
        <v>72</v>
      </c>
      <c r="N14" s="20" t="s">
        <v>206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244</v>
      </c>
    </row>
    <row r="2" spans="2:12" ht="15" customHeight="1" x14ac:dyDescent="0.2">
      <c r="B2" s="30" t="s">
        <v>265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247</v>
      </c>
      <c r="L5" s="114"/>
    </row>
    <row r="6" spans="2:12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7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7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253</v>
      </c>
      <c r="L9" s="97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142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252</v>
      </c>
      <c r="L12" s="97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245</v>
      </c>
    </row>
    <row r="2" spans="2:4" ht="15" customHeight="1" x14ac:dyDescent="0.2">
      <c r="B2" s="30" t="s">
        <v>266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2023-03-02T19:25:32Z</dcterms:modified>
</cp:coreProperties>
</file>