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/Users/jorgesoto/Desktop/Maven_Analytics/Excel/ExcelDashboard_4 projects/"/>
    </mc:Choice>
  </mc:AlternateContent>
  <xr:revisionPtr revIDLastSave="0" documentId="13_ncr:1_{E46DA34D-E37E-2C4C-A9E6-D66FD0973BEB}" xr6:coauthVersionLast="47" xr6:coauthVersionMax="47" xr10:uidLastSave="{00000000-0000-0000-0000-000000000000}"/>
  <bookViews>
    <workbookView xWindow="0" yWindow="500" windowWidth="25720" windowHeight="20120" activeTab="2" xr2:uid="{EA944FB1-DE3F-40F9-BBAA-0980B1568DEE}"/>
  </bookViews>
  <sheets>
    <sheet name="Data" sheetId="16" r:id="rId1"/>
    <sheet name="Data Prep" sheetId="22" r:id="rId2"/>
    <sheet name="Dashboard" sheetId="23" r:id="rId3"/>
    <sheet name="New Data (Aug 2021)" sheetId="21" r:id="rId4"/>
    <sheet name="New Data (Sep 2021)" sheetId="18" r:id="rId5"/>
  </sheets>
  <definedNames>
    <definedName name="_xlnm._FilterDatabase" localSheetId="0" hidden="1">Data!$A$1:$J$4795</definedName>
    <definedName name="CurMonth">'Data Prep'!$B$9</definedName>
    <definedName name="CurYear">'Data Prep'!$B$8</definedName>
    <definedName name="PMYear">'Data Prep'!$B$12</definedName>
    <definedName name="PreMonth">'Data Prep'!$B$11</definedName>
    <definedName name="Pre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/>
  <c r="B10" i="22" s="1"/>
  <c r="I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I4" i="22" l="1"/>
  <c r="I11" i="22"/>
  <c r="I5" i="22"/>
  <c r="I12" i="22"/>
  <c r="I6" i="22"/>
  <c r="I13" i="22"/>
  <c r="I10" i="22"/>
  <c r="I7" i="22"/>
  <c r="I14" i="22"/>
  <c r="I9" i="22"/>
  <c r="I8" i="22"/>
  <c r="I3" i="22"/>
  <c r="B9" i="22"/>
  <c r="B13" i="22" s="1"/>
  <c r="F6" i="23" s="1"/>
  <c r="J2" i="22"/>
  <c r="N5" i="22" l="1"/>
  <c r="K4" i="22"/>
  <c r="K6" i="22"/>
  <c r="K12" i="22"/>
  <c r="K7" i="22"/>
  <c r="K13" i="22"/>
  <c r="K8" i="22"/>
  <c r="K14" i="22"/>
  <c r="K3" i="22"/>
  <c r="K5" i="22"/>
  <c r="AB24" i="22"/>
  <c r="AB7" i="22"/>
  <c r="AB17" i="22"/>
  <c r="AB27" i="22"/>
  <c r="AB22" i="22"/>
  <c r="AB30" i="22"/>
  <c r="AB13" i="22"/>
  <c r="AB8" i="22"/>
  <c r="AB23" i="22"/>
  <c r="AB33" i="22"/>
  <c r="AB28" i="22"/>
  <c r="AB36" i="22"/>
  <c r="AB19" i="22"/>
  <c r="AB14" i="22"/>
  <c r="AB3" i="22"/>
  <c r="AB34" i="22"/>
  <c r="AB6" i="22"/>
  <c r="AB25" i="22"/>
  <c r="AB20" i="22"/>
  <c r="AB9" i="22"/>
  <c r="AB11" i="22"/>
  <c r="AB4" i="22"/>
  <c r="AB12" i="22"/>
  <c r="AB5" i="22"/>
  <c r="AB31" i="22"/>
  <c r="AB26" i="22"/>
  <c r="AB15" i="22"/>
  <c r="AB10" i="22"/>
  <c r="AB29" i="22"/>
  <c r="AB18" i="22"/>
  <c r="AB35" i="22"/>
  <c r="AB32" i="22"/>
  <c r="AB21" i="22"/>
  <c r="AB16" i="22"/>
  <c r="N12" i="22"/>
  <c r="N10" i="22"/>
  <c r="N6" i="22"/>
  <c r="N3" i="22"/>
  <c r="N8" i="22"/>
  <c r="N7" i="22"/>
  <c r="N11" i="22"/>
  <c r="N9" i="22"/>
  <c r="N4" i="22"/>
  <c r="AY8" i="16"/>
  <c r="J4" i="22"/>
  <c r="J10" i="22"/>
  <c r="K10" i="22" s="1"/>
  <c r="J5" i="22"/>
  <c r="J11" i="22"/>
  <c r="K11" i="22" s="1"/>
  <c r="J12" i="22"/>
  <c r="J13" i="22"/>
  <c r="J14" i="22"/>
  <c r="J3" i="22"/>
  <c r="J6" i="22"/>
  <c r="J7" i="22"/>
  <c r="J8" i="22"/>
  <c r="J9" i="22"/>
  <c r="K9" i="22" s="1"/>
  <c r="AY6" i="16"/>
  <c r="AY44" i="16"/>
  <c r="AY12" i="16"/>
  <c r="AY36" i="16"/>
  <c r="AY34" i="16"/>
  <c r="AY22" i="16"/>
  <c r="AY16" i="16"/>
  <c r="AY29" i="16"/>
  <c r="AY43" i="16"/>
  <c r="AY26" i="16"/>
  <c r="AY3" i="16"/>
  <c r="AY45" i="16"/>
  <c r="AY47" i="16"/>
  <c r="AY31" i="16"/>
  <c r="AY35" i="16"/>
  <c r="AY15" i="16"/>
  <c r="AY48" i="16"/>
  <c r="AY7" i="16"/>
  <c r="AY14" i="16"/>
  <c r="AY37" i="16"/>
  <c r="AY23" i="16"/>
  <c r="AY18" i="16"/>
  <c r="AY17" i="16"/>
  <c r="AY10" i="16"/>
  <c r="AY27" i="16"/>
  <c r="AY38" i="16"/>
  <c r="AY19" i="16"/>
  <c r="AY39" i="16"/>
  <c r="AY20" i="16"/>
  <c r="AY28" i="16"/>
  <c r="AY46" i="16"/>
  <c r="AY40" i="16"/>
  <c r="AY50" i="16"/>
  <c r="AY49" i="16"/>
  <c r="AY25" i="16"/>
  <c r="AY11" i="16"/>
  <c r="AY51" i="16"/>
  <c r="AY9" i="16"/>
  <c r="AY13" i="16"/>
  <c r="AY32" i="16"/>
  <c r="AY41" i="16"/>
  <c r="AY4" i="16"/>
  <c r="AY33" i="16"/>
  <c r="AY42" i="16"/>
  <c r="AY21" i="16"/>
  <c r="AY30" i="16"/>
  <c r="AY24" i="16"/>
  <c r="AY52" i="16"/>
  <c r="AY5" i="16"/>
  <c r="B11" i="22"/>
  <c r="B12" i="22"/>
  <c r="E3" i="22"/>
  <c r="E2" i="22"/>
  <c r="AC4" i="22" l="1"/>
  <c r="AC14" i="22"/>
  <c r="AD14" i="22" s="1"/>
  <c r="AC25" i="22"/>
  <c r="AD25" i="22" s="1"/>
  <c r="AC30" i="22"/>
  <c r="AD30" i="22" s="1"/>
  <c r="AC27" i="22"/>
  <c r="AD27" i="22" s="1"/>
  <c r="AC35" i="22"/>
  <c r="AD35" i="22" s="1"/>
  <c r="AC16" i="22"/>
  <c r="AD16" i="22" s="1"/>
  <c r="AC8" i="22"/>
  <c r="AD8" i="22" s="1"/>
  <c r="AC19" i="22"/>
  <c r="AD19" i="22" s="1"/>
  <c r="AC24" i="22"/>
  <c r="AD24" i="22" s="1"/>
  <c r="AC29" i="22"/>
  <c r="AD29" i="22" s="1"/>
  <c r="AC10" i="22"/>
  <c r="AD10" i="22" s="1"/>
  <c r="AC9" i="22"/>
  <c r="AD9" i="22" s="1"/>
  <c r="AC13" i="22"/>
  <c r="AD13" i="22" s="1"/>
  <c r="AC18" i="22"/>
  <c r="AD18" i="22" s="1"/>
  <c r="AC23" i="22"/>
  <c r="AD23" i="22" s="1"/>
  <c r="AC33" i="22"/>
  <c r="AD33" i="22" s="1"/>
  <c r="AC32" i="22"/>
  <c r="AD32" i="22" s="1"/>
  <c r="AC15" i="22"/>
  <c r="AD15" i="22" s="1"/>
  <c r="AC7" i="22"/>
  <c r="AD7" i="22" s="1"/>
  <c r="AC12" i="22"/>
  <c r="AD12" i="22" s="1"/>
  <c r="AC17" i="22"/>
  <c r="AD17" i="22" s="1"/>
  <c r="AC34" i="22"/>
  <c r="AD34" i="22" s="1"/>
  <c r="AC26" i="22"/>
  <c r="AD26" i="22" s="1"/>
  <c r="AC3" i="22"/>
  <c r="AD3" i="22" s="1"/>
  <c r="AC6" i="22"/>
  <c r="AD6" i="22" s="1"/>
  <c r="AC11" i="22"/>
  <c r="AD11" i="22" s="1"/>
  <c r="AC28" i="22"/>
  <c r="AD28" i="22" s="1"/>
  <c r="AC20" i="22"/>
  <c r="AD20" i="22" s="1"/>
  <c r="AC31" i="22"/>
  <c r="AD31" i="22" s="1"/>
  <c r="AC21" i="22"/>
  <c r="AD21" i="22" s="1"/>
  <c r="AC36" i="22"/>
  <c r="AD36" i="22" s="1"/>
  <c r="AC5" i="22"/>
  <c r="AD5" i="22" s="1"/>
  <c r="AC22" i="22"/>
  <c r="AD22" i="22" s="1"/>
  <c r="AD4" i="22"/>
  <c r="Q4" i="22"/>
  <c r="Q8" i="22"/>
  <c r="Q3" i="22"/>
  <c r="Q6" i="22"/>
  <c r="Q9" i="22"/>
  <c r="Q10" i="22"/>
  <c r="Q11" i="22"/>
  <c r="Q12" i="22"/>
  <c r="Q7" i="22"/>
  <c r="Q5" i="22"/>
  <c r="O3" i="22"/>
  <c r="P3" i="22" s="1"/>
  <c r="O7" i="22"/>
  <c r="P7" i="22" s="1"/>
  <c r="O9" i="22"/>
  <c r="P9" i="22" s="1"/>
  <c r="O5" i="22"/>
  <c r="P5" i="22" s="1"/>
  <c r="O6" i="22"/>
  <c r="P6" i="22" s="1"/>
  <c r="O8" i="22"/>
  <c r="P8" i="22" s="1"/>
  <c r="O11" i="22"/>
  <c r="P11" i="22" s="1"/>
  <c r="O4" i="22"/>
  <c r="P4" i="22" s="1"/>
  <c r="O12" i="22"/>
  <c r="P12" i="22" s="1"/>
  <c r="O10" i="22"/>
  <c r="P10" i="22" s="1"/>
  <c r="E5" i="22"/>
  <c r="E4" i="22"/>
  <c r="E6" i="22" s="1"/>
  <c r="AF20" i="22" l="1"/>
  <c r="AF35" i="22"/>
  <c r="AE35" i="22"/>
  <c r="AE22" i="22"/>
  <c r="AF5" i="22"/>
  <c r="AE5" i="22"/>
  <c r="AF26" i="22"/>
  <c r="AE36" i="22"/>
  <c r="AF31" i="22"/>
  <c r="AE31" i="22"/>
  <c r="AE23" i="22"/>
  <c r="AF23" i="22"/>
  <c r="AE32" i="22"/>
  <c r="AE21" i="22"/>
  <c r="AF21" i="22"/>
  <c r="AE17" i="22"/>
  <c r="AE15" i="22"/>
  <c r="AF9" i="22"/>
  <c r="AE9" i="22"/>
  <c r="AE14" i="22"/>
  <c r="AF12" i="22"/>
  <c r="AE10" i="22"/>
  <c r="AF27" i="22"/>
  <c r="AF17" i="22"/>
  <c r="AE33" i="22"/>
  <c r="AF24" i="22"/>
  <c r="AF19" i="22"/>
  <c r="AF25" i="22"/>
  <c r="AF11" i="22"/>
  <c r="AE20" i="22"/>
  <c r="AE30" i="22"/>
  <c r="AF3" i="22"/>
  <c r="AF29" i="22"/>
  <c r="AF15" i="22"/>
  <c r="AE18" i="22"/>
  <c r="AF16" i="22"/>
  <c r="AE25" i="22"/>
  <c r="AF8" i="22"/>
  <c r="AE28" i="22"/>
  <c r="AE8" i="22"/>
  <c r="AE6" i="22"/>
  <c r="AF4" i="22"/>
  <c r="AF13" i="22"/>
  <c r="AE26" i="22"/>
  <c r="AF34" i="22"/>
  <c r="AE3" i="22"/>
  <c r="AE12" i="22"/>
  <c r="AF33" i="22"/>
  <c r="AF7" i="22"/>
  <c r="AE27" i="22"/>
  <c r="AE11" i="22"/>
  <c r="AF30" i="22"/>
  <c r="AF32" i="22"/>
  <c r="AE24" i="22"/>
  <c r="AF18" i="22"/>
  <c r="AF14" i="22"/>
  <c r="AF10" i="22"/>
  <c r="AE19" i="22"/>
  <c r="AF6" i="22"/>
  <c r="AE7" i="22"/>
  <c r="AF28" i="22"/>
  <c r="AE13" i="22"/>
  <c r="AE4" i="22"/>
  <c r="AE16" i="22"/>
  <c r="AE29" i="22"/>
  <c r="AF22" i="22"/>
  <c r="AE34" i="22"/>
  <c r="AF36" i="22"/>
  <c r="V3" i="22"/>
  <c r="V6" i="22"/>
  <c r="V9" i="22"/>
  <c r="V12" i="22"/>
  <c r="T8" i="22"/>
  <c r="U8" i="22" s="1"/>
  <c r="W3" i="22"/>
  <c r="W6" i="22"/>
  <c r="W9" i="22"/>
  <c r="W12" i="22"/>
  <c r="T9" i="22"/>
  <c r="U9" i="22" s="1"/>
  <c r="V4" i="22"/>
  <c r="V7" i="22"/>
  <c r="V10" i="22"/>
  <c r="T4" i="22"/>
  <c r="U4" i="22" s="1"/>
  <c r="T10" i="22"/>
  <c r="U10" i="22" s="1"/>
  <c r="W4" i="22"/>
  <c r="W7" i="22"/>
  <c r="W10" i="22"/>
  <c r="T5" i="22"/>
  <c r="U5" i="22" s="1"/>
  <c r="T11" i="22"/>
  <c r="U11" i="22" s="1"/>
  <c r="V5" i="22"/>
  <c r="V8" i="22"/>
  <c r="V11" i="22"/>
  <c r="T6" i="22"/>
  <c r="U6" i="22" s="1"/>
  <c r="T12" i="22"/>
  <c r="U12" i="22" s="1"/>
  <c r="W5" i="22"/>
  <c r="W8" i="22"/>
  <c r="W11" i="22"/>
  <c r="T7" i="22"/>
  <c r="U7" i="22" s="1"/>
  <c r="T3" i="22"/>
  <c r="U3" i="22" s="1"/>
  <c r="AI5" i="22" l="1"/>
  <c r="N15" i="23" s="1"/>
  <c r="AI13" i="22"/>
  <c r="N25" i="23" s="1"/>
  <c r="Y9" i="22"/>
  <c r="X9" i="22"/>
  <c r="X10" i="22"/>
  <c r="Y10" i="22"/>
  <c r="X11" i="22"/>
  <c r="Y11" i="22"/>
  <c r="Y12" i="22"/>
  <c r="X12" i="22"/>
  <c r="Y6" i="22"/>
  <c r="X6" i="22"/>
  <c r="X4" i="22"/>
  <c r="Y4" i="22"/>
  <c r="Y5" i="22"/>
  <c r="X5" i="22"/>
  <c r="X3" i="22"/>
  <c r="Y3" i="22"/>
  <c r="Y7" i="22"/>
  <c r="X7" i="22"/>
  <c r="X8" i="22"/>
  <c r="Y8" i="22"/>
  <c r="AJ13" i="22"/>
  <c r="O25" i="23" s="1"/>
  <c r="AI6" i="22"/>
  <c r="N16" i="23" s="1"/>
  <c r="AJ3" i="22"/>
  <c r="O13" i="23" s="1"/>
  <c r="AI12" i="22"/>
  <c r="N24" i="23" s="1"/>
  <c r="AK13" i="22"/>
  <c r="P25" i="23" s="1"/>
  <c r="AJ11" i="22"/>
  <c r="O23" i="23" s="1"/>
  <c r="AJ15" i="22"/>
  <c r="O27" i="23" s="1"/>
  <c r="AK4" i="22"/>
  <c r="P14" i="23" s="1"/>
  <c r="AJ6" i="22"/>
  <c r="O16" i="23" s="1"/>
  <c r="AK3" i="22"/>
  <c r="P13" i="23" s="1"/>
  <c r="AK15" i="22"/>
  <c r="P27" i="23" s="1"/>
  <c r="AK14" i="22"/>
  <c r="P26" i="23" s="1"/>
  <c r="AK7" i="22"/>
  <c r="P17" i="23" s="1"/>
  <c r="AJ5" i="22"/>
  <c r="O15" i="23" s="1"/>
  <c r="AI11" i="22"/>
  <c r="N23" i="23" s="1"/>
  <c r="AJ12" i="22"/>
  <c r="O24" i="23" s="1"/>
  <c r="AI7" i="22"/>
  <c r="N17" i="23" s="1"/>
  <c r="AI4" i="22"/>
  <c r="N14" i="23" s="1"/>
  <c r="AK11" i="22"/>
  <c r="P23" i="23" s="1"/>
  <c r="AI3" i="22"/>
  <c r="N13" i="23" s="1"/>
  <c r="AI14" i="22"/>
  <c r="N26" i="23" s="1"/>
  <c r="AJ4" i="22"/>
  <c r="O14" i="23" s="1"/>
  <c r="AI15" i="22"/>
  <c r="N27" i="23" s="1"/>
  <c r="AK12" i="22"/>
  <c r="P24" i="23" s="1"/>
  <c r="AJ14" i="22"/>
  <c r="O26" i="23" s="1"/>
  <c r="AJ7" i="22"/>
  <c r="O17" i="23" s="1"/>
  <c r="AK6" i="22"/>
  <c r="P16" i="23" s="1"/>
  <c r="AK5" i="22"/>
  <c r="P15" i="23" s="1"/>
  <c r="P18" i="23" l="1"/>
  <c r="P28" i="23"/>
</calcChain>
</file>

<file path=xl/sharedStrings.xml><?xml version="1.0" encoding="utf-8"?>
<sst xmlns="http://schemas.openxmlformats.org/spreadsheetml/2006/main" count="26863" uniqueCount="128">
  <si>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</si>
  <si>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</si>
  <si>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</si>
  <si>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</si>
  <si>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</si>
  <si>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</si>
  <si>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</si>
  <si>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</si>
  <si>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</si>
  <si>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</si>
  <si>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</si>
  <si>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</si>
  <si>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</si>
  <si>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</si>
  <si>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</si>
  <si>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</si>
  <si>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</si>
  <si>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</si>
  <si>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</si>
  <si>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</si>
  <si>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</si>
  <si>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</si>
  <si>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</si>
  <si>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</si>
  <si>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</si>
  <si>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</si>
  <si>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</si>
  <si>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</si>
  <si>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</si>
  <si>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</si>
  <si>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</si>
  <si>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</si>
  <si>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</si>
  <si>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</si>
  <si>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</si>
  <si>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</si>
  <si>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</si>
  <si>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</si>
  <si>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</si>
  <si>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</si>
  <si>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</si>
  <si>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</si>
  <si>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</si>
  <si>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</si>
  <si>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</si>
  <si>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</si>
  <si>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</si>
  <si>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</si>
  <si>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</si>
  <si>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</si>
  <si>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</si>
  <si>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</si>
  <si>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</si>
  <si>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</si>
  <si>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</si>
  <si>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</si>
  <si>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</si>
  <si>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</si>
  <si>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</si>
  <si>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</si>
  <si>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</si>
  <si>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</si>
  <si>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</si>
  <si>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</si>
  <si>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</si>
  <si>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</si>
  <si>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</si>
  <si>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</si>
  <si>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</si>
  <si>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</si>
  <si>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</si>
  <si>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</si>
  <si>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</si>
  <si>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</si>
  <si>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</si>
  <si>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</si>
  <si>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</si>
  <si>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</si>
  <si>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</si>
  <si>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</si>
  <si>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</si>
  <si>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</si>
  <si>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KPIs</t>
  </si>
  <si>
    <t>Total Revenue:</t>
  </si>
  <si>
    <t>PY Revenue:</t>
  </si>
  <si>
    <t>PM Revenue:</t>
  </si>
  <si>
    <t>PM Year:</t>
  </si>
  <si>
    <t>Yoy % Δ:</t>
  </si>
  <si>
    <t>Mom % Δ:</t>
  </si>
  <si>
    <t>REVENUE TREND</t>
  </si>
  <si>
    <t>Month #</t>
  </si>
  <si>
    <t>J</t>
  </si>
  <si>
    <t>F</t>
  </si>
  <si>
    <t>M</t>
  </si>
  <si>
    <t>A</t>
  </si>
  <si>
    <t>S</t>
  </si>
  <si>
    <t>O</t>
  </si>
  <si>
    <t>N</t>
  </si>
  <si>
    <t>D</t>
  </si>
  <si>
    <t>STORE PERFORMANCE</t>
  </si>
  <si>
    <t>PM Revenue</t>
  </si>
  <si>
    <t>Mom % Δ</t>
  </si>
  <si>
    <t>Raank</t>
  </si>
  <si>
    <t>STORE PERFORMANCE(SORTED)</t>
  </si>
  <si>
    <t>Rank</t>
  </si>
  <si>
    <t>PRODUCT PERFORMANCE</t>
  </si>
  <si>
    <t>Product</t>
  </si>
  <si>
    <t>Rank (+)</t>
  </si>
  <si>
    <t>Rank (-)</t>
  </si>
  <si>
    <t>TOP PERFORMING PRODUCTS</t>
  </si>
  <si>
    <t>BOTTOM PERFORMING PRODUCTS</t>
  </si>
  <si>
    <t>Mom Revenue Δ</t>
  </si>
  <si>
    <t>Current Period:</t>
  </si>
  <si>
    <t>Month#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</si>
  <si>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</si>
  <si>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</si>
  <si>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</si>
  <si>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</si>
  <si>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</si>
  <si>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</si>
  <si>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</si>
  <si>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</si>
  <si>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</si>
  <si>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</si>
  <si>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</si>
  <si>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</si>
  <si>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</si>
  <si>
    <t>How 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</si>
</sst>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12"/>
      <color theme="9" tint="0.3999755851924192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Continuous"/>
    </xf>
    <xf numFmtId="0" fontId="1" fillId="8" borderId="0" xfId="0" applyFont="1" applyFill="1" applyAlignment="1">
      <alignment horizontal="right"/>
    </xf>
    <xf numFmtId="164" fontId="0" fillId="8" borderId="0" xfId="0" applyNumberFormat="1" applyFill="1" applyAlignment="1">
      <alignment horizontal="left"/>
    </xf>
    <xf numFmtId="0" fontId="1" fillId="9" borderId="0" xfId="0" applyFont="1" applyFill="1"/>
    <xf numFmtId="9" fontId="0" fillId="0" borderId="0" xfId="0" applyNumberFormat="1"/>
    <xf numFmtId="0" fontId="6" fillId="0" borderId="0" xfId="0" applyFont="1"/>
    <xf numFmtId="166" fontId="6" fillId="0" borderId="0" xfId="1" applyNumberFormat="1" applyFont="1" applyFill="1" applyAlignment="1">
      <alignment horizontal="righ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8" fillId="10" borderId="0" xfId="0" applyFont="1" applyFill="1" applyAlignment="1">
      <alignment horizontal="center" vertical="center"/>
    </xf>
    <xf numFmtId="166" fontId="9" fillId="0" borderId="2" xfId="0" applyNumberFormat="1" applyFont="1" applyBorder="1"/>
    <xf numFmtId="166" fontId="10" fillId="0" borderId="2" xfId="0" applyNumberFormat="1" applyFont="1" applyBorder="1"/>
    <xf numFmtId="165" fontId="11" fillId="8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5" fillId="0" borderId="0" xfId="0" applyFont="1" applyAlignment="1">
      <alignment vertical="center"/>
    </xf>
    <xf numFmtId="0" fontId="8" fillId="0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5">
    <dxf>
      <font>
        <color theme="9" tint="-0.499984740745262"/>
      </font>
    </dxf>
    <dxf>
      <font>
        <color rgb="FFFF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31544.950000000004</c:v>
                </c:pt>
                <c:pt idx="1">
                  <c:v>31002.100000000009</c:v>
                </c:pt>
                <c:pt idx="2">
                  <c:v>40942.11</c:v>
                </c:pt>
                <c:pt idx="3">
                  <c:v>51274.420000000006</c:v>
                </c:pt>
                <c:pt idx="4">
                  <c:v>39052.43</c:v>
                </c:pt>
                <c:pt idx="5">
                  <c:v>47915.380000000005</c:v>
                </c:pt>
                <c:pt idx="6">
                  <c:v>41568.47</c:v>
                </c:pt>
                <c:pt idx="7">
                  <c:v>30149.900000000009</c:v>
                </c:pt>
                <c:pt idx="8">
                  <c:v>34844.409999999982</c:v>
                </c:pt>
                <c:pt idx="9">
                  <c:v>36809.12000000001</c:v>
                </c:pt>
                <c:pt idx="10">
                  <c:v>42365.650000000009</c:v>
                </c:pt>
                <c:pt idx="11">
                  <c:v>48216.44999999999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392-2B40-8B23-46C2DCE7E677}"/>
            </c:ext>
          </c:extLst>
        </c:ser>
        <c:ser>
          <c:idx val="1"/>
          <c:order val="1"/>
          <c:tx>
            <c:v>2021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45431.029999999984</c:v>
                </c:pt>
                <c:pt idx="1">
                  <c:v>42456.219999999987</c:v>
                </c:pt>
                <c:pt idx="2">
                  <c:v>58945.410000000011</c:v>
                </c:pt>
                <c:pt idx="3">
                  <c:v>66317.759999999995</c:v>
                </c:pt>
                <c:pt idx="4">
                  <c:v>63906.600000000006</c:v>
                </c:pt>
                <c:pt idx="5">
                  <c:v>61649.439999999981</c:v>
                </c:pt>
                <c:pt idx="6">
                  <c:v>69037.8</c:v>
                </c:pt>
                <c:pt idx="7">
                  <c:v>49838.54</c:v>
                </c:pt>
                <c:pt idx="8">
                  <c:v>50618.369999999995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392-2B40-8B23-46C2DCE7E677}"/>
            </c:ext>
          </c:extLst>
        </c:ser>
        <c:ser>
          <c:idx val="2"/>
          <c:order val="2"/>
          <c:tx>
            <c:v>Selection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50618.369999999995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F-A947-AA51-AE66981F5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239600"/>
        <c:axId val="354277296"/>
      </c:lineChart>
      <c:catAx>
        <c:axId val="35423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15304931809407521"/>
              <c:y val="0.8901741203918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77296"/>
        <c:crosses val="autoZero"/>
        <c:auto val="1"/>
        <c:lblAlgn val="ctr"/>
        <c:lblOffset val="100"/>
        <c:noMultiLvlLbl val="0"/>
      </c:catAx>
      <c:valAx>
        <c:axId val="354277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Revenue</a:t>
                </a:r>
              </a:p>
            </c:rich>
          </c:tx>
          <c:layout>
            <c:manualLayout>
              <c:xMode val="edge"/>
              <c:yMode val="edge"/>
              <c:x val="1.8244013683010263E-2"/>
              <c:y val="4.0777108743759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3960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2-C146-9CAD-0D9A9922BB6E}"/>
            </c:ext>
          </c:extLst>
        </c:ser>
        <c:ser>
          <c:idx val="1"/>
          <c:order val="1"/>
          <c:tx>
            <c:strRef>
              <c:f>'Data Prep'!$X$2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"$"#,##0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13879.13</c:v>
                </c:pt>
                <c:pt idx="3">
                  <c:v>0</c:v>
                </c:pt>
                <c:pt idx="4">
                  <c:v>16255.230000000001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9-AA40-BD69-29F2B0D04ED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100"/>
        <c:axId val="2139028287"/>
        <c:axId val="2139046639"/>
      </c:barChart>
      <c:catAx>
        <c:axId val="213902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46639"/>
        <c:crosses val="autoZero"/>
        <c:auto val="1"/>
        <c:lblAlgn val="ctr"/>
        <c:lblOffset val="100"/>
        <c:noMultiLvlLbl val="0"/>
      </c:catAx>
      <c:valAx>
        <c:axId val="213904663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Revenue</a:t>
                </a:r>
              </a:p>
            </c:rich>
          </c:tx>
          <c:layout>
            <c:manualLayout>
              <c:xMode val="edge"/>
              <c:yMode val="edge"/>
              <c:x val="0.20827340332458444"/>
              <c:y val="0.93496671105193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21390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Prep'!$R$3:$R$12</c:f>
              <c:strCache>
                <c:ptCount val="10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4-794D-AFC6-EF18D7F36553}"/>
            </c:ext>
          </c:extLst>
        </c:ser>
        <c:ser>
          <c:idx val="1"/>
          <c:order val="1"/>
          <c:spPr>
            <a:solidFill>
              <a:srgbClr val="A9D18E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Prep'!$Y$3:$Y$12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5.7257752439920262E-2</c:v>
                </c:pt>
                <c:pt idx="3">
                  <c:v>0</c:v>
                </c:pt>
                <c:pt idx="4">
                  <c:v>-0.13607835613264074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0.14465033810308014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977-CA43-8D9C-B925FEB1DC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100"/>
        <c:axId val="2139028287"/>
        <c:axId val="2139046639"/>
      </c:barChart>
      <c:catAx>
        <c:axId val="2139028287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46639"/>
        <c:crosses val="autoZero"/>
        <c:auto val="1"/>
        <c:lblAlgn val="ctr"/>
        <c:lblOffset val="100"/>
        <c:noMultiLvlLbl val="0"/>
      </c:catAx>
      <c:valAx>
        <c:axId val="213904663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solidFill>
                      <a:schemeClr val="tx1"/>
                    </a:solidFill>
                    <a:effectLst/>
                  </a:rPr>
                  <a:t>Mom % </a:t>
                </a:r>
                <a:r>
                  <a:rPr lang="el-GR" sz="1100" b="0" i="0" u="none" strike="noStrike" baseline="0">
                    <a:solidFill>
                      <a:schemeClr val="tx1"/>
                    </a:solidFill>
                    <a:effectLst/>
                  </a:rPr>
                  <a:t>Δ</a:t>
                </a:r>
                <a:r>
                  <a:rPr lang="el-GR" sz="1100" b="0" i="0" u="none" strike="noStrike" baseline="0">
                    <a:solidFill>
                      <a:schemeClr val="tx1"/>
                    </a:solidFill>
                  </a:rPr>
                  <a:t> </a:t>
                </a:r>
                <a:endParaRPr lang="en-US" sz="11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21390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0</xdr:row>
      <xdr:rowOff>50800</xdr:rowOff>
    </xdr:from>
    <xdr:to>
      <xdr:col>11</xdr:col>
      <xdr:colOff>292100</xdr:colOff>
      <xdr:row>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816C18-C931-7573-7328-CFE2D3B041BE}"/>
            </a:ext>
          </a:extLst>
        </xdr:cNvPr>
        <xdr:cNvSpPr txBox="1"/>
      </xdr:nvSpPr>
      <xdr:spPr>
        <a:xfrm>
          <a:off x="368300" y="50800"/>
          <a:ext cx="9004300" cy="749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800">
              <a:solidFill>
                <a:schemeClr val="tx1">
                  <a:lumMod val="75000"/>
                  <a:lumOff val="25000"/>
                </a:schemeClr>
              </a:solidFill>
            </a:rPr>
            <a:t>REGIONAL</a:t>
          </a:r>
          <a:r>
            <a:rPr lang="en-US" sz="4800" baseline="0">
              <a:solidFill>
                <a:schemeClr val="tx1">
                  <a:lumMod val="75000"/>
                  <a:lumOff val="25000"/>
                </a:schemeClr>
              </a:solidFill>
            </a:rPr>
            <a:t> REVENUE DASHBOARD</a:t>
          </a:r>
          <a:endParaRPr lang="en-US" sz="4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406400</xdr:colOff>
      <xdr:row>7</xdr:row>
      <xdr:rowOff>38100</xdr:rowOff>
    </xdr:from>
    <xdr:to>
      <xdr:col>15</xdr:col>
      <xdr:colOff>1219200</xdr:colOff>
      <xdr:row>7</xdr:row>
      <xdr:rowOff>38100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937EAE3-2667-F574-2676-01DCD2B66F28}"/>
            </a:ext>
          </a:extLst>
        </xdr:cNvPr>
        <xdr:cNvCxnSpPr/>
      </xdr:nvCxnSpPr>
      <xdr:spPr>
        <a:xfrm>
          <a:off x="406400" y="1574800"/>
          <a:ext cx="1440180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184150</xdr:colOff>
      <xdr:row>8</xdr:row>
      <xdr:rowOff>127000</xdr:rowOff>
    </xdr:from>
    <xdr:to>
      <xdr:col>3</xdr:col>
      <xdr:colOff>342900</xdr:colOff>
      <xdr:row>10</xdr:row>
      <xdr:rowOff>177800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2F6F9C-C4F3-033C-772A-D2539CA38980}"/>
            </a:ext>
          </a:extLst>
        </xdr:cNvPr>
        <xdr:cNvSpPr txBox="1"/>
      </xdr:nvSpPr>
      <xdr:spPr>
        <a:xfrm>
          <a:off x="184150" y="1854200"/>
          <a:ext cx="3409950" cy="431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tx1"/>
              </a:solidFill>
            </a:rPr>
            <a:t>This was the</a:t>
          </a:r>
          <a:r>
            <a:rPr lang="en-US" sz="1600" b="1" baseline="0">
              <a:solidFill>
                <a:schemeClr val="tx1"/>
              </a:solidFill>
            </a:rPr>
            <a:t> </a:t>
          </a:r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US" sz="1600" b="1" baseline="0">
              <a:solidFill>
                <a:schemeClr val="tx1"/>
              </a:solidFill>
            </a:rPr>
            <a:t> we drove in...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283527</xdr:colOff>
      <xdr:row>15</xdr:row>
      <xdr:rowOff>12700</xdr:rowOff>
    </xdr:from>
    <xdr:to>
      <xdr:col>2</xdr:col>
      <xdr:colOff>4127</xdr:colOff>
      <xdr:row>16</xdr:row>
      <xdr:rowOff>25400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D64B875-D640-0E20-6B5E-82A7DF82A2EF}"/>
            </a:ext>
          </a:extLst>
        </xdr:cNvPr>
        <xdr:cNvSpPr txBox="1"/>
      </xdr:nvSpPr>
      <xdr:spPr>
        <a:xfrm>
          <a:off x="283527" y="3657600"/>
          <a:ext cx="1231900" cy="393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vs. Last Month</a:t>
          </a:r>
          <a:endParaRPr lang="en-US" sz="1600" b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292102</xdr:colOff>
      <xdr:row>15</xdr:row>
      <xdr:rowOff>0</xdr:rowOff>
    </xdr:from>
    <xdr:to>
      <xdr:col>2</xdr:col>
      <xdr:colOff>1524002</xdr:colOff>
      <xdr:row>15</xdr:row>
      <xdr:rowOff>368300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5C8C38C-7415-A6B3-A6A1-7AD0B559B686}"/>
            </a:ext>
          </a:extLst>
        </xdr:cNvPr>
        <xdr:cNvSpPr txBox="1"/>
      </xdr:nvSpPr>
      <xdr:spPr>
        <a:xfrm>
          <a:off x="1803402" y="3644900"/>
          <a:ext cx="1231900" cy="368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vs.</a:t>
          </a:r>
          <a:r>
            <a:rPr lang="en-US" sz="12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Last Year</a:t>
          </a:r>
          <a:endParaRPr lang="en-US" sz="1600" b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5</xdr:col>
      <xdr:colOff>101600</xdr:colOff>
      <xdr:row>8</xdr:row>
      <xdr:rowOff>139700</xdr:rowOff>
    </xdr:from>
    <xdr:to>
      <xdr:col>11</xdr:col>
      <xdr:colOff>317500</xdr:colOff>
      <xdr:row>10</xdr:row>
      <xdr:rowOff>127000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A5F30C5-0EDC-9311-BCEF-18BCB2FA6F4F}"/>
            </a:ext>
          </a:extLst>
        </xdr:cNvPr>
        <xdr:cNvSpPr txBox="1"/>
      </xdr:nvSpPr>
      <xdr:spPr>
        <a:xfrm>
          <a:off x="4749800" y="1866900"/>
          <a:ext cx="5168900" cy="368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is how </a:t>
          </a:r>
          <a:r>
            <a:rPr lang="en-US" sz="16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our store </a:t>
          </a:r>
          <a:r>
            <a:rPr lang="en-US" sz="16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rank compared to </a:t>
          </a:r>
          <a:r>
            <a:rPr lang="en-US" sz="1600" b="1" i="0" u="none" strike="noStrike">
              <a:solidFill>
                <a:schemeClr val="accent3"/>
              </a:solidFill>
              <a:effectLst/>
              <a:latin typeface="+mn-lt"/>
              <a:ea typeface="+mn-ea"/>
              <a:cs typeface="+mn-cs"/>
            </a:rPr>
            <a:t>other regions</a:t>
          </a:r>
          <a:endParaRPr lang="en-US" sz="20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0</xdr:col>
      <xdr:colOff>95250</xdr:colOff>
      <xdr:row>16</xdr:row>
      <xdr:rowOff>279400</xdr:rowOff>
    </xdr:from>
    <xdr:to>
      <xdr:col>4</xdr:col>
      <xdr:colOff>12700</xdr:colOff>
      <xdr:row>18</xdr:row>
      <xdr:rowOff>63500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492BFB8-F188-7FD2-4050-26DA541D9017}"/>
            </a:ext>
          </a:extLst>
        </xdr:cNvPr>
        <xdr:cNvSpPr txBox="1"/>
      </xdr:nvSpPr>
      <xdr:spPr>
        <a:xfrm>
          <a:off x="95250" y="4305300"/>
          <a:ext cx="3994150" cy="368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...and the revenuw trend in </a:t>
          </a:r>
          <a:r>
            <a:rPr lang="en-US" sz="1600" b="1" i="0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2021</a:t>
          </a:r>
          <a:r>
            <a:rPr lang="en-US" sz="16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vs </a:t>
          </a:r>
          <a:r>
            <a:rPr lang="en-US" sz="1600" b="1" i="0" u="none" strike="noStrike">
              <a:solidFill>
                <a:schemeClr val="accent3"/>
              </a:solidFill>
              <a:effectLst/>
              <a:latin typeface="+mn-lt"/>
              <a:ea typeface="+mn-ea"/>
              <a:cs typeface="+mn-cs"/>
            </a:rPr>
            <a:t>2020</a:t>
          </a:r>
          <a:endParaRPr lang="en-US" sz="20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12</xdr:col>
      <xdr:colOff>927100</xdr:colOff>
      <xdr:row>8</xdr:row>
      <xdr:rowOff>63500</xdr:rowOff>
    </xdr:from>
    <xdr:to>
      <xdr:col>15</xdr:col>
      <xdr:colOff>1117600</xdr:colOff>
      <xdr:row>10</xdr:row>
      <xdr:rowOff>50800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41AEAAC-0D12-33AB-6CA1-773A50F27434}"/>
            </a:ext>
          </a:extLst>
        </xdr:cNvPr>
        <xdr:cNvSpPr txBox="1"/>
      </xdr:nvSpPr>
      <xdr:spPr>
        <a:xfrm>
          <a:off x="11353800" y="1790700"/>
          <a:ext cx="3479800" cy="368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Where these products </a:t>
          </a:r>
          <a:r>
            <a:rPr lang="en-US" sz="1600" b="1" i="0" u="none" strike="noStrike">
              <a:solidFill>
                <a:schemeClr val="accent6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drove</a:t>
          </a:r>
          <a:r>
            <a:rPr lang="en-US" sz="1600" b="1" i="0" u="none" strike="noStrike" baseline="0">
              <a:solidFill>
                <a:schemeClr val="accent6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 growth...</a:t>
          </a:r>
          <a:endParaRPr lang="en-US" sz="2000" b="1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12</xdr:col>
      <xdr:colOff>806450</xdr:colOff>
      <xdr:row>18</xdr:row>
      <xdr:rowOff>165100</xdr:rowOff>
    </xdr:from>
    <xdr:to>
      <xdr:col>16</xdr:col>
      <xdr:colOff>69850</xdr:colOff>
      <xdr:row>20</xdr:row>
      <xdr:rowOff>152400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954E452-0882-F810-8FAB-BE8DA0AC7DB1}"/>
            </a:ext>
          </a:extLst>
        </xdr:cNvPr>
        <xdr:cNvSpPr txBox="1"/>
      </xdr:nvSpPr>
      <xdr:spPr>
        <a:xfrm>
          <a:off x="11296650" y="4775200"/>
          <a:ext cx="3594100" cy="393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...and these products </a:t>
          </a:r>
          <a:r>
            <a:rPr lang="en-US" sz="16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caused losses</a:t>
          </a:r>
          <a:endParaRPr lang="en-US" sz="2000" b="1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0</xdr:col>
      <xdr:colOff>650875</xdr:colOff>
      <xdr:row>10</xdr:row>
      <xdr:rowOff>63500</xdr:rowOff>
    </xdr:from>
    <xdr:to>
      <xdr:col>2</xdr:col>
      <xdr:colOff>1616075</xdr:colOff>
      <xdr:row>13</xdr:row>
      <xdr:rowOff>266700</xdr:rowOff>
    </xdr:to>
    <xdr:sp macro="" textlink="'Data Prep'!E2">
      <xdr:nvSpPr>
        <xdr:cNvPr id="12" name="TextBox 11">
          <a:extLst>
            <a:ext uri="{FF2B5EF4-FFF2-40B4-BE49-F238E27FC236}">
              <a16:creationId xmlns:a16="http://schemas.microsoft.com/office/drawing/2014/main" id="{1FE5E208-7E0E-2A4A-A59F-CEB3397FB3F1}"/>
            </a:ext>
          </a:extLst>
        </xdr:cNvPr>
        <xdr:cNvSpPr txBox="1"/>
      </xdr:nvSpPr>
      <xdr:spPr>
        <a:xfrm>
          <a:off x="650875" y="2171700"/>
          <a:ext cx="2476500" cy="977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B39E53A-5E94-8E4B-B528-5952A1BE9A19}" type="TxLink">
            <a:rPr lang="en-US" sz="48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$50,618</a:t>
          </a:fld>
          <a:endParaRPr lang="en-US" sz="115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114303</xdr:colOff>
          <xdr:row>13</xdr:row>
          <xdr:rowOff>304800</xdr:rowOff>
        </xdr:from>
        <xdr:to>
          <xdr:col>2</xdr:col>
          <xdr:colOff>1701801</xdr:colOff>
          <xdr:row>14</xdr:row>
          <xdr:rowOff>335280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D8BBD8E9-F544-0742-8EA9-5CE6C9C80FA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5" spid="_x0000_s874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25603" y="3187700"/>
              <a:ext cx="1587498" cy="411480"/>
            </a:xfrm>
            <a:prstGeom prst="rect">
              <a:avLst/>
            </a:prstGeom>
            <a:noFill/>
            <a:ln>
              <a:noFill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13</xdr:row>
          <xdr:rowOff>317500</xdr:rowOff>
        </xdr:from>
        <xdr:to>
          <xdr:col>2</xdr:col>
          <xdr:colOff>236855</xdr:colOff>
          <xdr:row>14</xdr:row>
          <xdr:rowOff>347980</xdr:rowOff>
        </xdr:to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2F33C8C1-A070-314F-9048-C40B9EB686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6" spid="_x0000_s874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0800" y="3200400"/>
              <a:ext cx="1697355" cy="4114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469900</xdr:colOff>
      <xdr:row>13</xdr:row>
      <xdr:rowOff>279400</xdr:rowOff>
    </xdr:from>
    <xdr:to>
      <xdr:col>2</xdr:col>
      <xdr:colOff>1498600</xdr:colOff>
      <xdr:row>13</xdr:row>
      <xdr:rowOff>292100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318744F-131B-0348-9E50-FC97986843C8}"/>
            </a:ext>
          </a:extLst>
        </xdr:cNvPr>
        <xdr:cNvCxnSpPr/>
      </xdr:nvCxnSpPr>
      <xdr:spPr>
        <a:xfrm flipV="1">
          <a:off x="469900" y="3162300"/>
          <a:ext cx="2540000" cy="1270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171450</xdr:colOff>
      <xdr:row>13</xdr:row>
      <xdr:rowOff>266700</xdr:rowOff>
    </xdr:from>
    <xdr:to>
      <xdr:col>2</xdr:col>
      <xdr:colOff>184150</xdr:colOff>
      <xdr:row>15</xdr:row>
      <xdr:rowOff>279400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FD108AC-38BE-C146-A7B1-AEA5601BB261}"/>
            </a:ext>
          </a:extLst>
        </xdr:cNvPr>
        <xdr:cNvCxnSpPr/>
      </xdr:nvCxnSpPr>
      <xdr:spPr>
        <a:xfrm flipH="1">
          <a:off x="1682750" y="3149600"/>
          <a:ext cx="12700" cy="77470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193675</xdr:colOff>
      <xdr:row>19</xdr:row>
      <xdr:rowOff>25400</xdr:rowOff>
    </xdr:from>
    <xdr:to>
      <xdr:col>4</xdr:col>
      <xdr:colOff>104775</xdr:colOff>
      <xdr:row>26</xdr:row>
      <xdr:rowOff>355600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EE62D35-350F-4743-9AD8-B4FDFB220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</xdr:col>
      <xdr:colOff>330200</xdr:colOff>
      <xdr:row>10</xdr:row>
      <xdr:rowOff>165100</xdr:rowOff>
    </xdr:from>
    <xdr:to>
      <xdr:col>10</xdr:col>
      <xdr:colOff>203200</xdr:colOff>
      <xdr:row>26</xdr:row>
      <xdr:rowOff>355600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423D894-EC21-0C44-A509-3437DFF59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95250</xdr:colOff>
      <xdr:row>10</xdr:row>
      <xdr:rowOff>152400</xdr:rowOff>
    </xdr:from>
    <xdr:to>
      <xdr:col>12</xdr:col>
      <xdr:colOff>933450</xdr:colOff>
      <xdr:row>26</xdr:row>
      <xdr:rowOff>342900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F80D631-9F19-2046-AEDB-CFCC043F3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9F2315-37B8-8B42-A345-C26C2F9A79F0}" name="Data" displayName="Data" ref="A1:J4795" totalsRowShown="0" headerRowDxfId="4">
  <autoFilter ref="A1:J4795" xr:uid="{9A9F2315-37B8-8B42-A345-C26C2F9A79F0}"/>
  <tableColumns count="10">
    <tableColumn id="1" xr3:uid="{D811C8DE-6EDE-C649-961A-6212C0F1726B}" name="Year"/>
    <tableColumn id="2" xr3:uid="{0E7B0AE9-459E-894A-A29A-EDD1D99D7352}" name="Month"/>
    <tableColumn id="3" xr3:uid="{3A2B8E4A-2CCD-004B-A078-648914E89459}" name="Store Name"/>
    <tableColumn id="4" xr3:uid="{C42530F0-CF38-3648-8C56-17AB62295B95}" name="Region"/>
    <tableColumn id="5" xr3:uid="{1408D77C-9DED-8144-BF96-6255AC389119}" name="Store Type"/>
    <tableColumn id="6" xr3:uid="{B8CC13B2-1AB4-F44D-B7F4-20228D589B94}" name="Product Name"/>
    <tableColumn id="7" xr3:uid="{2F30A099-B253-5A42-91F1-50DDDBE05963}" name="Product Category"/>
    <tableColumn id="8" xr3:uid="{AB6C0578-719B-7D42-B95E-9DC77F7E167A}" name="Units Sold"/>
    <tableColumn id="9" xr3:uid="{F5A49F87-77D9-CA4C-8093-DD08C3E34E63}" name="Revenue" dataDxfId="3"/>
    <tableColumn id="10" xr3:uid="{13DECD54-6ADC-0C4F-A8E6-FF4F7A9E4CF9}" name="Profit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topLeftCell="A4513" zoomScaleNormal="100" workbookViewId="0">
      <selection activeCell="H4542" sqref="H4542"/>
    </sheetView>
  </sheetViews>
  <sheetFormatPr baseColWidth="10" defaultColWidth="8.83203125" defaultRowHeight="15" x14ac:dyDescent="0.2"/>
  <cols>
    <col min="1" max="1" width="7.1640625" customWidth="1"/>
    <col min="2" max="2" width="9.1640625" customWidth="1"/>
    <col min="3" max="3" width="14.33203125" customWidth="1"/>
    <col min="4" max="4" width="15" customWidth="1"/>
    <col min="5" max="5" width="16.33203125" customWidth="1"/>
    <col min="6" max="6" width="20.5" bestFit="1" customWidth="1"/>
    <col min="7" max="7" width="18.83203125" customWidth="1"/>
    <col min="8" max="8" width="12.1640625" customWidth="1"/>
    <col min="9" max="9" width="11" customWidth="1"/>
    <col min="12" max="13" width="11.5" bestFit="1" customWidth="1"/>
    <col min="16" max="16" width="15.5" bestFit="1" customWidth="1"/>
    <col min="18" max="18" width="18.33203125" bestFit="1" customWidth="1"/>
    <col min="27" max="27" width="14.33203125" customWidth="1"/>
    <col min="28" max="28" width="11.5" customWidth="1"/>
    <col min="32" max="33" width="14.33203125" customWidth="1"/>
    <col min="34" max="34" width="11.5" customWidth="1"/>
    <col min="37" max="37" width="12.33203125" bestFit="1" customWidth="1"/>
    <col min="38" max="38" width="17.6640625" bestFit="1" customWidth="1"/>
    <col min="48" max="49" width="14.33203125" customWidth="1"/>
    <col min="50" max="50" width="17.5" bestFit="1" customWidth="1"/>
    <col min="51" max="51" width="11.5" customWidth="1"/>
  </cols>
  <sheetData>
    <row r="1" spans="1:51" x14ac:dyDescent="0.2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0</v>
      </c>
    </row>
    <row r="4" spans="1:51" x14ac:dyDescent="0.2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0</v>
      </c>
    </row>
    <row r="5" spans="1:51" x14ac:dyDescent="0.2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0</v>
      </c>
    </row>
    <row r="6" spans="1:51" x14ac:dyDescent="0.2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0</v>
      </c>
    </row>
    <row r="7" spans="1:51" x14ac:dyDescent="0.2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0</v>
      </c>
    </row>
    <row r="8" spans="1:51" x14ac:dyDescent="0.2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7339.2999999999993</v>
      </c>
    </row>
    <row r="9" spans="1:51" x14ac:dyDescent="0.2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369.76</v>
      </c>
    </row>
    <row r="10" spans="1:51" x14ac:dyDescent="0.2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712.64</v>
      </c>
    </row>
    <row r="11" spans="1:51" x14ac:dyDescent="0.2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3087.3799999999997</v>
      </c>
    </row>
    <row r="12" spans="1:51" x14ac:dyDescent="0.2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4746.1500000000005</v>
      </c>
    </row>
    <row r="13" spans="1:51" x14ac:dyDescent="0.2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0</v>
      </c>
    </row>
    <row r="14" spans="1:51" x14ac:dyDescent="0.2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0</v>
      </c>
    </row>
    <row r="15" spans="1:51" x14ac:dyDescent="0.2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0</v>
      </c>
    </row>
    <row r="16" spans="1:51" x14ac:dyDescent="0.2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0</v>
      </c>
    </row>
    <row r="17" spans="1:51" x14ac:dyDescent="0.2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0</v>
      </c>
    </row>
    <row r="18" spans="1:51" x14ac:dyDescent="0.2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4315.2000000000007</v>
      </c>
    </row>
    <row r="19" spans="1:51" x14ac:dyDescent="0.2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2035.05</v>
      </c>
    </row>
    <row r="20" spans="1:51" x14ac:dyDescent="0.2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1619.1799999999998</v>
      </c>
    </row>
    <row r="21" spans="1:51" x14ac:dyDescent="0.2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2586.08</v>
      </c>
    </row>
    <row r="22" spans="1:51" x14ac:dyDescent="0.2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3323.62</v>
      </c>
    </row>
    <row r="23" spans="1:51" x14ac:dyDescent="0.2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0</v>
      </c>
    </row>
    <row r="24" spans="1:51" x14ac:dyDescent="0.2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0</v>
      </c>
    </row>
    <row r="25" spans="1:51" x14ac:dyDescent="0.2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0</v>
      </c>
    </row>
    <row r="26" spans="1:51" x14ac:dyDescent="0.2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0</v>
      </c>
    </row>
    <row r="27" spans="1:51" x14ac:dyDescent="0.2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0</v>
      </c>
    </row>
    <row r="28" spans="1:51" x14ac:dyDescent="0.2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2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2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2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2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2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2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2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2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2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2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2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2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2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2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2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2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2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2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2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2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7644.92</v>
      </c>
    </row>
    <row r="49" spans="1:51" x14ac:dyDescent="0.2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2198.61</v>
      </c>
    </row>
    <row r="50" spans="1:51" x14ac:dyDescent="0.2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3036.0899999999997</v>
      </c>
    </row>
    <row r="51" spans="1:51" x14ac:dyDescent="0.2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1791.69</v>
      </c>
    </row>
    <row r="52" spans="1:51" x14ac:dyDescent="0.2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5812.6999999999989</v>
      </c>
    </row>
    <row r="53" spans="1:51" x14ac:dyDescent="0.2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2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2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2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2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2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2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2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2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2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2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2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2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2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2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2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2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2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2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2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2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2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2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2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2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2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2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2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2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2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2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2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2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2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2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2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2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2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2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2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2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2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2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2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2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2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2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2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2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2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2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2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2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2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2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2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2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2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2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2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2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2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2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2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2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2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2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2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2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2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2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2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2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2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2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2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2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2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2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2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2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2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2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2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2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2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2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2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2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2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2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2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2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2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2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2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2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2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2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2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2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2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2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2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2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2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2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2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2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2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2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2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2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2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2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2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2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2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2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2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2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2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2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2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2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2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2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2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2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2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2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2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2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2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2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2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2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2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2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2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2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2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2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2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2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2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2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2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2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2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2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2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2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2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2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2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2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2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2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2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2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2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2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2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2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2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2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2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2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2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2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2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2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2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2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2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2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2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2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2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2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2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2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2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2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2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2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2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2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2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2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2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2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2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2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2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2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2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2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2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2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2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2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2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2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2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2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2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2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2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2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2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2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2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2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2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2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2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2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2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2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2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2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2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2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2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2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2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2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2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2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2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2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2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2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2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2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2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2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2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2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2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2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2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2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2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2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2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2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2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2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2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2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2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2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2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2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2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2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2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2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2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2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2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2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2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2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2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2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2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2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2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2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2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2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2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2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2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2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2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2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2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2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2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2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2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2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2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2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2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2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2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2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2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2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2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2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2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2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2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2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2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2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2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2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2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2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2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2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2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2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2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2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2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2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2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2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2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2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2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2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2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2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2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2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2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2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2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2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2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2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2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2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2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2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2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2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2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2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2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2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2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2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2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2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2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2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2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2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2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2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2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2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2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2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2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2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2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2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2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2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2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2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2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2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2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2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2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2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2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2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2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2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2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2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2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2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2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2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2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2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2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2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2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2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2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2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2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2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2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2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2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2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2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2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2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2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2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2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2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2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2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2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2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2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2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2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2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2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2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2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2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2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2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2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2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2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2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2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2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2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2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2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2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2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2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2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2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2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2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2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2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2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2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2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2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2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2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2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2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2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2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2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2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2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2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2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2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2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2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2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2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2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2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2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2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2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2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2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2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2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2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2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2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2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2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2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2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2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2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2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2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2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2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2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2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2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2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2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2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2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2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2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2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2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2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2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2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2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2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2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2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2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2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2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2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2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2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2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2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2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2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2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2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2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2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2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2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2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2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2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2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2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2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2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2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2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2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2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2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2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2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2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2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2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2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2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2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2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2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DD077-55E7-1B4A-8E3F-B36F4AC8A012}">
  <dimension ref="A1:AK36"/>
  <sheetViews>
    <sheetView showGridLines="0" workbookViewId="0">
      <selection activeCell="B13" sqref="B13"/>
    </sheetView>
  </sheetViews>
  <sheetFormatPr baseColWidth="10" defaultRowHeight="15" x14ac:dyDescent="0.2"/>
  <cols>
    <col min="1" max="1" width="13.6640625" bestFit="1" customWidth="1"/>
    <col min="4" max="4" width="12.1640625" bestFit="1" customWidth="1"/>
    <col min="27" max="27" width="14.1640625" bestFit="1" customWidth="1"/>
    <col min="35" max="35" width="13.6640625" bestFit="1" customWidth="1"/>
  </cols>
  <sheetData>
    <row r="1" spans="1:37" x14ac:dyDescent="0.2">
      <c r="A1" s="6" t="s">
        <v>75</v>
      </c>
      <c r="B1" s="6"/>
      <c r="D1" s="10" t="s">
        <v>82</v>
      </c>
      <c r="E1" s="10"/>
      <c r="G1" s="10" t="s">
        <v>89</v>
      </c>
      <c r="H1" s="10"/>
      <c r="I1" s="10"/>
      <c r="J1" s="10"/>
      <c r="K1" s="10"/>
      <c r="M1" s="10" t="s">
        <v>99</v>
      </c>
      <c r="N1" s="10"/>
      <c r="O1" s="10"/>
      <c r="P1" s="10"/>
      <c r="Q1" s="10"/>
      <c r="S1" s="10" t="s">
        <v>103</v>
      </c>
      <c r="T1" s="10"/>
      <c r="U1" s="10"/>
      <c r="V1" s="10"/>
      <c r="W1" s="10"/>
      <c r="X1" s="10"/>
      <c r="Y1" s="10"/>
      <c r="AA1" s="10" t="s">
        <v>105</v>
      </c>
      <c r="AB1" s="10"/>
      <c r="AC1" s="10"/>
      <c r="AD1" s="10"/>
      <c r="AE1" s="10"/>
      <c r="AF1" s="10"/>
      <c r="AH1" s="10" t="s">
        <v>109</v>
      </c>
      <c r="AI1" s="10"/>
      <c r="AJ1" s="10"/>
      <c r="AK1" s="10"/>
    </row>
    <row r="2" spans="1:37" x14ac:dyDescent="0.2">
      <c r="A2" s="7" t="s">
        <v>52</v>
      </c>
      <c r="B2" s="7" t="s">
        <v>76</v>
      </c>
      <c r="D2" s="11" t="s">
        <v>83</v>
      </c>
      <c r="E2" s="12">
        <f>SUMIFS(Data[Revenue],Data[Region],Region,Data[Month],CurMonth,Data[Year],CurYear)</f>
        <v>50618.369999999995</v>
      </c>
      <c r="G2" s="13" t="s">
        <v>90</v>
      </c>
      <c r="H2" s="13" t="s">
        <v>49</v>
      </c>
      <c r="I2" s="13">
        <f>PreYear</f>
        <v>2020</v>
      </c>
      <c r="J2" s="13">
        <f>CurYear</f>
        <v>2021</v>
      </c>
      <c r="K2" s="13" t="s">
        <v>76</v>
      </c>
      <c r="M2" s="13" t="s">
        <v>63</v>
      </c>
      <c r="N2" s="13" t="s">
        <v>46</v>
      </c>
      <c r="O2" s="13" t="s">
        <v>100</v>
      </c>
      <c r="P2" s="13" t="s">
        <v>101</v>
      </c>
      <c r="Q2" s="13" t="s">
        <v>102</v>
      </c>
      <c r="S2" s="13" t="s">
        <v>104</v>
      </c>
      <c r="T2" s="13" t="s">
        <v>63</v>
      </c>
      <c r="U2" s="13" t="s">
        <v>52</v>
      </c>
      <c r="V2" s="13" t="s">
        <v>46</v>
      </c>
      <c r="W2" s="13" t="s">
        <v>101</v>
      </c>
      <c r="X2" s="13" t="s">
        <v>76</v>
      </c>
      <c r="Y2" s="13" t="s">
        <v>76</v>
      </c>
      <c r="AA2" s="13" t="s">
        <v>106</v>
      </c>
      <c r="AB2" s="13" t="s">
        <v>46</v>
      </c>
      <c r="AC2" s="13" t="s">
        <v>100</v>
      </c>
      <c r="AD2" s="13" t="s">
        <v>101</v>
      </c>
      <c r="AE2" s="13" t="s">
        <v>107</v>
      </c>
      <c r="AF2" s="13" t="s">
        <v>108</v>
      </c>
      <c r="AH2" s="13" t="s">
        <v>104</v>
      </c>
      <c r="AI2" s="13" t="s">
        <v>106</v>
      </c>
      <c r="AJ2" s="13" t="s">
        <v>46</v>
      </c>
      <c r="AK2" s="13" t="s">
        <v>101</v>
      </c>
    </row>
    <row r="3" spans="1:37" x14ac:dyDescent="0.2">
      <c r="A3" t="s">
        <v>4</v>
      </c>
      <c r="B3" s="8" t="str">
        <f>Dashboard!C6</f>
        <v>New York</v>
      </c>
      <c r="D3" s="11" t="s">
        <v>84</v>
      </c>
      <c r="E3" s="12">
        <f>SUMIFS(Data[Revenue],Data[Region],Region,Data[Month],CurMonth,Data[Year],PreYear)</f>
        <v>34844.409999999982</v>
      </c>
      <c r="G3">
        <v>1</v>
      </c>
      <c r="H3" t="s">
        <v>91</v>
      </c>
      <c r="I3" s="12">
        <f>SUMIFS(Data[[Revenue]:[Revenue]],Data[[Region]:[Region]],Region,Data[[Month]:[Month]],'Data Prep'!$G3,Data[[Year]:[Year]],'Data Prep'!I$2)</f>
        <v>31544.950000000004</v>
      </c>
      <c r="J3" s="12">
        <f>IF(G3&gt;CurMonth,NA(),SUMIFS(Data[[Revenue]:[Revenue]],Data[[Region]:[Region]],Region,Data[[Month]:[Month]],'Data Prep'!$G3,Data[[Year]:[Year]],'Data Prep'!J$2))</f>
        <v>45431.029999999984</v>
      </c>
      <c r="K3" s="12" t="e">
        <f>IF(G3=CurMonth,J3,NA())</f>
        <v>#N/A</v>
      </c>
      <c r="M3" t="s">
        <v>59</v>
      </c>
      <c r="N3" s="12">
        <f>SUMIFS(Data[Revenue],Data[Store Name],M3,Data[Year],CurYear,Data[Month],CurMonth)</f>
        <v>10103.540000000001</v>
      </c>
      <c r="O3" s="12">
        <f>SUMIFS(Data[Revenue],Data[Store Name],M3,Data[Month],PreMonth,Data[Year],PMYear)</f>
        <v>7938.76</v>
      </c>
      <c r="P3" s="14">
        <f t="shared" ref="P3:P12" si="0">N3/O3-1</f>
        <v>0.27268490293194403</v>
      </c>
      <c r="Q3">
        <f>_xlfn.RANK.AVG(N3,$N$3:$N$12,1)</f>
        <v>2</v>
      </c>
      <c r="S3">
        <v>1</v>
      </c>
      <c r="T3" t="str">
        <f>INDEX($M$3:$P$12,MATCH($S3,$Q$3:$Q$12,0),MATCH(T$2,$M$2:$P$2,0))</f>
        <v>Michigan Ave</v>
      </c>
      <c r="U3" t="str">
        <f>_xlfn.XLOOKUP(T3,Data[Store Name],Data[Region],,0)</f>
        <v>Chicago</v>
      </c>
      <c r="V3" s="12">
        <f t="shared" ref="V3:W3" si="1">INDEX($M$3:$P$12,MATCH($S3,$Q$3:$Q$12,0),MATCH(V$2,$M$2:$P$2,0))</f>
        <v>7721.8800000000019</v>
      </c>
      <c r="W3" s="14">
        <f t="shared" si="1"/>
        <v>-0.23788412342481746</v>
      </c>
      <c r="X3" s="12">
        <f>IF($U3=Region,V3,0)</f>
        <v>0</v>
      </c>
      <c r="Y3" s="14">
        <f>IF($U3=Region,W3,0)</f>
        <v>0</v>
      </c>
      <c r="AA3" t="s">
        <v>13</v>
      </c>
      <c r="AB3" s="12">
        <f>SUMIFS(Data[Revenue],Data[Region],Region,Data[Month],CurMonth,Data[Year],CurYear,Data[Product Name],'Data Prep'!AA3)</f>
        <v>1311.1799999999998</v>
      </c>
      <c r="AC3" s="12">
        <f>SUMIFS(Data[Revenue],Data[Region],Region,Data[Month],PreMonth,Data[Year],PMYear,Data[Product Name],'Data Prep'!AA3)</f>
        <v>1471.0800000000002</v>
      </c>
      <c r="AD3" s="2">
        <f>AB3-AC3</f>
        <v>-159.90000000000032</v>
      </c>
      <c r="AE3">
        <f>_xlfn.RANK.AVG(AD3,$AD$3:$AD$36,0)</f>
        <v>23</v>
      </c>
      <c r="AF3">
        <f>_xlfn.RANK.AVG(AD3,$AD$3:$AD$36,1)</f>
        <v>12</v>
      </c>
      <c r="AH3">
        <v>1</v>
      </c>
      <c r="AI3" t="str">
        <f>INDEX($AA$3:$AD$36,MATCH($AH3,$AE$3:$AE$36,0),MATCH(AI$2,$AA$2:$AD$2,0))</f>
        <v>Dinosaur Figures</v>
      </c>
      <c r="AJ3" s="12">
        <f t="shared" ref="AJ3:AK7" si="2">INDEX($AA$3:$AD$36,MATCH($AH3,$AE$3:$AE$36,0),MATCH(AJ$2,$AA$2:$AD$2,0))</f>
        <v>2893.07</v>
      </c>
      <c r="AK3" s="12">
        <f t="shared" si="2"/>
        <v>989.34000000000015</v>
      </c>
    </row>
    <row r="4" spans="1:37" x14ac:dyDescent="0.2">
      <c r="A4" t="s">
        <v>5</v>
      </c>
      <c r="D4" s="11" t="s">
        <v>85</v>
      </c>
      <c r="E4" s="12">
        <f>SUMIFS(Data[Revenue],Data[Region],Region,Data[Month],PreMonth,Data[Year],PMYear)</f>
        <v>49838.54</v>
      </c>
      <c r="G4">
        <v>2</v>
      </c>
      <c r="H4" t="s">
        <v>92</v>
      </c>
      <c r="I4" s="12">
        <f>SUMIFS(Data[[Revenue]:[Revenue]],Data[[Region]:[Region]],Region,Data[[Month]:[Month]],'Data Prep'!$G4,Data[[Year]:[Year]],'Data Prep'!I$2)</f>
        <v>31002.100000000009</v>
      </c>
      <c r="J4" s="12">
        <f>IF(G4&gt;CurMonth,NA(),SUMIFS(Data[[Revenue]:[Revenue]],Data[[Region]:[Region]],Region,Data[[Month]:[Month]],'Data Prep'!$G4,Data[[Year]:[Year]],'Data Prep'!J$2))</f>
        <v>42456.219999999987</v>
      </c>
      <c r="K4" s="12" t="e">
        <f>IF(G4=CurMonth,J4,NA())</f>
        <v>#N/A</v>
      </c>
      <c r="M4" t="s">
        <v>56</v>
      </c>
      <c r="N4" s="12">
        <f>SUMIFS(Data[Revenue],Data[Store Name],M4,Data[Year],CurYear,Data[Month],CurMonth)</f>
        <v>15765.830000000002</v>
      </c>
      <c r="O4" s="12">
        <f>SUMIFS(Data[Revenue],Data[Store Name],M4,Data[Month],PreMonth,Data[Year],PMYear)</f>
        <v>11411.519999999999</v>
      </c>
      <c r="P4" s="14">
        <f t="shared" si="0"/>
        <v>0.38157142957292312</v>
      </c>
      <c r="Q4">
        <f t="shared" ref="Q4:Q12" si="3">_xlfn.RANK.AVG(N4,$N$3:$N$12,1)</f>
        <v>4</v>
      </c>
      <c r="S4">
        <v>2</v>
      </c>
      <c r="T4" t="str">
        <f t="shared" ref="T4:W12" si="4">INDEX($M$3:$P$12,MATCH($S4,$Q$3:$Q$12,0),MATCH(T$2,$M$2:$P$2,0))</f>
        <v>Hollywood</v>
      </c>
      <c r="U4" t="str">
        <f>_xlfn.XLOOKUP(T4,Data[Store Name],Data[Region],,0)</f>
        <v>Los Angeles</v>
      </c>
      <c r="V4" s="12">
        <f t="shared" si="4"/>
        <v>10103.540000000001</v>
      </c>
      <c r="W4" s="14">
        <f t="shared" si="4"/>
        <v>0.27268490293194403</v>
      </c>
      <c r="X4" s="12">
        <f>IF($U4=Region,V4,0)</f>
        <v>0</v>
      </c>
      <c r="Y4" s="14">
        <f>IF($U4=Region,W4,0)</f>
        <v>0</v>
      </c>
      <c r="AA4" t="s">
        <v>24</v>
      </c>
      <c r="AB4" s="12">
        <f>SUMIFS(Data[Revenue],Data[Region],Region,Data[Month],CurMonth,Data[Year],CurYear,Data[Product Name],'Data Prep'!AA4)</f>
        <v>2649.96</v>
      </c>
      <c r="AC4" s="12">
        <f>SUMIFS(Data[Revenue],Data[Region],Region,Data[Month],PreMonth,Data[Year],PMYear,Data[Product Name],'Data Prep'!AA4)</f>
        <v>2766.87</v>
      </c>
      <c r="AD4" s="2">
        <f t="shared" ref="AD4:AD36" si="5">AB4-AC4</f>
        <v>-116.90999999999985</v>
      </c>
      <c r="AE4">
        <f t="shared" ref="AE4:AE36" si="6">_xlfn.RANK.AVG(AD4,$AD$3:$AD$36,0)</f>
        <v>21</v>
      </c>
      <c r="AF4">
        <f t="shared" ref="AF4:AF36" si="7">_xlfn.RANK.AVG(AD4,$AD$3:$AD$36,1)</f>
        <v>14</v>
      </c>
      <c r="AH4">
        <v>2</v>
      </c>
      <c r="AI4" t="str">
        <f t="shared" ref="AI4:AI7" si="8">INDEX($AA$3:$AD$36,MATCH($AH4,$AE$3:$AE$36,0),MATCH(AI$2,$AA$2:$AD$2,0))</f>
        <v>Monopoly</v>
      </c>
      <c r="AJ4" s="12">
        <f t="shared" si="2"/>
        <v>899.55</v>
      </c>
      <c r="AK4" s="12">
        <f t="shared" si="2"/>
        <v>739.63</v>
      </c>
    </row>
    <row r="5" spans="1:37" x14ac:dyDescent="0.2">
      <c r="A5" t="s">
        <v>48</v>
      </c>
      <c r="D5" s="11" t="s">
        <v>87</v>
      </c>
      <c r="E5" s="22">
        <f>E2/E3-1</f>
        <v>0.45269700362267651</v>
      </c>
      <c r="G5">
        <v>3</v>
      </c>
      <c r="H5" t="s">
        <v>93</v>
      </c>
      <c r="I5" s="12">
        <f>SUMIFS(Data[[Revenue]:[Revenue]],Data[[Region]:[Region]],Region,Data[[Month]:[Month]],'Data Prep'!$G5,Data[[Year]:[Year]],'Data Prep'!I$2)</f>
        <v>40942.11</v>
      </c>
      <c r="J5" s="12">
        <f>IF(G5&gt;CurMonth,NA(),SUMIFS(Data[[Revenue]:[Revenue]],Data[[Region]:[Region]],Region,Data[[Month]:[Month]],'Data Prep'!$G5,Data[[Year]:[Year]],'Data Prep'!J$2))</f>
        <v>58945.410000000011</v>
      </c>
      <c r="K5" s="12" t="e">
        <f>IF(G5=CurMonth,J5,NA())</f>
        <v>#N/A</v>
      </c>
      <c r="M5" t="s">
        <v>54</v>
      </c>
      <c r="N5" s="12">
        <f>SUMIFS(Data[Revenue],Data[Store Name],M5,Data[Year],CurYear,Data[Month],CurMonth)</f>
        <v>7721.8800000000019</v>
      </c>
      <c r="O5" s="12">
        <f>SUMIFS(Data[Revenue],Data[Store Name],M5,Data[Month],PreMonth,Data[Year],PMYear)</f>
        <v>10132.16</v>
      </c>
      <c r="P5" s="14">
        <f t="shared" si="0"/>
        <v>-0.23788412342481746</v>
      </c>
      <c r="Q5">
        <f t="shared" si="3"/>
        <v>1</v>
      </c>
      <c r="S5">
        <v>3</v>
      </c>
      <c r="T5" t="str">
        <f t="shared" si="4"/>
        <v>JFK</v>
      </c>
      <c r="U5" t="str">
        <f>_xlfn.XLOOKUP(T5,Data[Store Name],Data[Region],,0)</f>
        <v>New York</v>
      </c>
      <c r="V5" s="12">
        <f t="shared" si="4"/>
        <v>13879.13</v>
      </c>
      <c r="W5" s="14">
        <f t="shared" si="4"/>
        <v>5.7257752439920262E-2</v>
      </c>
      <c r="X5" s="12">
        <f>IF($U5=Region,V5,0)</f>
        <v>13879.13</v>
      </c>
      <c r="Y5" s="14">
        <f>IF($U5=Region,W5,0)</f>
        <v>5.7257752439920262E-2</v>
      </c>
      <c r="AA5" t="s">
        <v>18</v>
      </c>
      <c r="AB5" s="12">
        <f>SUMIFS(Data[Revenue],Data[Region],Region,Data[Month],CurMonth,Data[Year],CurYear,Data[Product Name],'Data Prep'!AA5)</f>
        <v>0</v>
      </c>
      <c r="AC5" s="12">
        <f>SUMIFS(Data[Revenue],Data[Region],Region,Data[Month],PreMonth,Data[Year],PMYear,Data[Product Name],'Data Prep'!AA5)</f>
        <v>402.69</v>
      </c>
      <c r="AD5" s="2">
        <f t="shared" si="5"/>
        <v>-402.69</v>
      </c>
      <c r="AE5">
        <f t="shared" si="6"/>
        <v>29</v>
      </c>
      <c r="AF5">
        <f t="shared" si="7"/>
        <v>6</v>
      </c>
      <c r="AH5">
        <v>3</v>
      </c>
      <c r="AI5" t="str">
        <f t="shared" si="8"/>
        <v>Magic Sand</v>
      </c>
      <c r="AJ5" s="12">
        <f t="shared" si="2"/>
        <v>4589.13</v>
      </c>
      <c r="AK5" s="12">
        <f t="shared" si="2"/>
        <v>687.57000000000016</v>
      </c>
    </row>
    <row r="6" spans="1:37" x14ac:dyDescent="0.2">
      <c r="D6" s="11" t="s">
        <v>88</v>
      </c>
      <c r="E6" s="22">
        <f>E2/E4-1</f>
        <v>1.5647127704784269E-2</v>
      </c>
      <c r="G6">
        <v>4</v>
      </c>
      <c r="H6" t="s">
        <v>94</v>
      </c>
      <c r="I6" s="12">
        <f>SUMIFS(Data[[Revenue]:[Revenue]],Data[[Region]:[Region]],Region,Data[[Month]:[Month]],'Data Prep'!$G6,Data[[Year]:[Year]],'Data Prep'!I$2)</f>
        <v>51274.420000000006</v>
      </c>
      <c r="J6" s="12">
        <f>IF(G6&gt;CurMonth,NA(),SUMIFS(Data[[Revenue]:[Revenue]],Data[[Region]:[Region]],Region,Data[[Month]:[Month]],'Data Prep'!$G6,Data[[Year]:[Year]],'Data Prep'!J$2))</f>
        <v>66317.759999999995</v>
      </c>
      <c r="K6" s="12" t="e">
        <f>IF(G6=CurMonth,J6,NA())</f>
        <v>#N/A</v>
      </c>
      <c r="M6" t="s">
        <v>55</v>
      </c>
      <c r="N6" s="12">
        <f>SUMIFS(Data[Revenue],Data[Store Name],M6,Data[Year],CurYear,Data[Month],CurMonth)</f>
        <v>18238.46</v>
      </c>
      <c r="O6" s="12">
        <f>SUMIFS(Data[Revenue],Data[Store Name],M6,Data[Month],PreMonth,Data[Year],PMYear)</f>
        <v>15332.379999999996</v>
      </c>
      <c r="P6" s="14">
        <f t="shared" si="0"/>
        <v>0.18953874088693379</v>
      </c>
      <c r="Q6">
        <f t="shared" si="3"/>
        <v>9</v>
      </c>
      <c r="S6">
        <v>4</v>
      </c>
      <c r="T6" t="str">
        <f t="shared" si="4"/>
        <v>Beverly Hills</v>
      </c>
      <c r="U6" t="str">
        <f>_xlfn.XLOOKUP(T6,Data[Store Name],Data[Region],,0)</f>
        <v>Los Angeles</v>
      </c>
      <c r="V6" s="12">
        <f t="shared" si="4"/>
        <v>15765.830000000002</v>
      </c>
      <c r="W6" s="14">
        <f t="shared" si="4"/>
        <v>0.38157142957292312</v>
      </c>
      <c r="X6" s="12">
        <f>IF($U6=Region,V6,0)</f>
        <v>0</v>
      </c>
      <c r="Y6" s="14">
        <f>IF($U6=Region,W6,0)</f>
        <v>0</v>
      </c>
      <c r="AA6" t="s">
        <v>30</v>
      </c>
      <c r="AB6" s="12">
        <f>SUMIFS(Data[Revenue],Data[Region],Region,Data[Month],CurMonth,Data[Year],CurYear,Data[Product Name],'Data Prep'!AA6)</f>
        <v>109.89</v>
      </c>
      <c r="AC6" s="12">
        <f>SUMIFS(Data[Revenue],Data[Region],Region,Data[Month],PreMonth,Data[Year],PMYear,Data[Product Name],'Data Prep'!AA6)</f>
        <v>0</v>
      </c>
      <c r="AD6" s="2">
        <f t="shared" si="5"/>
        <v>109.89</v>
      </c>
      <c r="AE6">
        <f t="shared" si="6"/>
        <v>9</v>
      </c>
      <c r="AF6">
        <f t="shared" si="7"/>
        <v>26</v>
      </c>
      <c r="AH6">
        <v>4</v>
      </c>
      <c r="AI6" t="str">
        <f t="shared" si="8"/>
        <v>Barrel O' Slime</v>
      </c>
      <c r="AJ6" s="12">
        <f t="shared" si="2"/>
        <v>1356.6</v>
      </c>
      <c r="AK6" s="12">
        <f t="shared" si="2"/>
        <v>550.61999999999989</v>
      </c>
    </row>
    <row r="7" spans="1:37" x14ac:dyDescent="0.2">
      <c r="A7" s="6" t="s">
        <v>77</v>
      </c>
      <c r="B7" s="6"/>
      <c r="G7">
        <v>5</v>
      </c>
      <c r="H7" t="s">
        <v>93</v>
      </c>
      <c r="I7" s="12">
        <f>SUMIFS(Data[[Revenue]:[Revenue]],Data[[Region]:[Region]],Region,Data[[Month]:[Month]],'Data Prep'!$G7,Data[[Year]:[Year]],'Data Prep'!I$2)</f>
        <v>39052.43</v>
      </c>
      <c r="J7" s="12">
        <f>IF(G7&gt;CurMonth,NA(),SUMIFS(Data[[Revenue]:[Revenue]],Data[[Region]:[Region]],Region,Data[[Month]:[Month]],'Data Prep'!$G7,Data[[Year]:[Year]],'Data Prep'!J$2))</f>
        <v>63906.600000000006</v>
      </c>
      <c r="K7" s="12" t="e">
        <f>IF(G7=CurMonth,J7,NA())</f>
        <v>#N/A</v>
      </c>
      <c r="M7" t="s">
        <v>53</v>
      </c>
      <c r="N7" s="12">
        <f>SUMIFS(Data[Revenue],Data[Store Name],M7,Data[Year],CurYear,Data[Month],CurMonth)</f>
        <v>17505.330000000002</v>
      </c>
      <c r="O7" s="12">
        <f>SUMIFS(Data[Revenue],Data[Store Name],M7,Data[Month],PreMonth,Data[Year],PMYear)</f>
        <v>17049.52</v>
      </c>
      <c r="P7" s="14">
        <f t="shared" si="0"/>
        <v>2.6734476982343214E-2</v>
      </c>
      <c r="Q7">
        <f t="shared" si="3"/>
        <v>6</v>
      </c>
      <c r="S7">
        <v>5</v>
      </c>
      <c r="T7" t="str">
        <f t="shared" si="4"/>
        <v>Fifth Avenue</v>
      </c>
      <c r="U7" t="str">
        <f>_xlfn.XLOOKUP(T7,Data[Store Name],Data[Region],,0)</f>
        <v>New York</v>
      </c>
      <c r="V7" s="12">
        <f t="shared" si="4"/>
        <v>16255.230000000001</v>
      </c>
      <c r="W7" s="14">
        <f t="shared" si="4"/>
        <v>-0.13607835613264074</v>
      </c>
      <c r="X7" s="12">
        <f>IF($U7=Region,V7,0)</f>
        <v>16255.230000000001</v>
      </c>
      <c r="Y7" s="14">
        <f>IF($U7=Region,W7,0)</f>
        <v>-0.13607835613264074</v>
      </c>
      <c r="AA7" t="s">
        <v>20</v>
      </c>
      <c r="AB7" s="12">
        <f>SUMIFS(Data[Revenue],Data[Region],Region,Data[Month],CurMonth,Data[Year],CurYear,Data[Product Name],'Data Prep'!AA7)</f>
        <v>3117.92</v>
      </c>
      <c r="AC7" s="12">
        <f>SUMIFS(Data[Revenue],Data[Region],Region,Data[Month],PreMonth,Data[Year],PMYear,Data[Product Name],'Data Prep'!AA7)</f>
        <v>3102.93</v>
      </c>
      <c r="AD7" s="2">
        <f t="shared" si="5"/>
        <v>14.990000000000236</v>
      </c>
      <c r="AE7">
        <f t="shared" si="6"/>
        <v>12</v>
      </c>
      <c r="AF7">
        <f t="shared" si="7"/>
        <v>23</v>
      </c>
      <c r="AH7">
        <v>5</v>
      </c>
      <c r="AI7" t="str">
        <f t="shared" si="8"/>
        <v>Deck Of Cards</v>
      </c>
      <c r="AJ7" s="12">
        <f t="shared" si="2"/>
        <v>1901.28</v>
      </c>
      <c r="AK7" s="12">
        <f t="shared" si="2"/>
        <v>426.38999999999987</v>
      </c>
    </row>
    <row r="8" spans="1:37" x14ac:dyDescent="0.2">
      <c r="A8" s="9" t="s">
        <v>78</v>
      </c>
      <c r="B8">
        <f>MAX(Data[Year])</f>
        <v>2021</v>
      </c>
      <c r="G8">
        <v>6</v>
      </c>
      <c r="H8" t="s">
        <v>91</v>
      </c>
      <c r="I8" s="12">
        <f>SUMIFS(Data[[Revenue]:[Revenue]],Data[[Region]:[Region]],Region,Data[[Month]:[Month]],'Data Prep'!$G8,Data[[Year]:[Year]],'Data Prep'!I$2)</f>
        <v>47915.380000000005</v>
      </c>
      <c r="J8" s="12">
        <f>IF(G8&gt;CurMonth,NA(),SUMIFS(Data[[Revenue]:[Revenue]],Data[[Region]:[Region]],Region,Data[[Month]:[Month]],'Data Prep'!$G8,Data[[Year]:[Year]],'Data Prep'!J$2))</f>
        <v>61649.439999999981</v>
      </c>
      <c r="K8" s="12" t="e">
        <f>IF(G8=CurMonth,J8,NA())</f>
        <v>#N/A</v>
      </c>
      <c r="M8" t="s">
        <v>58</v>
      </c>
      <c r="N8" s="12">
        <f>SUMIFS(Data[Revenue],Data[Store Name],M8,Data[Year],CurYear,Data[Month],CurMonth)</f>
        <v>16255.230000000001</v>
      </c>
      <c r="O8" s="12">
        <f>SUMIFS(Data[Revenue],Data[Store Name],M8,Data[Month],PreMonth,Data[Year],PMYear)</f>
        <v>18815.63</v>
      </c>
      <c r="P8" s="14">
        <f t="shared" si="0"/>
        <v>-0.13607835613264074</v>
      </c>
      <c r="Q8">
        <f t="shared" si="3"/>
        <v>5</v>
      </c>
      <c r="S8">
        <v>6</v>
      </c>
      <c r="T8" t="str">
        <f t="shared" si="4"/>
        <v>Lincoln Park</v>
      </c>
      <c r="U8" t="str">
        <f>_xlfn.XLOOKUP(T8,Data[Store Name],Data[Region],,0)</f>
        <v>Chicago</v>
      </c>
      <c r="V8" s="12">
        <f t="shared" si="4"/>
        <v>17505.330000000002</v>
      </c>
      <c r="W8" s="14">
        <f t="shared" si="4"/>
        <v>2.6734476982343214E-2</v>
      </c>
      <c r="X8" s="12">
        <f>IF($U8=Region,V8,0)</f>
        <v>0</v>
      </c>
      <c r="Y8" s="14">
        <f>IF($U8=Region,W8,0)</f>
        <v>0</v>
      </c>
      <c r="AA8" t="s">
        <v>25</v>
      </c>
      <c r="AB8" s="12">
        <f>SUMIFS(Data[Revenue],Data[Region],Region,Data[Month],CurMonth,Data[Year],CurYear,Data[Product Name],'Data Prep'!AA8)</f>
        <v>1487.0700000000002</v>
      </c>
      <c r="AC8" s="12">
        <f>SUMIFS(Data[Revenue],Data[Region],Region,Data[Month],PreMonth,Data[Year],PMYear,Data[Product Name],'Data Prep'!AA8)</f>
        <v>1087.32</v>
      </c>
      <c r="AD8" s="2">
        <f t="shared" si="5"/>
        <v>399.75000000000023</v>
      </c>
      <c r="AE8">
        <f t="shared" si="6"/>
        <v>7</v>
      </c>
      <c r="AF8">
        <f t="shared" si="7"/>
        <v>28</v>
      </c>
    </row>
    <row r="9" spans="1:37" x14ac:dyDescent="0.2">
      <c r="A9" s="9" t="s">
        <v>79</v>
      </c>
      <c r="B9">
        <f>_xlfn.MAXIFS(Data[Month],Data[Year],CurYear)</f>
        <v>9</v>
      </c>
      <c r="G9">
        <v>7</v>
      </c>
      <c r="H9" t="s">
        <v>91</v>
      </c>
      <c r="I9" s="12">
        <f>SUMIFS(Data[[Revenue]:[Revenue]],Data[[Region]:[Region]],Region,Data[[Month]:[Month]],'Data Prep'!$G9,Data[[Year]:[Year]],'Data Prep'!I$2)</f>
        <v>41568.47</v>
      </c>
      <c r="J9" s="12">
        <f>IF(G9&gt;CurMonth,NA(),SUMIFS(Data[[Revenue]:[Revenue]],Data[[Region]:[Region]],Region,Data[[Month]:[Month]],'Data Prep'!$G9,Data[[Year]:[Year]],'Data Prep'!J$2))</f>
        <v>69037.8</v>
      </c>
      <c r="K9" s="12" t="e">
        <f>IF(G9=CurMonth,J9,NA())</f>
        <v>#N/A</v>
      </c>
      <c r="M9" t="s">
        <v>62</v>
      </c>
      <c r="N9" s="12">
        <f>SUMIFS(Data[Revenue],Data[Store Name],M9,Data[Year],CurYear,Data[Month],CurMonth)</f>
        <v>20484.010000000002</v>
      </c>
      <c r="O9" s="12">
        <f>SUMIFS(Data[Revenue],Data[Store Name],M9,Data[Month],PreMonth,Data[Year],PMYear)</f>
        <v>17895.43</v>
      </c>
      <c r="P9" s="14">
        <f t="shared" si="0"/>
        <v>0.14465033810308014</v>
      </c>
      <c r="Q9">
        <f t="shared" si="3"/>
        <v>10</v>
      </c>
      <c r="S9">
        <v>7</v>
      </c>
      <c r="T9" t="str">
        <f t="shared" si="4"/>
        <v>LAX</v>
      </c>
      <c r="U9" t="str">
        <f>_xlfn.XLOOKUP(T9,Data[Store Name],Data[Region],,0)</f>
        <v>Los Angeles</v>
      </c>
      <c r="V9" s="12">
        <f t="shared" si="4"/>
        <v>18171.759999999995</v>
      </c>
      <c r="W9" s="14">
        <f t="shared" si="4"/>
        <v>-0.17099256839675403</v>
      </c>
      <c r="X9" s="12">
        <f>IF($U9=Region,V9,0)</f>
        <v>0</v>
      </c>
      <c r="Y9" s="14">
        <f>IF($U9=Region,W9,0)</f>
        <v>0</v>
      </c>
      <c r="AA9" t="s">
        <v>8</v>
      </c>
      <c r="AB9" s="12">
        <f>SUMIFS(Data[Revenue],Data[Region],Region,Data[Month],CurMonth,Data[Year],CurYear,Data[Product Name],'Data Prep'!AA9)</f>
        <v>1901.28</v>
      </c>
      <c r="AC9" s="12">
        <f>SUMIFS(Data[Revenue],Data[Region],Region,Data[Month],PreMonth,Data[Year],PMYear,Data[Product Name],'Data Prep'!AA9)</f>
        <v>1474.89</v>
      </c>
      <c r="AD9" s="2">
        <f t="shared" si="5"/>
        <v>426.38999999999987</v>
      </c>
      <c r="AE9">
        <f t="shared" si="6"/>
        <v>5</v>
      </c>
      <c r="AF9">
        <f t="shared" si="7"/>
        <v>30</v>
      </c>
      <c r="AH9" s="10" t="s">
        <v>110</v>
      </c>
      <c r="AI9" s="10"/>
      <c r="AJ9" s="10"/>
      <c r="AK9" s="10"/>
    </row>
    <row r="10" spans="1:37" x14ac:dyDescent="0.2">
      <c r="A10" s="9" t="s">
        <v>80</v>
      </c>
      <c r="B10">
        <f>B8-1</f>
        <v>2020</v>
      </c>
      <c r="G10">
        <v>8</v>
      </c>
      <c r="H10" t="s">
        <v>94</v>
      </c>
      <c r="I10" s="12">
        <f>SUMIFS(Data[[Revenue]:[Revenue]],Data[[Region]:[Region]],Region,Data[[Month]:[Month]],'Data Prep'!$G10,Data[[Year]:[Year]],'Data Prep'!I$2)</f>
        <v>30149.900000000009</v>
      </c>
      <c r="J10" s="12">
        <f>IF(G10&gt;CurMonth,NA(),SUMIFS(Data[[Revenue]:[Revenue]],Data[[Region]:[Region]],Region,Data[[Month]:[Month]],'Data Prep'!$G10,Data[[Year]:[Year]],'Data Prep'!J$2))</f>
        <v>49838.54</v>
      </c>
      <c r="K10" s="12" t="e">
        <f>IF(G10=CurMonth,J10,NA())</f>
        <v>#N/A</v>
      </c>
      <c r="M10" t="s">
        <v>60</v>
      </c>
      <c r="N10" s="12">
        <f>SUMIFS(Data[Revenue],Data[Store Name],M10,Data[Year],CurYear,Data[Month],CurMonth)</f>
        <v>13879.13</v>
      </c>
      <c r="O10" s="12">
        <f>SUMIFS(Data[Revenue],Data[Store Name],M10,Data[Month],PreMonth,Data[Year],PMYear)</f>
        <v>13127.479999999996</v>
      </c>
      <c r="P10" s="14">
        <f t="shared" si="0"/>
        <v>5.7257752439920262E-2</v>
      </c>
      <c r="Q10">
        <f t="shared" si="3"/>
        <v>3</v>
      </c>
      <c r="S10">
        <v>8</v>
      </c>
      <c r="T10" t="str">
        <f t="shared" si="4"/>
        <v>O'Hare</v>
      </c>
      <c r="U10" t="str">
        <f>_xlfn.XLOOKUP(T10,Data[Store Name],Data[Region],,0)</f>
        <v>Chicago</v>
      </c>
      <c r="V10" s="12">
        <f t="shared" si="4"/>
        <v>18237.980000000003</v>
      </c>
      <c r="W10" s="14">
        <f t="shared" si="4"/>
        <v>-0.3315731431233282</v>
      </c>
      <c r="X10" s="12">
        <f>IF($U10=Region,V10,0)</f>
        <v>0</v>
      </c>
      <c r="Y10" s="14">
        <f>IF($U10=Region,W10,0)</f>
        <v>0</v>
      </c>
      <c r="AA10" t="s">
        <v>17</v>
      </c>
      <c r="AB10" s="12">
        <f>SUMIFS(Data[Revenue],Data[Region],Region,Data[Month],CurMonth,Data[Year],CurYear,Data[Product Name],'Data Prep'!AA10)</f>
        <v>1483.65</v>
      </c>
      <c r="AC10" s="12">
        <f>SUMIFS(Data[Revenue],Data[Region],Region,Data[Month],PreMonth,Data[Year],PMYear,Data[Product Name],'Data Prep'!AA10)</f>
        <v>1780.38</v>
      </c>
      <c r="AD10" s="2">
        <f t="shared" si="5"/>
        <v>-296.73</v>
      </c>
      <c r="AE10">
        <f t="shared" si="6"/>
        <v>25</v>
      </c>
      <c r="AF10">
        <f t="shared" si="7"/>
        <v>10</v>
      </c>
      <c r="AH10" s="13" t="s">
        <v>104</v>
      </c>
      <c r="AI10" s="13" t="s">
        <v>106</v>
      </c>
      <c r="AJ10" s="13" t="s">
        <v>46</v>
      </c>
      <c r="AK10" s="13" t="s">
        <v>101</v>
      </c>
    </row>
    <row r="11" spans="1:37" x14ac:dyDescent="0.2">
      <c r="A11" s="9" t="s">
        <v>81</v>
      </c>
      <c r="B11">
        <f>IF(CurMonth=1,12,CurMonth-1)</f>
        <v>8</v>
      </c>
      <c r="G11">
        <v>9</v>
      </c>
      <c r="H11" t="s">
        <v>95</v>
      </c>
      <c r="I11" s="12">
        <f>SUMIFS(Data[[Revenue]:[Revenue]],Data[[Region]:[Region]],Region,Data[[Month]:[Month]],'Data Prep'!$G11,Data[[Year]:[Year]],'Data Prep'!I$2)</f>
        <v>34844.409999999982</v>
      </c>
      <c r="J11" s="12">
        <f>IF(G11&gt;CurMonth,NA(),SUMIFS(Data[[Revenue]:[Revenue]],Data[[Region]:[Region]],Region,Data[[Month]:[Month]],'Data Prep'!$G11,Data[[Year]:[Year]],'Data Prep'!J$2))</f>
        <v>50618.369999999995</v>
      </c>
      <c r="K11" s="12">
        <f>IF(G11=CurMonth,J11,NA())</f>
        <v>50618.369999999995</v>
      </c>
      <c r="M11" t="s">
        <v>61</v>
      </c>
      <c r="N11" s="12">
        <f>SUMIFS(Data[Revenue],Data[Store Name],M11,Data[Year],CurYear,Data[Month],CurMonth)</f>
        <v>18171.759999999995</v>
      </c>
      <c r="O11" s="12">
        <f>SUMIFS(Data[Revenue],Data[Store Name],M11,Data[Month],PreMonth,Data[Year],PMYear)</f>
        <v>21919.900000000005</v>
      </c>
      <c r="P11" s="14">
        <f t="shared" si="0"/>
        <v>-0.17099256839675403</v>
      </c>
      <c r="Q11">
        <f t="shared" si="3"/>
        <v>7</v>
      </c>
      <c r="S11">
        <v>9</v>
      </c>
      <c r="T11" t="str">
        <f t="shared" si="4"/>
        <v>Millenium</v>
      </c>
      <c r="U11" t="str">
        <f>_xlfn.XLOOKUP(T11,Data[Store Name],Data[Region],,0)</f>
        <v>Chicago</v>
      </c>
      <c r="V11" s="12">
        <f t="shared" si="4"/>
        <v>18238.46</v>
      </c>
      <c r="W11" s="14">
        <f t="shared" si="4"/>
        <v>0.18953874088693379</v>
      </c>
      <c r="X11" s="12">
        <f>IF($U11=Region,V11,0)</f>
        <v>0</v>
      </c>
      <c r="Y11" s="14">
        <f>IF($U11=Region,W11,0)</f>
        <v>0</v>
      </c>
      <c r="AA11" t="s">
        <v>28</v>
      </c>
      <c r="AB11" s="12">
        <f>SUMIFS(Data[Revenue],Data[Region],Region,Data[Month],CurMonth,Data[Year],CurYear,Data[Product Name],'Data Prep'!AA11)</f>
        <v>2893.07</v>
      </c>
      <c r="AC11" s="12">
        <f>SUMIFS(Data[Revenue],Data[Region],Region,Data[Month],PreMonth,Data[Year],PMYear,Data[Product Name],'Data Prep'!AA11)</f>
        <v>1903.73</v>
      </c>
      <c r="AD11" s="2">
        <f t="shared" si="5"/>
        <v>989.34000000000015</v>
      </c>
      <c r="AE11">
        <f t="shared" si="6"/>
        <v>1</v>
      </c>
      <c r="AF11">
        <f t="shared" si="7"/>
        <v>34</v>
      </c>
      <c r="AH11">
        <v>1</v>
      </c>
      <c r="AI11" t="str">
        <f>INDEX($AA$3:$AD$36,MATCH($AH11,$AF$3:$AF$36,0),MATCH(AI$2,$AA$2:$AD$2,0))</f>
        <v>Rubik's Cube</v>
      </c>
      <c r="AJ11" s="12">
        <f t="shared" ref="AJ11:AK15" si="9">INDEX($AA$3:$AD$36,MATCH($AH11,$AF$3:$AF$36,0),MATCH(AJ$2,$AA$2:$AD$2,0))</f>
        <v>639.67999999999984</v>
      </c>
      <c r="AK11" s="12">
        <f t="shared" si="9"/>
        <v>-1359.3200000000002</v>
      </c>
    </row>
    <row r="12" spans="1:37" x14ac:dyDescent="0.2">
      <c r="A12" s="9" t="s">
        <v>86</v>
      </c>
      <c r="B12">
        <f>IF(CurMonth=1,PreYear,CurYear)</f>
        <v>2021</v>
      </c>
      <c r="G12">
        <v>10</v>
      </c>
      <c r="H12" t="s">
        <v>96</v>
      </c>
      <c r="I12" s="12">
        <f>SUMIFS(Data[[Revenue]:[Revenue]],Data[[Region]:[Region]],Region,Data[[Month]:[Month]],'Data Prep'!$G12,Data[[Year]:[Year]],'Data Prep'!I$2)</f>
        <v>36809.12000000001</v>
      </c>
      <c r="J12" s="12" t="e">
        <f>IF(G12&gt;CurMonth,NA(),SUMIFS(Data[[Revenue]:[Revenue]],Data[[Region]:[Region]],Region,Data[[Month]:[Month]],'Data Prep'!$G12,Data[[Year]:[Year]],'Data Prep'!J$2))</f>
        <v>#N/A</v>
      </c>
      <c r="K12" s="12" t="e">
        <f>IF(G12=CurMonth,J12,NA())</f>
        <v>#N/A</v>
      </c>
      <c r="M12" t="s">
        <v>57</v>
      </c>
      <c r="N12" s="12">
        <f>SUMIFS(Data[Revenue],Data[Store Name],M12,Data[Year],CurYear,Data[Month],CurMonth)</f>
        <v>18237.980000000003</v>
      </c>
      <c r="O12" s="12">
        <f>SUMIFS(Data[Revenue],Data[Store Name],M12,Data[Month],PreMonth,Data[Year],PMYear)</f>
        <v>27284.929999999993</v>
      </c>
      <c r="P12" s="14">
        <f t="shared" si="0"/>
        <v>-0.3315731431233282</v>
      </c>
      <c r="Q12">
        <f t="shared" si="3"/>
        <v>8</v>
      </c>
      <c r="S12">
        <v>10</v>
      </c>
      <c r="T12" t="str">
        <f t="shared" si="4"/>
        <v>Times Square</v>
      </c>
      <c r="U12" t="str">
        <f>_xlfn.XLOOKUP(T12,Data[Store Name],Data[Region],,0)</f>
        <v>New York</v>
      </c>
      <c r="V12" s="12">
        <f t="shared" si="4"/>
        <v>20484.010000000002</v>
      </c>
      <c r="W12" s="14">
        <f t="shared" si="4"/>
        <v>0.14465033810308014</v>
      </c>
      <c r="X12" s="12">
        <f>IF($U12=Region,V12,0)</f>
        <v>20484.010000000002</v>
      </c>
      <c r="Y12" s="14">
        <f>IF($U12=Region,W12,0)</f>
        <v>0.14465033810308014</v>
      </c>
      <c r="AA12" t="s">
        <v>32</v>
      </c>
      <c r="AB12" s="12">
        <f>SUMIFS(Data[Revenue],Data[Region],Region,Data[Month],CurMonth,Data[Year],CurYear,Data[Product Name],'Data Prep'!AA12)</f>
        <v>989.1</v>
      </c>
      <c r="AC12" s="12">
        <f>SUMIFS(Data[Revenue],Data[Region],Region,Data[Month],PreMonth,Data[Year],PMYear,Data[Product Name],'Data Prep'!AA12)</f>
        <v>1505.63</v>
      </c>
      <c r="AD12" s="2">
        <f t="shared" si="5"/>
        <v>-516.53000000000009</v>
      </c>
      <c r="AE12">
        <f t="shared" si="6"/>
        <v>30</v>
      </c>
      <c r="AF12">
        <f t="shared" si="7"/>
        <v>5</v>
      </c>
      <c r="AH12">
        <v>2</v>
      </c>
      <c r="AI12" t="str">
        <f>INDEX($AA$3:$AD$36,MATCH($AH12,$AF$3:$AF$36,0),MATCH(AI$2,$AA$2:$AD$2,0))</f>
        <v>Lego Bricks</v>
      </c>
      <c r="AJ12" s="12">
        <f t="shared" si="9"/>
        <v>9317.67</v>
      </c>
      <c r="AK12" s="12">
        <f t="shared" si="9"/>
        <v>-799.80000000000109</v>
      </c>
    </row>
    <row r="13" spans="1:37" x14ac:dyDescent="0.2">
      <c r="A13" s="9" t="s">
        <v>112</v>
      </c>
      <c r="B13" s="24" t="str">
        <f>VLOOKUP(CurMonth,A16:B27,2,0)&amp;" "&amp;CurYear</f>
        <v>September 2021</v>
      </c>
      <c r="G13">
        <v>11</v>
      </c>
      <c r="H13" t="s">
        <v>97</v>
      </c>
      <c r="I13" s="12">
        <f>SUMIFS(Data[[Revenue]:[Revenue]],Data[[Region]:[Region]],Region,Data[[Month]:[Month]],'Data Prep'!$G13,Data[[Year]:[Year]],'Data Prep'!I$2)</f>
        <v>42365.650000000009</v>
      </c>
      <c r="J13" s="12" t="e">
        <f>IF(G13&gt;CurMonth,NA(),SUMIFS(Data[[Revenue]:[Revenue]],Data[[Region]:[Region]],Region,Data[[Month]:[Month]],'Data Prep'!$G13,Data[[Year]:[Year]],'Data Prep'!J$2))</f>
        <v>#N/A</v>
      </c>
      <c r="K13" s="12" t="e">
        <f>IF(G13=CurMonth,J13,NA())</f>
        <v>#N/A</v>
      </c>
      <c r="AA13" t="s">
        <v>31</v>
      </c>
      <c r="AB13" s="12">
        <f>SUMIFS(Data[Revenue],Data[Region],Region,Data[Month],CurMonth,Data[Year],CurYear,Data[Product Name],'Data Prep'!AA13)</f>
        <v>1159.4199999999998</v>
      </c>
      <c r="AC13" s="12">
        <f>SUMIFS(Data[Revenue],Data[Region],Region,Data[Month],PreMonth,Data[Year],PMYear,Data[Product Name],'Data Prep'!AA13)</f>
        <v>1559.2199999999998</v>
      </c>
      <c r="AD13" s="2">
        <f t="shared" si="5"/>
        <v>-399.79999999999995</v>
      </c>
      <c r="AE13">
        <f t="shared" si="6"/>
        <v>28</v>
      </c>
      <c r="AF13">
        <f t="shared" si="7"/>
        <v>7</v>
      </c>
      <c r="AH13">
        <v>3</v>
      </c>
      <c r="AI13" t="str">
        <f t="shared" ref="AI13:AI15" si="10">INDEX($AA$3:$AD$36,MATCH($AH13,$AF$3:$AF$36,0),MATCH(AI$2,$AA$2:$AD$2,0))</f>
        <v>Mr. Potatohead</v>
      </c>
      <c r="AJ13" s="12">
        <f t="shared" si="9"/>
        <v>459.53999999999996</v>
      </c>
      <c r="AK13" s="12">
        <f t="shared" si="9"/>
        <v>-719.28</v>
      </c>
    </row>
    <row r="14" spans="1:37" x14ac:dyDescent="0.2">
      <c r="A14" s="9"/>
      <c r="G14">
        <v>12</v>
      </c>
      <c r="H14" t="s">
        <v>98</v>
      </c>
      <c r="I14" s="12">
        <f>SUMIFS(Data[[Revenue]:[Revenue]],Data[[Region]:[Region]],Region,Data[[Month]:[Month]],'Data Prep'!$G14,Data[[Year]:[Year]],'Data Prep'!I$2)</f>
        <v>48216.44999999999</v>
      </c>
      <c r="J14" s="12" t="e">
        <f>IF(G14&gt;CurMonth,NA(),SUMIFS(Data[[Revenue]:[Revenue]],Data[[Region]:[Region]],Region,Data[[Month]:[Month]],'Data Prep'!$G14,Data[[Year]:[Year]],'Data Prep'!J$2))</f>
        <v>#N/A</v>
      </c>
      <c r="K14" s="12" t="e">
        <f>IF(G14=CurMonth,J14,NA())</f>
        <v>#N/A</v>
      </c>
      <c r="AA14" t="s">
        <v>15</v>
      </c>
      <c r="AB14" s="12">
        <f>SUMIFS(Data[Revenue],Data[Region],Region,Data[Month],CurMonth,Data[Year],CurYear,Data[Product Name],'Data Prep'!AA14)</f>
        <v>9317.67</v>
      </c>
      <c r="AC14" s="12">
        <f>SUMIFS(Data[Revenue],Data[Region],Region,Data[Month],PreMonth,Data[Year],PMYear,Data[Product Name],'Data Prep'!AA14)</f>
        <v>10117.470000000001</v>
      </c>
      <c r="AD14" s="2">
        <f t="shared" si="5"/>
        <v>-799.80000000000109</v>
      </c>
      <c r="AE14">
        <f t="shared" si="6"/>
        <v>33</v>
      </c>
      <c r="AF14">
        <f t="shared" si="7"/>
        <v>2</v>
      </c>
      <c r="AH14">
        <v>4</v>
      </c>
      <c r="AI14" t="str">
        <f t="shared" si="10"/>
        <v>Etch A Sketch</v>
      </c>
      <c r="AJ14" s="12">
        <f t="shared" si="9"/>
        <v>881.57999999999993</v>
      </c>
      <c r="AK14" s="12">
        <f t="shared" si="9"/>
        <v>-524.75</v>
      </c>
    </row>
    <row r="15" spans="1:37" x14ac:dyDescent="0.2">
      <c r="A15" s="7" t="s">
        <v>113</v>
      </c>
      <c r="B15" s="7" t="s">
        <v>49</v>
      </c>
      <c r="AA15" t="s">
        <v>71</v>
      </c>
      <c r="AB15" s="12">
        <f>SUMIFS(Data[Revenue],Data[Region],Region,Data[Month],CurMonth,Data[Year],CurYear,Data[Product Name],'Data Prep'!AA15)</f>
        <v>0</v>
      </c>
      <c r="AC15" s="12">
        <f>SUMIFS(Data[Revenue],Data[Region],Region,Data[Month],PreMonth,Data[Year],PMYear,Data[Product Name],'Data Prep'!AA15)</f>
        <v>0</v>
      </c>
      <c r="AD15" s="2">
        <f t="shared" si="5"/>
        <v>0</v>
      </c>
      <c r="AE15">
        <f t="shared" si="6"/>
        <v>15.5</v>
      </c>
      <c r="AF15">
        <f t="shared" si="7"/>
        <v>19.5</v>
      </c>
      <c r="AH15">
        <v>5</v>
      </c>
      <c r="AI15" t="str">
        <f t="shared" si="10"/>
        <v>Glass Marbles</v>
      </c>
      <c r="AJ15" s="12">
        <f t="shared" si="9"/>
        <v>989.1</v>
      </c>
      <c r="AK15" s="12">
        <f t="shared" si="9"/>
        <v>-516.53000000000009</v>
      </c>
    </row>
    <row r="16" spans="1:37" x14ac:dyDescent="0.2">
      <c r="A16">
        <v>1</v>
      </c>
      <c r="B16" t="s">
        <v>114</v>
      </c>
      <c r="AA16" t="s">
        <v>19</v>
      </c>
      <c r="AB16" s="12">
        <f>SUMIFS(Data[Revenue],Data[Region],Region,Data[Month],CurMonth,Data[Year],CurYear,Data[Product Name],'Data Prep'!AA16)</f>
        <v>899.55</v>
      </c>
      <c r="AC16" s="12">
        <f>SUMIFS(Data[Revenue],Data[Region],Region,Data[Month],PreMonth,Data[Year],PMYear,Data[Product Name],'Data Prep'!AA16)</f>
        <v>159.91999999999999</v>
      </c>
      <c r="AD16" s="2">
        <f t="shared" si="5"/>
        <v>739.63</v>
      </c>
      <c r="AE16">
        <f t="shared" si="6"/>
        <v>2</v>
      </c>
      <c r="AF16">
        <f t="shared" si="7"/>
        <v>33</v>
      </c>
    </row>
    <row r="17" spans="1:32" x14ac:dyDescent="0.2">
      <c r="A17">
        <v>2</v>
      </c>
      <c r="B17" t="s">
        <v>115</v>
      </c>
      <c r="AA17" t="s">
        <v>27</v>
      </c>
      <c r="AB17" s="12">
        <f>SUMIFS(Data[Revenue],Data[Region],Region,Data[Month],CurMonth,Data[Year],CurYear,Data[Product Name],'Data Prep'!AA17)</f>
        <v>1219.92</v>
      </c>
      <c r="AC17" s="12">
        <f>SUMIFS(Data[Revenue],Data[Region],Region,Data[Month],PreMonth,Data[Year],PMYear,Data[Product Name],'Data Prep'!AA17)</f>
        <v>1267.7600000000002</v>
      </c>
      <c r="AD17" s="2">
        <f t="shared" si="5"/>
        <v>-47.840000000000146</v>
      </c>
      <c r="AE17">
        <f t="shared" si="6"/>
        <v>19</v>
      </c>
      <c r="AF17">
        <f t="shared" si="7"/>
        <v>16</v>
      </c>
    </row>
    <row r="18" spans="1:32" x14ac:dyDescent="0.2">
      <c r="A18">
        <v>3</v>
      </c>
      <c r="B18" t="s">
        <v>116</v>
      </c>
      <c r="AA18" t="s">
        <v>11</v>
      </c>
      <c r="AB18" s="12">
        <f>SUMIFS(Data[Revenue],Data[Region],Region,Data[Month],CurMonth,Data[Year],CurYear,Data[Product Name],'Data Prep'!AA18)</f>
        <v>374.25</v>
      </c>
      <c r="AC18" s="12">
        <f>SUMIFS(Data[Revenue],Data[Region],Region,Data[Month],PreMonth,Data[Year],PMYear,Data[Product Name],'Data Prep'!AA18)</f>
        <v>449.1</v>
      </c>
      <c r="AD18" s="2">
        <f t="shared" si="5"/>
        <v>-74.850000000000023</v>
      </c>
      <c r="AE18">
        <f t="shared" si="6"/>
        <v>20</v>
      </c>
      <c r="AF18">
        <f t="shared" si="7"/>
        <v>15</v>
      </c>
    </row>
    <row r="19" spans="1:32" x14ac:dyDescent="0.2">
      <c r="A19">
        <v>4</v>
      </c>
      <c r="B19" t="s">
        <v>117</v>
      </c>
      <c r="AA19" t="s">
        <v>26</v>
      </c>
      <c r="AB19" s="12">
        <f>SUMIFS(Data[Revenue],Data[Region],Region,Data[Month],CurMonth,Data[Year],CurYear,Data[Product Name],'Data Prep'!AA19)</f>
        <v>639.67999999999984</v>
      </c>
      <c r="AC19" s="12">
        <f>SUMIFS(Data[Revenue],Data[Region],Region,Data[Month],PreMonth,Data[Year],PMYear,Data[Product Name],'Data Prep'!AA19)</f>
        <v>1999</v>
      </c>
      <c r="AD19" s="2">
        <f t="shared" si="5"/>
        <v>-1359.3200000000002</v>
      </c>
      <c r="AE19">
        <f t="shared" si="6"/>
        <v>34</v>
      </c>
      <c r="AF19">
        <f t="shared" si="7"/>
        <v>1</v>
      </c>
    </row>
    <row r="20" spans="1:32" x14ac:dyDescent="0.2">
      <c r="A20">
        <v>5</v>
      </c>
      <c r="B20" t="s">
        <v>118</v>
      </c>
      <c r="AA20" t="s">
        <v>6</v>
      </c>
      <c r="AB20" s="12">
        <f>SUMIFS(Data[Revenue],Data[Region],Region,Data[Month],CurMonth,Data[Year],CurYear,Data[Product Name],'Data Prep'!AA20)</f>
        <v>2247.5</v>
      </c>
      <c r="AC20" s="12">
        <f>SUMIFS(Data[Revenue],Data[Region],Region,Data[Month],PreMonth,Data[Year],PMYear,Data[Product Name],'Data Prep'!AA20)</f>
        <v>2481.2400000000002</v>
      </c>
      <c r="AD20" s="2">
        <f t="shared" si="5"/>
        <v>-233.74000000000024</v>
      </c>
      <c r="AE20">
        <f t="shared" si="6"/>
        <v>24</v>
      </c>
      <c r="AF20">
        <f t="shared" si="7"/>
        <v>11</v>
      </c>
    </row>
    <row r="21" spans="1:32" x14ac:dyDescent="0.2">
      <c r="A21">
        <v>6</v>
      </c>
      <c r="B21" t="s">
        <v>119</v>
      </c>
      <c r="AA21" t="s">
        <v>16</v>
      </c>
      <c r="AB21" s="12">
        <f>SUMIFS(Data[Revenue],Data[Region],Region,Data[Month],CurMonth,Data[Year],CurYear,Data[Product Name],'Data Prep'!AA21)</f>
        <v>0</v>
      </c>
      <c r="AC21" s="12">
        <f>SUMIFS(Data[Revenue],Data[Region],Region,Data[Month],PreMonth,Data[Year],PMYear,Data[Product Name],'Data Prep'!AA21)</f>
        <v>363.72</v>
      </c>
      <c r="AD21" s="2">
        <f t="shared" si="5"/>
        <v>-363.72</v>
      </c>
      <c r="AE21">
        <f t="shared" si="6"/>
        <v>27</v>
      </c>
      <c r="AF21">
        <f t="shared" si="7"/>
        <v>8</v>
      </c>
    </row>
    <row r="22" spans="1:32" x14ac:dyDescent="0.2">
      <c r="A22">
        <v>7</v>
      </c>
      <c r="B22" t="s">
        <v>120</v>
      </c>
      <c r="AA22" t="s">
        <v>23</v>
      </c>
      <c r="AB22" s="12">
        <f>SUMIFS(Data[Revenue],Data[Region],Region,Data[Month],CurMonth,Data[Year],CurYear,Data[Product Name],'Data Prep'!AA22)</f>
        <v>675.74</v>
      </c>
      <c r="AC22" s="12">
        <f>SUMIFS(Data[Revenue],Data[Region],Region,Data[Month],PreMonth,Data[Year],PMYear,Data[Product Name],'Data Prep'!AA22)</f>
        <v>987.61999999999989</v>
      </c>
      <c r="AD22" s="2">
        <f t="shared" si="5"/>
        <v>-311.87999999999988</v>
      </c>
      <c r="AE22">
        <f t="shared" si="6"/>
        <v>26</v>
      </c>
      <c r="AF22">
        <f t="shared" si="7"/>
        <v>9</v>
      </c>
    </row>
    <row r="23" spans="1:32" x14ac:dyDescent="0.2">
      <c r="A23">
        <v>8</v>
      </c>
      <c r="B23" t="s">
        <v>121</v>
      </c>
      <c r="AA23" t="s">
        <v>10</v>
      </c>
      <c r="AB23" s="12">
        <f>SUMIFS(Data[Revenue],Data[Region],Region,Data[Month],CurMonth,Data[Year],CurYear,Data[Product Name],'Data Prep'!AA23)</f>
        <v>2278.8599999999997</v>
      </c>
      <c r="AC23" s="12">
        <f>SUMIFS(Data[Revenue],Data[Region],Region,Data[Month],PreMonth,Data[Year],PMYear,Data[Product Name],'Data Prep'!AA23)</f>
        <v>1859.07</v>
      </c>
      <c r="AD23" s="2">
        <f t="shared" si="5"/>
        <v>419.78999999999974</v>
      </c>
      <c r="AE23">
        <f t="shared" si="6"/>
        <v>6</v>
      </c>
      <c r="AF23">
        <f t="shared" si="7"/>
        <v>29</v>
      </c>
    </row>
    <row r="24" spans="1:32" x14ac:dyDescent="0.2">
      <c r="A24">
        <v>9</v>
      </c>
      <c r="B24" t="s">
        <v>122</v>
      </c>
      <c r="AA24" t="s">
        <v>66</v>
      </c>
      <c r="AB24" s="12">
        <f>SUMIFS(Data[Revenue],Data[Region],Region,Data[Month],CurMonth,Data[Year],CurYear,Data[Product Name],'Data Prep'!AA24)</f>
        <v>0</v>
      </c>
      <c r="AC24" s="12">
        <f>SUMIFS(Data[Revenue],Data[Region],Region,Data[Month],PreMonth,Data[Year],PMYear,Data[Product Name],'Data Prep'!AA24)</f>
        <v>0</v>
      </c>
      <c r="AD24" s="2">
        <f t="shared" si="5"/>
        <v>0</v>
      </c>
      <c r="AE24">
        <f t="shared" si="6"/>
        <v>15.5</v>
      </c>
      <c r="AF24">
        <f t="shared" si="7"/>
        <v>19.5</v>
      </c>
    </row>
    <row r="25" spans="1:32" x14ac:dyDescent="0.2">
      <c r="A25">
        <v>10</v>
      </c>
      <c r="B25" t="s">
        <v>123</v>
      </c>
      <c r="AA25" t="s">
        <v>29</v>
      </c>
      <c r="AB25" s="12">
        <f>SUMIFS(Data[Revenue],Data[Region],Region,Data[Month],CurMonth,Data[Year],CurYear,Data[Product Name],'Data Prep'!AA25)</f>
        <v>63.92</v>
      </c>
      <c r="AC25" s="12">
        <f>SUMIFS(Data[Revenue],Data[Region],Region,Data[Month],PreMonth,Data[Year],PMYear,Data[Product Name],'Data Prep'!AA25)</f>
        <v>0</v>
      </c>
      <c r="AD25" s="2">
        <f t="shared" si="5"/>
        <v>63.92</v>
      </c>
      <c r="AE25">
        <f t="shared" si="6"/>
        <v>11</v>
      </c>
      <c r="AF25">
        <f t="shared" si="7"/>
        <v>24</v>
      </c>
    </row>
    <row r="26" spans="1:32" x14ac:dyDescent="0.2">
      <c r="A26">
        <v>11</v>
      </c>
      <c r="B26" t="s">
        <v>124</v>
      </c>
      <c r="AA26" t="s">
        <v>34</v>
      </c>
      <c r="AB26" s="12">
        <f>SUMIFS(Data[Revenue],Data[Region],Region,Data[Month],CurMonth,Data[Year],CurYear,Data[Product Name],'Data Prep'!AA26)</f>
        <v>1356.6</v>
      </c>
      <c r="AC26" s="12">
        <f>SUMIFS(Data[Revenue],Data[Region],Region,Data[Month],PreMonth,Data[Year],PMYear,Data[Product Name],'Data Prep'!AA26)</f>
        <v>805.98</v>
      </c>
      <c r="AD26" s="2">
        <f t="shared" si="5"/>
        <v>550.61999999999989</v>
      </c>
      <c r="AE26">
        <f t="shared" si="6"/>
        <v>4</v>
      </c>
      <c r="AF26">
        <f t="shared" si="7"/>
        <v>31</v>
      </c>
    </row>
    <row r="27" spans="1:32" x14ac:dyDescent="0.2">
      <c r="A27">
        <v>12</v>
      </c>
      <c r="B27" t="s">
        <v>125</v>
      </c>
      <c r="AA27" t="s">
        <v>70</v>
      </c>
      <c r="AB27" s="12">
        <f>SUMIFS(Data[Revenue],Data[Region],Region,Data[Month],CurMonth,Data[Year],CurYear,Data[Product Name],'Data Prep'!AA27)</f>
        <v>0</v>
      </c>
      <c r="AC27" s="12">
        <f>SUMIFS(Data[Revenue],Data[Region],Region,Data[Month],PreMonth,Data[Year],PMYear,Data[Product Name],'Data Prep'!AA27)</f>
        <v>0</v>
      </c>
      <c r="AD27" s="2">
        <f t="shared" si="5"/>
        <v>0</v>
      </c>
      <c r="AE27">
        <f t="shared" si="6"/>
        <v>15.5</v>
      </c>
      <c r="AF27">
        <f t="shared" si="7"/>
        <v>19.5</v>
      </c>
    </row>
    <row r="28" spans="1:32" x14ac:dyDescent="0.2">
      <c r="AA28" t="s">
        <v>67</v>
      </c>
      <c r="AB28" s="12">
        <f>SUMIFS(Data[Revenue],Data[Region],Region,Data[Month],CurMonth,Data[Year],CurYear,Data[Product Name],'Data Prep'!AA28)</f>
        <v>0</v>
      </c>
      <c r="AC28" s="12">
        <f>SUMIFS(Data[Revenue],Data[Region],Region,Data[Month],PreMonth,Data[Year],PMYear,Data[Product Name],'Data Prep'!AA28)</f>
        <v>0</v>
      </c>
      <c r="AD28" s="2">
        <f t="shared" si="5"/>
        <v>0</v>
      </c>
      <c r="AE28">
        <f t="shared" si="6"/>
        <v>15.5</v>
      </c>
      <c r="AF28">
        <f t="shared" si="7"/>
        <v>19.5</v>
      </c>
    </row>
    <row r="29" spans="1:32" x14ac:dyDescent="0.2">
      <c r="AA29" t="s">
        <v>37</v>
      </c>
      <c r="AB29" s="12">
        <f>SUMIFS(Data[Revenue],Data[Region],Region,Data[Month],CurMonth,Data[Year],CurYear,Data[Product Name],'Data Prep'!AA29)</f>
        <v>949.61999999999989</v>
      </c>
      <c r="AC29" s="12">
        <f>SUMIFS(Data[Revenue],Data[Region],Region,Data[Month],PreMonth,Data[Year],PMYear,Data[Product Name],'Data Prep'!AA29)</f>
        <v>874.64999999999986</v>
      </c>
      <c r="AD29" s="2">
        <f t="shared" si="5"/>
        <v>74.970000000000027</v>
      </c>
      <c r="AE29">
        <f t="shared" si="6"/>
        <v>10</v>
      </c>
      <c r="AF29">
        <f t="shared" si="7"/>
        <v>25</v>
      </c>
    </row>
    <row r="30" spans="1:32" x14ac:dyDescent="0.2">
      <c r="AA30" t="s">
        <v>38</v>
      </c>
      <c r="AB30" s="12">
        <f>SUMIFS(Data[Revenue],Data[Region],Region,Data[Month],CurMonth,Data[Year],CurYear,Data[Product Name],'Data Prep'!AA30)</f>
        <v>0</v>
      </c>
      <c r="AC30" s="12">
        <f>SUMIFS(Data[Revenue],Data[Region],Region,Data[Month],PreMonth,Data[Year],PMYear,Data[Product Name],'Data Prep'!AA30)</f>
        <v>119.88</v>
      </c>
      <c r="AD30" s="2">
        <f t="shared" si="5"/>
        <v>-119.88</v>
      </c>
      <c r="AE30">
        <f t="shared" si="6"/>
        <v>22</v>
      </c>
      <c r="AF30">
        <f t="shared" si="7"/>
        <v>13</v>
      </c>
    </row>
    <row r="31" spans="1:32" x14ac:dyDescent="0.2">
      <c r="AA31" t="s">
        <v>39</v>
      </c>
      <c r="AB31" s="12">
        <f>SUMIFS(Data[Revenue],Data[Region],Region,Data[Month],CurMonth,Data[Year],CurYear,Data[Product Name],'Data Prep'!AA31)</f>
        <v>279.85999999999996</v>
      </c>
      <c r="AC31" s="12">
        <f>SUMIFS(Data[Revenue],Data[Region],Region,Data[Month],PreMonth,Data[Year],PMYear,Data[Product Name],'Data Prep'!AA31)</f>
        <v>39.979999999999997</v>
      </c>
      <c r="AD31" s="2">
        <f t="shared" si="5"/>
        <v>239.87999999999997</v>
      </c>
      <c r="AE31">
        <f t="shared" si="6"/>
        <v>8</v>
      </c>
      <c r="AF31">
        <f t="shared" si="7"/>
        <v>27</v>
      </c>
    </row>
    <row r="32" spans="1:32" x14ac:dyDescent="0.2">
      <c r="AA32" t="s">
        <v>68</v>
      </c>
      <c r="AB32" s="12">
        <f>SUMIFS(Data[Revenue],Data[Region],Region,Data[Month],CurMonth,Data[Year],CurYear,Data[Product Name],'Data Prep'!AA32)</f>
        <v>0</v>
      </c>
      <c r="AC32" s="12">
        <f>SUMIFS(Data[Revenue],Data[Region],Region,Data[Month],PreMonth,Data[Year],PMYear,Data[Product Name],'Data Prep'!AA32)</f>
        <v>0</v>
      </c>
      <c r="AD32" s="2">
        <f t="shared" si="5"/>
        <v>0</v>
      </c>
      <c r="AE32">
        <f t="shared" si="6"/>
        <v>15.5</v>
      </c>
      <c r="AF32">
        <f t="shared" si="7"/>
        <v>19.5</v>
      </c>
    </row>
    <row r="33" spans="27:32" x14ac:dyDescent="0.2">
      <c r="AA33" t="s">
        <v>42</v>
      </c>
      <c r="AB33" s="12">
        <f>SUMIFS(Data[Revenue],Data[Region],Region,Data[Month],CurMonth,Data[Year],CurYear,Data[Product Name],'Data Prep'!AA33)</f>
        <v>4589.13</v>
      </c>
      <c r="AC33" s="12">
        <f>SUMIFS(Data[Revenue],Data[Region],Region,Data[Month],PreMonth,Data[Year],PMYear,Data[Product Name],'Data Prep'!AA33)</f>
        <v>3901.56</v>
      </c>
      <c r="AD33" s="2">
        <f t="shared" si="5"/>
        <v>687.57000000000016</v>
      </c>
      <c r="AE33">
        <f t="shared" si="6"/>
        <v>3</v>
      </c>
      <c r="AF33">
        <f t="shared" si="7"/>
        <v>32</v>
      </c>
    </row>
    <row r="34" spans="27:32" x14ac:dyDescent="0.2">
      <c r="AA34" t="s">
        <v>41</v>
      </c>
      <c r="AB34" s="12">
        <f>SUMIFS(Data[Revenue],Data[Region],Region,Data[Month],CurMonth,Data[Year],CurYear,Data[Product Name],'Data Prep'!AA34)</f>
        <v>459.53999999999996</v>
      </c>
      <c r="AC34" s="12">
        <f>SUMIFS(Data[Revenue],Data[Region],Region,Data[Month],PreMonth,Data[Year],PMYear,Data[Product Name],'Data Prep'!AA34)</f>
        <v>1178.82</v>
      </c>
      <c r="AD34" s="2">
        <f t="shared" si="5"/>
        <v>-719.28</v>
      </c>
      <c r="AE34">
        <f t="shared" si="6"/>
        <v>32</v>
      </c>
      <c r="AF34">
        <f t="shared" si="7"/>
        <v>3</v>
      </c>
    </row>
    <row r="35" spans="27:32" x14ac:dyDescent="0.2">
      <c r="AA35" t="s">
        <v>43</v>
      </c>
      <c r="AB35" s="12">
        <f>SUMIFS(Data[Revenue],Data[Region],Region,Data[Month],CurMonth,Data[Year],CurYear,Data[Product Name],'Data Prep'!AA35)</f>
        <v>881.57999999999993</v>
      </c>
      <c r="AC35" s="12">
        <f>SUMIFS(Data[Revenue],Data[Region],Region,Data[Month],PreMonth,Data[Year],PMYear,Data[Product Name],'Data Prep'!AA35)</f>
        <v>1406.33</v>
      </c>
      <c r="AD35" s="2">
        <f t="shared" si="5"/>
        <v>-524.75</v>
      </c>
      <c r="AE35">
        <f t="shared" si="6"/>
        <v>31</v>
      </c>
      <c r="AF35">
        <f t="shared" si="7"/>
        <v>4</v>
      </c>
    </row>
    <row r="36" spans="27:32" x14ac:dyDescent="0.2">
      <c r="AA36" t="s">
        <v>69</v>
      </c>
      <c r="AB36" s="12">
        <f>SUMIFS(Data[Revenue],Data[Region],Region,Data[Month],CurMonth,Data[Year],CurYear,Data[Product Name],'Data Prep'!AA36)</f>
        <v>0</v>
      </c>
      <c r="AC36" s="12">
        <f>SUMIFS(Data[Revenue],Data[Region],Region,Data[Month],PreMonth,Data[Year],PMYear,Data[Product Name],'Data Prep'!AA36)</f>
        <v>0</v>
      </c>
      <c r="AD36" s="2">
        <f t="shared" si="5"/>
        <v>0</v>
      </c>
      <c r="AE36">
        <f t="shared" si="6"/>
        <v>15.5</v>
      </c>
      <c r="AF36">
        <f t="shared" si="7"/>
        <v>19.5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7583-1E8B-BB4F-B3E8-7A2038E63660}">
  <dimension ref="B6:Q36"/>
  <sheetViews>
    <sheetView showGridLines="0" tabSelected="1" workbookViewId="0">
      <selection activeCell="J28" sqref="J28"/>
    </sheetView>
  </sheetViews>
  <sheetFormatPr baseColWidth="10" defaultRowHeight="15" x14ac:dyDescent="0.2"/>
  <cols>
    <col min="1" max="1" width="9" customWidth="1"/>
    <col min="3" max="3" width="22.83203125" customWidth="1"/>
    <col min="5" max="5" width="7.5" customWidth="1"/>
    <col min="13" max="13" width="13.33203125" customWidth="1"/>
    <col min="14" max="14" width="19" customWidth="1"/>
    <col min="16" max="16" width="16.1640625" customWidth="1"/>
  </cols>
  <sheetData>
    <row r="6" spans="2:17" ht="31" x14ac:dyDescent="0.35">
      <c r="B6" s="23" t="s">
        <v>127</v>
      </c>
      <c r="C6" s="19" t="s">
        <v>5</v>
      </c>
      <c r="D6" s="25" t="s">
        <v>126</v>
      </c>
      <c r="E6" s="24"/>
      <c r="F6" s="26" t="str">
        <f>'Data Prep'!B13&amp;"?"</f>
        <v>September 2021?</v>
      </c>
    </row>
    <row r="12" spans="2:17" ht="16" x14ac:dyDescent="0.2">
      <c r="N12" s="17" t="s">
        <v>106</v>
      </c>
      <c r="O12" s="18" t="s">
        <v>46</v>
      </c>
      <c r="P12" s="18" t="s">
        <v>111</v>
      </c>
      <c r="Q12" s="15"/>
    </row>
    <row r="13" spans="2:17" ht="30" customHeight="1" x14ac:dyDescent="0.2">
      <c r="N13" s="15" t="str">
        <f>'Data Prep'!AI3</f>
        <v>Dinosaur Figures</v>
      </c>
      <c r="O13" s="16">
        <f>'Data Prep'!AJ3</f>
        <v>2893.07</v>
      </c>
      <c r="P13" s="16">
        <f>'Data Prep'!AK3</f>
        <v>989.34000000000015</v>
      </c>
      <c r="Q13" s="15"/>
    </row>
    <row r="14" spans="2:17" ht="30" customHeight="1" x14ac:dyDescent="0.2">
      <c r="N14" s="15" t="str">
        <f>'Data Prep'!AI4</f>
        <v>Monopoly</v>
      </c>
      <c r="O14" s="16">
        <f>'Data Prep'!AJ4</f>
        <v>899.55</v>
      </c>
      <c r="P14" s="16">
        <f>'Data Prep'!AK4</f>
        <v>739.63</v>
      </c>
      <c r="Q14" s="15"/>
    </row>
    <row r="15" spans="2:17" ht="30" customHeight="1" x14ac:dyDescent="0.2">
      <c r="N15" s="15" t="str">
        <f>'Data Prep'!AI5</f>
        <v>Magic Sand</v>
      </c>
      <c r="O15" s="16">
        <f>'Data Prep'!AJ5</f>
        <v>4589.13</v>
      </c>
      <c r="P15" s="16">
        <f>'Data Prep'!AK5</f>
        <v>687.57000000000016</v>
      </c>
      <c r="Q15" s="15"/>
    </row>
    <row r="16" spans="2:17" ht="30" customHeight="1" x14ac:dyDescent="0.2">
      <c r="D16" s="8"/>
      <c r="N16" s="15" t="str">
        <f>'Data Prep'!AI6</f>
        <v>Barrel O' Slime</v>
      </c>
      <c r="O16" s="16">
        <f>'Data Prep'!AJ6</f>
        <v>1356.6</v>
      </c>
      <c r="P16" s="16">
        <f>'Data Prep'!AK6</f>
        <v>550.61999999999989</v>
      </c>
      <c r="Q16" s="15"/>
    </row>
    <row r="17" spans="14:17" ht="30" customHeight="1" x14ac:dyDescent="0.2">
      <c r="N17" s="15" t="str">
        <f>'Data Prep'!AI7</f>
        <v>Deck Of Cards</v>
      </c>
      <c r="O17" s="16">
        <f>'Data Prep'!AJ7</f>
        <v>1901.28</v>
      </c>
      <c r="P17" s="16">
        <f>'Data Prep'!AK7</f>
        <v>426.38999999999987</v>
      </c>
      <c r="Q17" s="15"/>
    </row>
    <row r="18" spans="14:17" ht="16" x14ac:dyDescent="0.2">
      <c r="N18" s="15"/>
      <c r="O18" s="15"/>
      <c r="P18" s="20">
        <f>SUM(P13:P17)</f>
        <v>3393.55</v>
      </c>
      <c r="Q18" s="15"/>
    </row>
    <row r="19" spans="14:17" ht="16" x14ac:dyDescent="0.2">
      <c r="N19" s="15"/>
      <c r="O19" s="15"/>
      <c r="P19" s="15"/>
      <c r="Q19" s="15"/>
    </row>
    <row r="20" spans="14:17" ht="16" x14ac:dyDescent="0.2">
      <c r="N20" s="15"/>
      <c r="O20" s="15"/>
      <c r="P20" s="15"/>
      <c r="Q20" s="15"/>
    </row>
    <row r="21" spans="14:17" ht="16" x14ac:dyDescent="0.2">
      <c r="N21" s="15"/>
      <c r="O21" s="15"/>
      <c r="P21" s="15"/>
      <c r="Q21" s="15"/>
    </row>
    <row r="22" spans="14:17" ht="30" customHeight="1" x14ac:dyDescent="0.2">
      <c r="N22" s="17" t="s">
        <v>106</v>
      </c>
      <c r="O22" s="18" t="s">
        <v>46</v>
      </c>
      <c r="P22" s="18" t="s">
        <v>111</v>
      </c>
      <c r="Q22" s="15"/>
    </row>
    <row r="23" spans="14:17" ht="30" customHeight="1" x14ac:dyDescent="0.2">
      <c r="N23" s="15" t="str">
        <f>'Data Prep'!AI11</f>
        <v>Rubik's Cube</v>
      </c>
      <c r="O23" s="16">
        <f>'Data Prep'!AJ11</f>
        <v>639.67999999999984</v>
      </c>
      <c r="P23" s="16">
        <f>'Data Prep'!AK11</f>
        <v>-1359.3200000000002</v>
      </c>
      <c r="Q23" s="15"/>
    </row>
    <row r="24" spans="14:17" ht="30" customHeight="1" x14ac:dyDescent="0.2">
      <c r="N24" s="15" t="str">
        <f>'Data Prep'!AI12</f>
        <v>Lego Bricks</v>
      </c>
      <c r="O24" s="16">
        <f>'Data Prep'!AJ12</f>
        <v>9317.67</v>
      </c>
      <c r="P24" s="16">
        <f>'Data Prep'!AK12</f>
        <v>-799.80000000000109</v>
      </c>
      <c r="Q24" s="15"/>
    </row>
    <row r="25" spans="14:17" ht="30" customHeight="1" x14ac:dyDescent="0.2">
      <c r="N25" s="15" t="str">
        <f>'Data Prep'!AI13</f>
        <v>Mr. Potatohead</v>
      </c>
      <c r="O25" s="16">
        <f>'Data Prep'!AJ13</f>
        <v>459.53999999999996</v>
      </c>
      <c r="P25" s="16">
        <f>'Data Prep'!AK13</f>
        <v>-719.28</v>
      </c>
      <c r="Q25" s="15"/>
    </row>
    <row r="26" spans="14:17" ht="30" customHeight="1" x14ac:dyDescent="0.2">
      <c r="N26" s="15" t="str">
        <f>'Data Prep'!AI14</f>
        <v>Etch A Sketch</v>
      </c>
      <c r="O26" s="16">
        <f>'Data Prep'!AJ14</f>
        <v>881.57999999999993</v>
      </c>
      <c r="P26" s="16">
        <f>'Data Prep'!AK14</f>
        <v>-524.75</v>
      </c>
      <c r="Q26" s="15"/>
    </row>
    <row r="27" spans="14:17" ht="30" customHeight="1" x14ac:dyDescent="0.2">
      <c r="N27" s="15" t="str">
        <f>'Data Prep'!AI15</f>
        <v>Glass Marbles</v>
      </c>
      <c r="O27" s="16">
        <f>'Data Prep'!AJ15</f>
        <v>989.1</v>
      </c>
      <c r="P27" s="16">
        <f>'Data Prep'!AK15</f>
        <v>-516.53000000000009</v>
      </c>
      <c r="Q27" s="15"/>
    </row>
    <row r="28" spans="14:17" ht="30" customHeight="1" x14ac:dyDescent="0.2">
      <c r="N28" s="15"/>
      <c r="O28" s="15"/>
      <c r="P28" s="21">
        <f>SUM(P23:P27)</f>
        <v>-3919.6800000000017</v>
      </c>
      <c r="Q28" s="15"/>
    </row>
    <row r="29" spans="14:17" ht="16" x14ac:dyDescent="0.2">
      <c r="Q29" s="15"/>
    </row>
    <row r="30" spans="14:17" ht="16" x14ac:dyDescent="0.2">
      <c r="Q30" s="15"/>
    </row>
    <row r="31" spans="14:17" ht="16" x14ac:dyDescent="0.2">
      <c r="Q31" s="15"/>
    </row>
    <row r="32" spans="14:17" ht="16" x14ac:dyDescent="0.2">
      <c r="Q32" s="15"/>
    </row>
    <row r="33" spans="14:17" ht="16" x14ac:dyDescent="0.2">
      <c r="Q33" s="15"/>
    </row>
    <row r="34" spans="14:17" ht="16" x14ac:dyDescent="0.2">
      <c r="N34" s="15"/>
      <c r="O34" s="15"/>
      <c r="P34" s="15"/>
      <c r="Q34" s="15"/>
    </row>
    <row r="35" spans="14:17" ht="16" x14ac:dyDescent="0.2">
      <c r="N35" s="15"/>
      <c r="O35" s="15"/>
      <c r="P35" s="15"/>
      <c r="Q35" s="15"/>
    </row>
    <row r="36" spans="14:17" ht="16" x14ac:dyDescent="0.2">
      <c r="N36" s="15"/>
      <c r="O36" s="15"/>
      <c r="P36" s="15"/>
      <c r="Q36" s="15"/>
    </row>
  </sheetData>
  <conditionalFormatting sqref="P13:P17">
    <cfRule type="colorScale" priority="3">
      <colorScale>
        <cfvo type="min"/>
        <cfvo type="max"/>
        <color theme="0"/>
        <color theme="9" tint="0.39997558519241921"/>
      </colorScale>
    </cfRule>
  </conditionalFormatting>
  <conditionalFormatting sqref="P23:P27">
    <cfRule type="colorScale" priority="1">
      <colorScale>
        <cfvo type="min"/>
        <cfvo type="max"/>
        <color rgb="FFFF0000"/>
        <color theme="0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EA451D-CC9B-F441-A110-A9FE06DD22C2}">
          <x14:formula1>
            <xm:f>'Data Prep'!$A$3:$A$5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>
      <selection sqref="A1:J269"/>
    </sheetView>
  </sheetViews>
  <sheetFormatPr baseColWidth="10" defaultColWidth="8.83203125" defaultRowHeight="15" x14ac:dyDescent="0.2"/>
  <sheetData>
    <row r="1" spans="1:10" x14ac:dyDescent="0.2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>
      <selection sqref="A1:J260"/>
    </sheetView>
  </sheetViews>
  <sheetFormatPr baseColWidth="10" defaultColWidth="8.83203125" defaultRowHeight="15" x14ac:dyDescent="0.2"/>
  <sheetData>
    <row r="1" spans="1:10" x14ac:dyDescent="0.2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CurMonth</vt:lpstr>
      <vt:lpstr>CurYear</vt:lpstr>
      <vt:lpstr>PMYear</vt:lpstr>
      <vt:lpstr>PreMonth</vt:lpstr>
      <vt:lpstr>PreYear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Jorge Soto</cp:lastModifiedBy>
  <dcterms:created xsi:type="dcterms:W3CDTF">2021-07-16T18:17:37Z</dcterms:created>
  <dcterms:modified xsi:type="dcterms:W3CDTF">2023-02-23T04:00:28Z</dcterms:modified>
</cp:coreProperties>
</file>