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6ED79E0F-8118-5B4B-9E89-CCAEE02419F3}" xr6:coauthVersionLast="47" xr6:coauthVersionMax="47" xr10:uidLastSave="{00000000-0000-0000-0000-000000000000}"/>
  <bookViews>
    <workbookView xWindow="0" yWindow="500" windowWidth="25600" windowHeight="20140" firstSheet="42" activeTab="46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53" l="1"/>
  <c r="G10" i="53" a="1"/>
  <c r="G10" i="53" s="1"/>
  <c r="G11" i="53" s="1"/>
  <c r="F10" i="53" a="1"/>
  <c r="F10" i="53" s="1"/>
  <c r="F11" i="53" s="1"/>
  <c r="N8" i="49" a="1"/>
  <c r="N8" i="49" s="1"/>
  <c r="Q6" i="49" s="1"/>
  <c r="Q7" i="49" s="1"/>
  <c r="Q8" i="49" s="1"/>
  <c r="G9" i="53"/>
  <c r="F9" i="53"/>
  <c r="J6" i="53" s="1"/>
  <c r="G7" i="53"/>
  <c r="G8" i="53" s="1"/>
  <c r="F7" i="53"/>
  <c r="F8" i="53" s="1"/>
  <c r="R6" i="53"/>
  <c r="S8" i="52"/>
  <c r="S7" i="52"/>
  <c r="M6" i="52"/>
  <c r="H9" i="35"/>
  <c r="S6" i="52"/>
  <c r="H10" i="35"/>
  <c r="P6" i="51"/>
  <c r="P8" i="52"/>
  <c r="P7" i="52"/>
  <c r="P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6" i="52"/>
  <c r="P7" i="51"/>
  <c r="P8" i="51" s="1"/>
  <c r="E12" i="51"/>
  <c r="E11" i="51"/>
  <c r="E8" i="51"/>
  <c r="E7" i="51"/>
  <c r="E6" i="51"/>
  <c r="N7" i="49"/>
  <c r="N6" i="49"/>
  <c r="P8" i="48"/>
  <c r="P6" i="48"/>
  <c r="P7" i="48"/>
  <c r="M8" i="48"/>
  <c r="M7" i="48"/>
  <c r="M6" i="48"/>
  <c r="P8" i="47"/>
  <c r="P7" i="46"/>
  <c r="P6" i="46"/>
  <c r="M8" i="46"/>
  <c r="M7" i="46"/>
  <c r="M6" i="46"/>
  <c r="M10" i="43"/>
  <c r="M9" i="43"/>
  <c r="F13" i="43"/>
  <c r="F12" i="43"/>
  <c r="F9" i="43"/>
  <c r="F8" i="43"/>
  <c r="F9" i="42"/>
  <c r="J6" i="42" s="1"/>
  <c r="F7" i="42"/>
  <c r="F8" i="42" s="1"/>
  <c r="M7" i="43"/>
  <c r="M8" i="43" s="1"/>
  <c r="G13" i="43"/>
  <c r="G9" i="43"/>
  <c r="G12" i="43"/>
  <c r="G8" i="43"/>
  <c r="G7" i="43"/>
  <c r="F7" i="43"/>
  <c r="G11" i="42"/>
  <c r="F11" i="42"/>
  <c r="M9" i="42" s="1"/>
  <c r="M10" i="42" s="1"/>
  <c r="N12" i="41"/>
  <c r="N11" i="41"/>
  <c r="N10" i="41"/>
  <c r="N9" i="41"/>
  <c r="M8" i="42"/>
  <c r="M7" i="42"/>
  <c r="G11" i="41"/>
  <c r="F10" i="42" a="1"/>
  <c r="F10" i="42" s="1"/>
  <c r="G10" i="42" a="1"/>
  <c r="G10" i="42" s="1"/>
  <c r="G10" i="41"/>
  <c r="K6" i="41"/>
  <c r="G9" i="42"/>
  <c r="G8" i="42"/>
  <c r="G7" i="42"/>
  <c r="N8" i="41"/>
  <c r="N7" i="41"/>
  <c r="H11" i="41"/>
  <c r="H10" i="41"/>
  <c r="H9" i="41"/>
  <c r="G9" i="41"/>
  <c r="H8" i="41"/>
  <c r="G8" i="41"/>
  <c r="H7" i="41"/>
  <c r="G7" i="41"/>
  <c r="N7" i="40"/>
  <c r="N6" i="40"/>
  <c r="K11" i="40"/>
  <c r="K10" i="40"/>
  <c r="K10" i="39"/>
  <c r="K11" i="39" s="1"/>
  <c r="K9" i="40"/>
  <c r="K8" i="40"/>
  <c r="H11" i="38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H8" i="40" s="1"/>
  <c r="H6" i="40"/>
  <c r="K7" i="40"/>
  <c r="K9" i="39"/>
  <c r="K8" i="39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H11" i="37"/>
  <c r="H10" i="37"/>
  <c r="E12" i="37"/>
  <c r="E11" i="37"/>
  <c r="E8" i="37"/>
  <c r="H7" i="38"/>
  <c r="H8" i="38" s="1"/>
  <c r="H9" i="38" s="1"/>
  <c r="E7" i="38"/>
  <c r="E6" i="38"/>
  <c r="H9" i="37"/>
  <c r="H8" i="37"/>
  <c r="H7" i="37"/>
  <c r="E7" i="37"/>
  <c r="E6" i="37"/>
  <c r="K7" i="36"/>
  <c r="K6" i="36"/>
  <c r="H8" i="36"/>
  <c r="H11" i="35"/>
  <c r="K6" i="35" s="1"/>
  <c r="H7" i="36"/>
  <c r="E8" i="36"/>
  <c r="E7" i="36"/>
  <c r="E6" i="36"/>
  <c r="K7" i="35"/>
  <c r="H8" i="35"/>
  <c r="H7" i="35"/>
  <c r="E8" i="35"/>
  <c r="E7" i="35"/>
  <c r="E6" i="35"/>
  <c r="H7" i="34"/>
  <c r="H8" i="34" s="1"/>
  <c r="E7" i="34"/>
  <c r="E6" i="34"/>
  <c r="K7" i="33"/>
  <c r="K6" i="33"/>
  <c r="H11" i="33"/>
  <c r="H10" i="33"/>
  <c r="H9" i="33"/>
  <c r="H8" i="33"/>
  <c r="H7" i="33"/>
  <c r="E7" i="33"/>
  <c r="E6" i="33"/>
  <c r="H7" i="32"/>
  <c r="K10" i="25"/>
  <c r="K7" i="25"/>
  <c r="H6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H10" i="23"/>
  <c r="L7" i="25"/>
  <c r="L10" i="25" s="1"/>
  <c r="M7" i="25"/>
  <c r="M10" i="25" s="1"/>
  <c r="L8" i="25"/>
  <c r="M8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U8" i="53" l="1"/>
  <c r="U6" i="53"/>
  <c r="U7" i="53" s="1"/>
  <c r="J6" i="43"/>
  <c r="M11" i="42"/>
  <c r="M12" i="42"/>
  <c r="N6" i="39"/>
  <c r="N7" i="39"/>
  <c r="H7" i="40"/>
  <c r="K7" i="38"/>
  <c r="K6" i="38"/>
  <c r="E8" i="38"/>
  <c r="H10" i="38" s="1"/>
  <c r="E11" i="38"/>
  <c r="E12" i="38"/>
  <c r="K7" i="37"/>
  <c r="K6" i="37"/>
  <c r="K7" i="34"/>
  <c r="K6" i="34"/>
  <c r="H8" i="32"/>
  <c r="G12" i="16"/>
  <c r="L10" i="66"/>
  <c r="L8" i="66"/>
  <c r="L7" i="66" a="1"/>
  <c r="L7" i="66" s="1"/>
  <c r="I7" i="66"/>
  <c r="L6" i="66" a="1"/>
  <c r="L6" i="66" s="1"/>
  <c r="L9" i="66" s="1"/>
  <c r="I6" i="66"/>
  <c r="F6" i="66"/>
  <c r="M11" i="43" l="1"/>
  <c r="P7" i="43" s="1"/>
  <c r="P7" i="42"/>
  <c r="P6" i="42"/>
  <c r="Q7" i="41"/>
  <c r="Q6" i="41"/>
  <c r="L12" i="66"/>
  <c r="L13" i="66" s="1"/>
  <c r="L14" i="66" s="1"/>
  <c r="P6" i="43" l="1"/>
  <c r="F6" i="63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<sst xmlns="http://schemas.openxmlformats.org/spreadsheetml/2006/main" count="2335" uniqueCount="339">
  <si>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</si>
  <si>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</si>
  <si>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</si>
  <si>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</si>
  <si>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</si>
  <si>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</si>
  <si>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</si>
  <si>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</si>
  <si>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</si>
  <si>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</si>
  <si>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</si>
  <si>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</si>
  <si>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</si>
  <si>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</si>
  <si>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</si>
  <si>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</si>
  <si>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</si>
  <si>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</si>
  <si>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</si>
  <si>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</si>
  <si>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</si>
  <si>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</si>
  <si>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</si>
  <si>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</si>
  <si>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</si>
  <si>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</si>
  <si>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</si>
  <si>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</si>
  <si>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</si>
  <si>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</si>
  <si>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</si>
  <si>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</si>
  <si>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</si>
  <si>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</si>
  <si>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</si>
  <si>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</si>
  <si>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</si>
  <si>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</si>
  <si>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</si>
  <si>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</si>
  <si>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</si>
  <si>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</si>
  <si>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</si>
  <si>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</si>
  <si>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</si>
  <si>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</si>
  <si>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</si>
  <si>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</si>
  <si>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</si>
  <si>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</si>
  <si>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</si>
  <si>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</si>
  <si>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</si>
  <si>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</si>
  <si>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</si>
  <si>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</si>
  <si>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</si>
  <si>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</si>
  <si>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</si>
  <si>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</si>
  <si>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</si>
  <si>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</si>
  <si>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</si>
  <si>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</si>
  <si>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</si>
  <si>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</si>
  <si>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</si>
  <si>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</si>
  <si>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</si>
  <si>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</si>
  <si>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</si>
  <si>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</si>
  <si>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</si>
  <si>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</si>
  <si>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</si>
  <si>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</si>
  <si>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</si>
  <si>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</si>
  <si>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</si>
  <si>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</si>
  <si>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</si>
  <si>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</si>
  <si>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</si>
  <si>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</si>
  <si>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</si>
  <si>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</si>
  <si>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</si>
  <si>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</si>
  <si>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</si>
  <si>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</si>
  <si>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</si>
  <si>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</si>
  <si>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</si>
  <si>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</si>
  <si>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</si>
  <si>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</si>
  <si>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</si>
  <si>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</si>
  <si>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</si>
  <si>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</si>
  <si>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</si>
  <si>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</si>
  <si>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</si>
  <si>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</si>
  <si>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</si>
  <si>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</si>
  <si>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</si>
  <si>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</si>
  <si>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</si>
  <si>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</si>
  <si>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</si>
  <si>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</si>
  <si>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</si>
  <si>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</si>
  <si>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</si>
  <si>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</si>
  <si>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</si>
  <si>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</si>
  <si>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</si>
  <si>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</si>
  <si>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</si>
  <si>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</si>
  <si>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</si>
  <si>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</si>
  <si>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</si>
  <si>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</si>
  <si>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</si>
  <si>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</si>
  <si>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</si>
  <si>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</si>
  <si>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</si>
  <si>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</si>
  <si>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</si>
  <si>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</si>
  <si>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</si>
  <si>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</si>
  <si>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</si>
  <si>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</si>
  <si>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</si>
  <si>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</si>
  <si>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</si>
  <si>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</si>
  <si>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</si>
  <si>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</si>
  <si>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</si>
  <si>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</si>
  <si>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</si>
  <si>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</si>
  <si>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</si>
  <si>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</si>
  <si>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</si>
  <si>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</si>
  <si>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</si>
  <si>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</si>
  <si>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</si>
  <si>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</si>
  <si>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</si>
  <si>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</si>
  <si>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</si>
  <si>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</si>
  <si>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</si>
  <si>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</si>
  <si>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</si>
  <si>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</si>
  <si>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</si>
  <si>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</si>
  <si>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</si>
  <si>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</si>
  <si>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</si>
  <si>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</si>
  <si>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</si>
  <si>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</si>
  <si>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</si>
  <si>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</si>
  <si>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</si>
  <si>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</si>
  <si>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</si>
  <si>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</si>
  <si>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</si>
  <si>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</si>
  <si>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</si>
  <si>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</si>
  <si>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</si>
  <si>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</si>
  <si>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</si>
  <si>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</si>
  <si>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</si>
  <si>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</si>
  <si>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</si>
  <si>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</si>
  <si>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</si>
  <si>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</si>
  <si>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</si>
  <si>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</si>
  <si>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</si>
  <si>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</si>
  <si>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</si>
  <si>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</si>
  <si>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</si>
  <si>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</si>
  <si>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</si>
  <si>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</si>
  <si>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</si>
  <si>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</si>
  <si>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</si>
  <si>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</si>
  <si>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</si>
  <si>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</si>
  <si>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</si>
  <si>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</si>
  <si>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</si>
  <si>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</si>
  <si>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</si>
  <si>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</si>
  <si>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</si>
  <si>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</si>
  <si>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</si>
  <si>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</si>
  <si>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</si>
  <si>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</si>
  <si>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</si>
  <si>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</si>
  <si>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</si>
  <si>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</si>
  <si>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</si>
  <si>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</si>
  <si>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</si>
  <si>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</si>
  <si>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</si>
  <si>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</si>
  <si>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</si>
  <si>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</si>
  <si>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</si>
  <si>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</si>
  <si>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</si>
  <si>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</si>
  <si>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</si>
  <si>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</si>
  <si>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</si>
  <si>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</si>
  <si>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</si>
  <si>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</si>
  <si>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</si>
  <si>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</si>
  <si>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</si>
  <si>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</si>
  <si>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</si>
  <si>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</si>
  <si>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</si>
  <si>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</si>
  <si>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</si>
  <si>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</si>
  <si>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</si>
  <si>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</si>
  <si>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</si>
  <si>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</si>
  <si>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</si>
  <si>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</si>
  <si>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</si>
  <si>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</si>
  <si>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</si>
  <si>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</si>
  <si>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</si>
  <si>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</si>
  <si>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</si>
  <si>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</si>
  <si>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</si>
  <si>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</si>
  <si>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</si>
  <si>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</si>
  <si>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</si>
  <si>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</si>
  <si>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</si>
  <si>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</si>
  <si>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</si>
  <si>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</si>
  <si>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</si>
  <si>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</si>
  <si>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</si>
  <si>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</si>
  <si>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</si>
  <si>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</si>
  <si>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</si>
  <si>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</si>
  <si>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</si>
  <si>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</si>
  <si>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</si>
  <si>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</si>
  <si>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</si>
  <si>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</si>
  <si>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</si>
  <si>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</si>
  <si>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</si>
  <si>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</si>
  <si>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</si>
  <si>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</si>
  <si>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</si>
  <si>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</si>
  <si>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</si>
  <si>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</si>
  <si>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</si>
  <si>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</si>
  <si>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</si>
  <si>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</si>
  <si>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</si>
  <si>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</si>
  <si>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</si>
  <si>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</si>
  <si>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</si>
  <si>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</si>
  <si>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</si>
  <si>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</si>
  <si>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</si>
  <si>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</si>
  <si>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</si>
  <si>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</si>
  <si>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</si>
  <si>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</si>
  <si>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</si>
  <si>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</si>
  <si>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</si>
  <si>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</si>
  <si>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</si>
  <si>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</si>
  <si>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</si>
  <si>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</si>
  <si>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</si>
  <si>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</si>
  <si>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</si>
  <si>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</si>
  <si>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</si>
  <si>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</si>
  <si>
    <t>&lt;&gt;</t>
  </si>
  <si>
    <t>Since p&gt;a , we don’t have sufficient evidence to prove that the average employability scores are any different 300---We can keep stating the same average in our communications, keeping in mind that there is a 10% chance that we're wrong!</t>
  </si>
  <si>
    <t>Since p&gt;a, we don’t have sufficient evidence to prove that the average MBA grades are any different than 80. ---- With the 20% significance level we should stick with the current curriculum!</t>
  </si>
  <si>
    <t>Since p&lt;a , we have sufficient evidence to prove that the average employability scores for placed graduates are greater than 300. ----- We should use this as a target, especially sincewe estimated that our program improves scores bt at least 41 points on average.</t>
  </si>
  <si>
    <t>We have sufficient evidence to prove that the proportion of placed graduates that earn at least $100k is greater than 50% ---- Lets get that article published ! (Just make sure that state that we used a significance level of 5% somewhere in the fine print)</t>
  </si>
  <si>
    <t>Since p&gt;a , we don’t have sufficient evidence to proce that the average improvement in employability scores is lower than 50. --- Lets keep using that number!</t>
  </si>
  <si>
    <t>Since p&gt;a we don’t have sufficient evidence to prove that graduates with previous work experience earn more money. ---- No need to filter our applicants!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</si>
</sst>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3" fillId="5" borderId="2" xfId="0" applyFont="1" applyFill="1" applyBorder="1"/>
    <xf numFmtId="0" fontId="0" fillId="0" borderId="2" xfId="0" applyBorder="1"/>
    <xf numFmtId="0" fontId="0" fillId="0" borderId="0" xfId="0" pivotButton="1"/>
    <xf numFmtId="0" fontId="3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3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vertical="center"/>
    </xf>
    <xf numFmtId="0" fontId="7" fillId="2" borderId="1" xfId="2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6" fontId="0" fillId="0" borderId="0" xfId="0" applyNumberFormat="1" applyAlignment="1">
      <alignment horizontal="center"/>
    </xf>
    <xf numFmtId="0" fontId="6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7" fillId="8" borderId="1" xfId="2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vertical="center"/>
    </xf>
    <xf numFmtId="0" fontId="7" fillId="7" borderId="1" xfId="2" applyFill="1" applyBorder="1" applyAlignment="1">
      <alignment horizontal="center" vertical="center"/>
    </xf>
    <xf numFmtId="0" fontId="6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7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7" fillId="12" borderId="1" xfId="2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0" xfId="0" applyFont="1"/>
    <xf numFmtId="0" fontId="3" fillId="5" borderId="4" xfId="0" applyFont="1" applyFill="1" applyBorder="1"/>
    <xf numFmtId="0" fontId="3" fillId="5" borderId="3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3" fontId="0" fillId="0" borderId="0" xfId="0" applyNumberFormat="1" applyAlignment="1">
      <alignment horizontal="center"/>
    </xf>
    <xf numFmtId="164" fontId="3" fillId="14" borderId="1" xfId="0" applyNumberFormat="1" applyFont="1" applyFill="1" applyBorder="1" applyAlignment="1">
      <alignment vertical="center"/>
    </xf>
    <xf numFmtId="0" fontId="7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7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7" fillId="17" borderId="1" xfId="2" applyFill="1" applyBorder="1" applyAlignment="1">
      <alignment horizontal="center" vertical="center"/>
    </xf>
    <xf numFmtId="164" fontId="3" fillId="18" borderId="1" xfId="0" applyNumberFormat="1" applyFont="1" applyFill="1" applyBorder="1" applyAlignment="1">
      <alignment vertical="center"/>
    </xf>
    <xf numFmtId="0" fontId="7" fillId="18" borderId="1" xfId="2" applyFill="1" applyBorder="1" applyAlignment="1">
      <alignment horizontal="center" vertical="center"/>
    </xf>
    <xf numFmtId="0" fontId="17" fillId="0" borderId="0" xfId="0" applyFont="1" applyAlignment="1">
      <alignment horizontal="right"/>
    </xf>
    <xf numFmtId="10" fontId="0" fillId="0" borderId="2" xfId="1" applyNumberFormat="1" applyFont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3" xfId="0" applyFont="1" applyFill="1" applyBorder="1"/>
    <xf numFmtId="0" fontId="8" fillId="10" borderId="2" xfId="0" applyFont="1" applyFill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9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5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5" fillId="0" borderId="0" xfId="0" applyFont="1"/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6" fillId="0" borderId="0" xfId="0" applyNumberFormat="1" applyFont="1" applyAlignment="1">
      <alignment horizontal="center"/>
    </xf>
    <xf numFmtId="3" fontId="18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3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/>
    </xf>
    <xf numFmtId="16" fontId="0" fillId="0" borderId="0" xfId="0" applyNumberFormat="1"/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" fontId="15" fillId="0" borderId="2" xfId="0" applyNumberFormat="1" applyFont="1" applyBorder="1" applyAlignment="1">
      <alignment horizontal="center"/>
    </xf>
    <xf numFmtId="0" fontId="15" fillId="0" borderId="2" xfId="0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9.xml"/><Relationship Id="rId4" Type="http://schemas.openxmlformats.org/officeDocument/2006/relationships/image" Target="../media/image18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1817561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20</xdr:col>
      <xdr:colOff>901700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I4" sqref="I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8" t="s">
        <v>0</v>
      </c>
      <c r="C2" s="108"/>
      <c r="E2" s="109" t="s">
        <v>19</v>
      </c>
      <c r="F2" s="109"/>
      <c r="H2" s="110" t="s">
        <v>137</v>
      </c>
      <c r="I2" s="110"/>
      <c r="K2" s="111" t="s">
        <v>188</v>
      </c>
      <c r="L2" s="111"/>
      <c r="N2" s="112" t="s">
        <v>218</v>
      </c>
      <c r="O2" s="112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0" t="s">
        <v>14</v>
      </c>
      <c r="E6">
        <v>42</v>
      </c>
      <c r="F6" s="101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0" t="s">
        <v>13</v>
      </c>
      <c r="E7">
        <v>53</v>
      </c>
      <c r="F7" s="101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0" t="s">
        <v>17</v>
      </c>
      <c r="E8">
        <v>95</v>
      </c>
      <c r="F8" s="101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2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0" t="s">
        <v>318</v>
      </c>
      <c r="E6">
        <v>22</v>
      </c>
      <c r="F6" s="101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0" t="s">
        <v>319</v>
      </c>
      <c r="E7">
        <v>11</v>
      </c>
      <c r="F7" s="101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0" t="s">
        <v>326</v>
      </c>
      <c r="E8">
        <v>9</v>
      </c>
      <c r="F8" s="101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0" t="s">
        <v>320</v>
      </c>
      <c r="E9">
        <v>4</v>
      </c>
      <c r="F9" s="101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0" t="s">
        <v>321</v>
      </c>
      <c r="E10">
        <v>3</v>
      </c>
      <c r="F10" s="101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0" t="s">
        <v>322</v>
      </c>
      <c r="E11">
        <v>1</v>
      </c>
      <c r="F11" s="101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0" t="s">
        <v>325</v>
      </c>
      <c r="E12">
        <v>1</v>
      </c>
      <c r="F12" s="101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0" t="s">
        <v>324</v>
      </c>
      <c r="E13">
        <v>1</v>
      </c>
      <c r="F13" s="101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0" t="s">
        <v>323</v>
      </c>
      <c r="E14">
        <v>1</v>
      </c>
      <c r="F14" s="101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0" t="s">
        <v>17</v>
      </c>
      <c r="E15">
        <v>53</v>
      </c>
      <c r="F15" s="101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3" t="s">
        <v>328</v>
      </c>
      <c r="E5" s="104" t="s">
        <v>15</v>
      </c>
      <c r="F5" s="105" t="s">
        <v>327</v>
      </c>
    </row>
    <row r="6" spans="2:6" x14ac:dyDescent="0.2">
      <c r="B6" s="8">
        <v>90.2</v>
      </c>
      <c r="D6" s="100" t="s">
        <v>38</v>
      </c>
      <c r="E6">
        <v>1</v>
      </c>
      <c r="F6" s="101">
        <v>1.0526315789473684E-2</v>
      </c>
    </row>
    <row r="7" spans="2:6" x14ac:dyDescent="0.2">
      <c r="B7" s="8">
        <v>92.8</v>
      </c>
      <c r="D7" s="100" t="s">
        <v>39</v>
      </c>
      <c r="E7">
        <v>3</v>
      </c>
      <c r="F7" s="101">
        <v>4.2105263157894736E-2</v>
      </c>
    </row>
    <row r="8" spans="2:6" x14ac:dyDescent="0.2">
      <c r="B8" s="8">
        <v>68.7</v>
      </c>
      <c r="D8" s="100" t="s">
        <v>40</v>
      </c>
      <c r="E8">
        <v>17</v>
      </c>
      <c r="F8" s="101">
        <v>0.22105263157894736</v>
      </c>
    </row>
    <row r="9" spans="2:6" x14ac:dyDescent="0.2">
      <c r="B9" s="8">
        <v>80.7</v>
      </c>
      <c r="D9" s="100" t="s">
        <v>41</v>
      </c>
      <c r="E9">
        <v>24</v>
      </c>
      <c r="F9" s="101">
        <v>0.47368421052631576</v>
      </c>
    </row>
    <row r="10" spans="2:6" x14ac:dyDescent="0.2">
      <c r="B10" s="8">
        <v>74.900000000000006</v>
      </c>
      <c r="D10" s="100" t="s">
        <v>42</v>
      </c>
      <c r="E10">
        <v>29</v>
      </c>
      <c r="F10" s="101">
        <v>0.77894736842105261</v>
      </c>
    </row>
    <row r="11" spans="2:6" x14ac:dyDescent="0.2">
      <c r="B11" s="8">
        <v>80.7</v>
      </c>
      <c r="D11" s="100" t="s">
        <v>43</v>
      </c>
      <c r="E11">
        <v>17</v>
      </c>
      <c r="F11" s="101">
        <v>0.95789473684210524</v>
      </c>
    </row>
    <row r="12" spans="2:6" x14ac:dyDescent="0.2">
      <c r="B12" s="8">
        <v>83.3</v>
      </c>
      <c r="D12" s="100" t="s">
        <v>44</v>
      </c>
      <c r="E12">
        <v>3</v>
      </c>
      <c r="F12" s="101">
        <v>0.98947368421052628</v>
      </c>
    </row>
    <row r="13" spans="2:6" x14ac:dyDescent="0.2">
      <c r="B13" s="8">
        <v>88.7</v>
      </c>
      <c r="D13" s="100" t="s">
        <v>45</v>
      </c>
      <c r="E13">
        <v>1</v>
      </c>
      <c r="F13" s="101">
        <v>1</v>
      </c>
    </row>
    <row r="14" spans="2:6" x14ac:dyDescent="0.2">
      <c r="B14" s="8">
        <v>75.400000000000006</v>
      </c>
      <c r="D14" s="100" t="s">
        <v>17</v>
      </c>
      <c r="E14">
        <v>95</v>
      </c>
      <c r="F14" s="101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6" t="s">
        <v>328</v>
      </c>
      <c r="E17" s="106" t="s">
        <v>329</v>
      </c>
    </row>
    <row r="18" spans="2:5" x14ac:dyDescent="0.2">
      <c r="B18" s="8">
        <v>71.3</v>
      </c>
      <c r="D18" s="100" t="s">
        <v>38</v>
      </c>
      <c r="E18">
        <v>1</v>
      </c>
    </row>
    <row r="19" spans="2:5" x14ac:dyDescent="0.2">
      <c r="B19" s="8">
        <v>76.8</v>
      </c>
      <c r="D19" s="100" t="s">
        <v>39</v>
      </c>
      <c r="E19">
        <v>3</v>
      </c>
    </row>
    <row r="20" spans="2:5" x14ac:dyDescent="0.2">
      <c r="B20" s="8">
        <v>72.3</v>
      </c>
      <c r="D20" s="100" t="s">
        <v>40</v>
      </c>
      <c r="E20">
        <v>17</v>
      </c>
    </row>
    <row r="21" spans="2:5" x14ac:dyDescent="0.2">
      <c r="B21" s="8">
        <v>72.400000000000006</v>
      </c>
      <c r="D21" s="100" t="s">
        <v>41</v>
      </c>
      <c r="E21">
        <v>24</v>
      </c>
    </row>
    <row r="22" spans="2:5" x14ac:dyDescent="0.2">
      <c r="B22" s="8">
        <v>72</v>
      </c>
      <c r="D22" s="100" t="s">
        <v>42</v>
      </c>
      <c r="E22">
        <v>29</v>
      </c>
    </row>
    <row r="23" spans="2:5" x14ac:dyDescent="0.2">
      <c r="B23" s="8">
        <v>81</v>
      </c>
      <c r="D23" s="100" t="s">
        <v>43</v>
      </c>
      <c r="E23">
        <v>17</v>
      </c>
    </row>
    <row r="24" spans="2:5" x14ac:dyDescent="0.2">
      <c r="B24" s="8">
        <v>96.1</v>
      </c>
      <c r="D24" s="100" t="s">
        <v>44</v>
      </c>
      <c r="E24">
        <v>3</v>
      </c>
    </row>
    <row r="25" spans="2:5" x14ac:dyDescent="0.2">
      <c r="B25" s="8">
        <v>76.7</v>
      </c>
      <c r="D25" s="100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3" t="s">
        <v>51</v>
      </c>
      <c r="F5" s="113"/>
      <c r="H5" s="113" t="s">
        <v>57</v>
      </c>
      <c r="I5" s="113"/>
      <c r="J5" s="113"/>
      <c r="L5" s="114" t="s">
        <v>57</v>
      </c>
      <c r="M5" s="114"/>
      <c r="N5" s="114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3" t="s">
        <v>51</v>
      </c>
      <c r="E5" s="113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3" t="s">
        <v>60</v>
      </c>
      <c r="G5" s="113"/>
      <c r="H5" s="113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3" t="s">
        <v>64</v>
      </c>
      <c r="F5" s="113"/>
      <c r="G5" s="113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3" t="s">
        <v>64</v>
      </c>
      <c r="F5" s="113"/>
      <c r="G5" s="113"/>
      <c r="I5" s="114" t="s">
        <v>64</v>
      </c>
      <c r="J5" s="114"/>
      <c r="K5" s="114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99" t="s">
        <v>242</v>
      </c>
      <c r="F5" s="113" t="s">
        <v>317</v>
      </c>
      <c r="G5" s="113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3" t="s">
        <v>80</v>
      </c>
      <c r="F5" s="113"/>
      <c r="G5" s="113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4" t="s">
        <v>60</v>
      </c>
      <c r="F5" s="114"/>
      <c r="G5" s="114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7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3" t="s">
        <v>85</v>
      </c>
      <c r="H5" s="113"/>
      <c r="J5" s="113" t="s">
        <v>86</v>
      </c>
      <c r="K5" s="113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3" t="s">
        <v>86</v>
      </c>
      <c r="F5" s="113"/>
      <c r="H5" s="113" t="s">
        <v>87</v>
      </c>
      <c r="I5" s="113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3" t="s">
        <v>86</v>
      </c>
      <c r="E5" s="113"/>
      <c r="G5" s="113" t="s">
        <v>96</v>
      </c>
      <c r="H5" s="113"/>
      <c r="I5" s="113"/>
      <c r="J5" s="113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3" t="s">
        <v>85</v>
      </c>
      <c r="E5" s="113"/>
      <c r="G5" s="113" t="s">
        <v>86</v>
      </c>
      <c r="H5" s="113"/>
      <c r="J5" s="113" t="s">
        <v>96</v>
      </c>
      <c r="K5" s="113"/>
      <c r="L5" s="113"/>
      <c r="M5" s="113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3" t="s">
        <v>86</v>
      </c>
      <c r="E5" s="113"/>
      <c r="G5" s="113" t="s">
        <v>293</v>
      </c>
      <c r="H5" s="113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3" t="s">
        <v>293</v>
      </c>
      <c r="E5" s="113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3" t="s">
        <v>86</v>
      </c>
      <c r="E5" s="113"/>
      <c r="G5" s="113" t="s">
        <v>293</v>
      </c>
      <c r="H5" s="113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3" t="s">
        <v>86</v>
      </c>
      <c r="E5" s="113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3" t="s">
        <v>86</v>
      </c>
      <c r="E5" s="113"/>
      <c r="G5" s="113" t="s">
        <v>298</v>
      </c>
      <c r="H5" s="113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3" t="s">
        <v>86</v>
      </c>
      <c r="E5" s="113"/>
      <c r="G5" s="113" t="s">
        <v>301</v>
      </c>
      <c r="H5" s="113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3" t="s">
        <v>86</v>
      </c>
      <c r="E5" s="113"/>
      <c r="G5" s="113" t="s">
        <v>298</v>
      </c>
      <c r="H5" s="113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274.159110498644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304.53562634346127</v>
      </c>
    </row>
    <row r="8" spans="2:11" x14ac:dyDescent="0.2">
      <c r="B8" s="8">
        <v>119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D9" s="113" t="s">
        <v>139</v>
      </c>
      <c r="E9" s="113"/>
      <c r="G9" s="20" t="s">
        <v>151</v>
      </c>
      <c r="H9" s="86">
        <f>_xlfn.NORM.S.INV(1-H8)</f>
        <v>1.6448536269514715</v>
      </c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>
        <f>E10/SQRT(E6)</f>
        <v>9.2338051687663878</v>
      </c>
    </row>
    <row r="11" spans="2:11" x14ac:dyDescent="0.2">
      <c r="B11" s="8">
        <v>209</v>
      </c>
      <c r="D11" s="20"/>
      <c r="E11" s="1"/>
      <c r="G11" s="20" t="s">
        <v>149</v>
      </c>
      <c r="H11" s="75">
        <f>H10*H9</f>
        <v>15.188257922408638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I9" sqref="I9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106008.15937411779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132765.4255315426</v>
      </c>
    </row>
    <row r="8" spans="2:11" x14ac:dyDescent="0.2">
      <c r="B8" s="12">
        <v>109000</v>
      </c>
      <c r="D8" s="20"/>
      <c r="E8" s="28"/>
      <c r="G8" s="20" t="s">
        <v>149</v>
      </c>
      <c r="H8" s="80">
        <f>_xlfn.CONFIDENCE.NORM(H7,E11,E6)</f>
        <v>13378.633078712406</v>
      </c>
    </row>
    <row r="9" spans="2:11" x14ac:dyDescent="0.2">
      <c r="B9" s="12">
        <v>148000</v>
      </c>
      <c r="D9" s="113" t="s">
        <v>139</v>
      </c>
      <c r="E9" s="113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H10" sqref="H10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273.40781140085119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305.28692544125408</v>
      </c>
    </row>
    <row r="8" spans="2:11" x14ac:dyDescent="0.2">
      <c r="B8" s="8">
        <v>119</v>
      </c>
      <c r="D8" s="20" t="s">
        <v>70</v>
      </c>
      <c r="E8" s="75">
        <f>STDEV(B6:B100)</f>
        <v>93.521048765238149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G9" s="20" t="s">
        <v>155</v>
      </c>
      <c r="H9" s="86">
        <f>_xlfn.T.INV(1-H8,E6-1)</f>
        <v>1.6612258552965111</v>
      </c>
    </row>
    <row r="10" spans="2:11" x14ac:dyDescent="0.2">
      <c r="B10" s="8">
        <v>252</v>
      </c>
      <c r="G10" s="20" t="s">
        <v>145</v>
      </c>
      <c r="H10" s="75">
        <f>E8/SQRT(E6)</f>
        <v>9.5950571497434378</v>
      </c>
    </row>
    <row r="11" spans="2:11" x14ac:dyDescent="0.2">
      <c r="B11" s="8">
        <v>209</v>
      </c>
      <c r="G11" s="20" t="s">
        <v>149</v>
      </c>
      <c r="H11" s="75">
        <f>_xlfn.CONFIDENCE.T(H7,E8,E6)</f>
        <v>15.939557020201446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111265.76090747744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127507.82399818295</v>
      </c>
    </row>
    <row r="8" spans="2:11" x14ac:dyDescent="0.2">
      <c r="B8" s="12">
        <v>109000</v>
      </c>
      <c r="D8" s="20" t="s">
        <v>70</v>
      </c>
      <c r="E8" s="80">
        <f>STDEV(B6:B58)</f>
        <v>45546.958176470725</v>
      </c>
      <c r="G8" s="20" t="s">
        <v>149</v>
      </c>
      <c r="H8" s="80">
        <f>_xlfn.CONFIDENCE.T(H7,E8,E6)</f>
        <v>8121.0315453527564</v>
      </c>
    </row>
    <row r="9" spans="2:11" x14ac:dyDescent="0.2">
      <c r="B9" s="12">
        <v>148000</v>
      </c>
    </row>
    <row r="10" spans="2:11" x14ac:dyDescent="0.2">
      <c r="B10" s="12">
        <v>255500</v>
      </c>
      <c r="H10" s="97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H10" sqref="H10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8" t="s">
        <v>25</v>
      </c>
      <c r="D6" s="20" t="s">
        <v>71</v>
      </c>
      <c r="E6" s="71">
        <f>COUNTA(B6:B100)</f>
        <v>95</v>
      </c>
      <c r="G6" s="20" t="s">
        <v>141</v>
      </c>
      <c r="H6" s="82">
        <v>0.9</v>
      </c>
      <c r="J6" s="20" t="s">
        <v>147</v>
      </c>
      <c r="K6" s="82">
        <f>E7-H11</f>
        <v>0.1698162967729179</v>
      </c>
    </row>
    <row r="7" spans="2:11" x14ac:dyDescent="0.2">
      <c r="B7" s="8" t="s">
        <v>25</v>
      </c>
      <c r="D7" s="20" t="s">
        <v>157</v>
      </c>
      <c r="E7" s="87">
        <f>COUNTIFS(B6:B100,"Yes")/E6</f>
        <v>0.24210526315789474</v>
      </c>
      <c r="G7" s="20" t="s">
        <v>142</v>
      </c>
      <c r="H7" s="82">
        <f>1-H6</f>
        <v>9.9999999999999978E-2</v>
      </c>
      <c r="J7" s="20" t="s">
        <v>148</v>
      </c>
      <c r="K7" s="82">
        <f>E7+H11</f>
        <v>0.31439422954287155</v>
      </c>
    </row>
    <row r="8" spans="2:11" x14ac:dyDescent="0.2">
      <c r="B8" s="8" t="s">
        <v>27</v>
      </c>
      <c r="D8" s="20" t="s">
        <v>158</v>
      </c>
      <c r="E8" s="87">
        <f>1-E7</f>
        <v>0.75789473684210529</v>
      </c>
      <c r="G8" s="20" t="s">
        <v>143</v>
      </c>
      <c r="H8" s="85">
        <f>H7/2</f>
        <v>4.9999999999999989E-2</v>
      </c>
    </row>
    <row r="9" spans="2:11" x14ac:dyDescent="0.2">
      <c r="B9" s="8" t="s">
        <v>25</v>
      </c>
      <c r="G9" s="20" t="s">
        <v>151</v>
      </c>
      <c r="H9" s="86">
        <f>_xlfn.NORM.S.INV(1-H8)</f>
        <v>1.6448536269514715</v>
      </c>
    </row>
    <row r="10" spans="2:11" x14ac:dyDescent="0.2">
      <c r="B10" s="8" t="s">
        <v>25</v>
      </c>
      <c r="D10" s="113" t="s">
        <v>162</v>
      </c>
      <c r="E10" s="113"/>
      <c r="G10" s="20" t="s">
        <v>145</v>
      </c>
      <c r="H10" s="81">
        <f>SQRT(E7*E8/E6)</f>
        <v>4.394857098558691E-2</v>
      </c>
    </row>
    <row r="11" spans="2:11" x14ac:dyDescent="0.2">
      <c r="B11" s="8" t="s">
        <v>25</v>
      </c>
      <c r="D11" s="20" t="s">
        <v>163</v>
      </c>
      <c r="E11" s="71">
        <f>E7*E6</f>
        <v>23</v>
      </c>
      <c r="G11" s="20" t="s">
        <v>149</v>
      </c>
      <c r="H11" s="87">
        <f>H9*H10</f>
        <v>7.2288966384976838E-2</v>
      </c>
    </row>
    <row r="12" spans="2:11" x14ac:dyDescent="0.2">
      <c r="B12" s="8" t="s">
        <v>25</v>
      </c>
      <c r="D12" s="20" t="s">
        <v>164</v>
      </c>
      <c r="E12" s="71">
        <f>(1-E7)*E6</f>
        <v>72</v>
      </c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8" t="s">
        <v>13</v>
      </c>
      <c r="D6" s="20" t="s">
        <v>71</v>
      </c>
      <c r="E6" s="71">
        <f>COUNTA(B6:B100)</f>
        <v>95</v>
      </c>
      <c r="G6" s="20" t="s">
        <v>141</v>
      </c>
      <c r="H6" s="82">
        <v>0.95</v>
      </c>
      <c r="J6" s="20" t="s">
        <v>147</v>
      </c>
      <c r="K6" s="82">
        <f>E7-H11</f>
        <v>0.45802698737891206</v>
      </c>
    </row>
    <row r="7" spans="2:11" x14ac:dyDescent="0.2">
      <c r="B7" s="8" t="s">
        <v>14</v>
      </c>
      <c r="D7" s="20" t="s">
        <v>157</v>
      </c>
      <c r="E7" s="87">
        <f>COUNTIFS(B6:B100,"Placed")/E6</f>
        <v>0.55789473684210522</v>
      </c>
      <c r="G7" s="20" t="s">
        <v>142</v>
      </c>
      <c r="H7" s="82">
        <f>1-H6</f>
        <v>5.0000000000000044E-2</v>
      </c>
      <c r="J7" s="20" t="s">
        <v>148</v>
      </c>
      <c r="K7" s="82">
        <f>H11+E7</f>
        <v>0.65776248630529843</v>
      </c>
    </row>
    <row r="8" spans="2:11" x14ac:dyDescent="0.2">
      <c r="B8" s="8" t="s">
        <v>13</v>
      </c>
      <c r="D8" s="20" t="s">
        <v>158</v>
      </c>
      <c r="E8" s="87">
        <f>1-E7</f>
        <v>0.44210526315789478</v>
      </c>
      <c r="G8" s="20" t="s">
        <v>143</v>
      </c>
      <c r="H8" s="85">
        <f>H7/2</f>
        <v>2.5000000000000022E-2</v>
      </c>
    </row>
    <row r="9" spans="2:11" x14ac:dyDescent="0.2">
      <c r="B9" s="8" t="s">
        <v>14</v>
      </c>
      <c r="G9" s="20" t="s">
        <v>151</v>
      </c>
      <c r="H9" s="86">
        <f>_xlfn.NORM.S.INV(1-H8)</f>
        <v>1.9599639845400536</v>
      </c>
    </row>
    <row r="10" spans="2:11" x14ac:dyDescent="0.2">
      <c r="B10" s="8" t="s">
        <v>14</v>
      </c>
      <c r="D10" s="113" t="s">
        <v>162</v>
      </c>
      <c r="E10" s="113"/>
      <c r="G10" s="20" t="s">
        <v>145</v>
      </c>
      <c r="H10" s="81">
        <f>SQRT(E7*E8/E6)</f>
        <v>5.0953869688901053E-2</v>
      </c>
    </row>
    <row r="11" spans="2:11" x14ac:dyDescent="0.2">
      <c r="B11" s="8" t="s">
        <v>14</v>
      </c>
      <c r="D11" s="20" t="s">
        <v>163</v>
      </c>
      <c r="E11" s="71">
        <f>E7*E6</f>
        <v>52.999999999999993</v>
      </c>
      <c r="G11" s="20" t="s">
        <v>149</v>
      </c>
      <c r="H11" s="87">
        <f>H10*H9</f>
        <v>9.986774946319317E-2</v>
      </c>
    </row>
    <row r="12" spans="2:11" x14ac:dyDescent="0.2">
      <c r="B12" s="8" t="s">
        <v>13</v>
      </c>
      <c r="D12" s="20" t="s">
        <v>164</v>
      </c>
      <c r="E12" s="71">
        <f>(1-E7)*E6</f>
        <v>42.000000000000007</v>
      </c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3" t="s">
        <v>138</v>
      </c>
      <c r="H5" s="113"/>
      <c r="J5" s="113" t="s">
        <v>140</v>
      </c>
      <c r="K5" s="113"/>
      <c r="M5" s="113" t="s">
        <v>146</v>
      </c>
      <c r="N5" s="113"/>
    </row>
    <row r="6" spans="2:14" x14ac:dyDescent="0.2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141</v>
      </c>
      <c r="K6" s="82">
        <v>0.95</v>
      </c>
      <c r="M6" s="20" t="s">
        <v>147</v>
      </c>
      <c r="N6" s="75">
        <f>H7-K11</f>
        <v>3.3169926990789627</v>
      </c>
    </row>
    <row r="7" spans="2:14" x14ac:dyDescent="0.2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142</v>
      </c>
      <c r="K7" s="82">
        <f>1-K6</f>
        <v>5.0000000000000044E-2</v>
      </c>
      <c r="M7" s="20" t="s">
        <v>148</v>
      </c>
      <c r="N7" s="75">
        <f>H7+K11</f>
        <v>7.0745862482894601</v>
      </c>
    </row>
    <row r="8" spans="2:14" x14ac:dyDescent="0.2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STDEV(E6:E100)</f>
        <v>9.2241463398998604</v>
      </c>
      <c r="J8" s="20" t="s">
        <v>143</v>
      </c>
      <c r="K8" s="85">
        <f>K7/2</f>
        <v>2.5000000000000022E-2</v>
      </c>
    </row>
    <row r="9" spans="2:14" x14ac:dyDescent="0.2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155</v>
      </c>
      <c r="K9" s="86">
        <f>_xlfn.T.INV(1-K8,H6)</f>
        <v>1.9852510035054973</v>
      </c>
    </row>
    <row r="10" spans="2:14" x14ac:dyDescent="0.2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145</v>
      </c>
      <c r="K10" s="75">
        <f>H8/SQRT(H6)</f>
        <v>0.94637744612027652</v>
      </c>
    </row>
    <row r="11" spans="2:14" x14ac:dyDescent="0.2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149</v>
      </c>
      <c r="K11" s="75">
        <f>K9*K10</f>
        <v>1.8787967746052487</v>
      </c>
    </row>
    <row r="12" spans="2:14" x14ac:dyDescent="0.2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2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2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2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2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2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2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2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2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2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2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2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2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2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2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2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2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2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2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2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2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2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2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2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2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2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2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2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2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2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2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2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2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2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2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2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2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2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2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2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2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2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2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2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2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2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2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2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2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2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2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2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2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2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2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2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2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2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2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2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2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2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2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2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2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2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2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2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2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2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2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2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2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2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2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2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2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2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2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2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2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2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2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2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2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2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2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2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2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N8" sqref="N8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3" t="s">
        <v>138</v>
      </c>
      <c r="H5" s="113"/>
      <c r="J5" s="113" t="s">
        <v>140</v>
      </c>
      <c r="K5" s="113"/>
      <c r="M5" s="113" t="s">
        <v>146</v>
      </c>
      <c r="N5" s="113"/>
    </row>
    <row r="6" spans="2:14" x14ac:dyDescent="0.2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COUNT(B6:B100)</f>
        <v>95</v>
      </c>
      <c r="J6" s="20" t="s">
        <v>141</v>
      </c>
      <c r="K6" s="82">
        <v>0.9</v>
      </c>
      <c r="M6" s="20" t="s">
        <v>147</v>
      </c>
      <c r="N6" s="72">
        <f>H7-K11</f>
        <v>44.388289333700001</v>
      </c>
    </row>
    <row r="7" spans="2:14" x14ac:dyDescent="0.2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142</v>
      </c>
      <c r="K7" s="82">
        <f>1-K6</f>
        <v>9.9999999999999978E-2</v>
      </c>
      <c r="M7" s="20" t="s">
        <v>148</v>
      </c>
      <c r="N7" s="72">
        <f>H7+K11</f>
        <v>54.495921192615782</v>
      </c>
    </row>
    <row r="8" spans="2:1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143</v>
      </c>
      <c r="K8" s="75">
        <f>K7/2</f>
        <v>4.9999999999999989E-2</v>
      </c>
    </row>
    <row r="9" spans="2:14" x14ac:dyDescent="0.2">
      <c r="B9" s="8">
        <v>4</v>
      </c>
      <c r="C9" s="8">
        <v>288</v>
      </c>
      <c r="D9" s="8">
        <v>334</v>
      </c>
      <c r="E9" s="8">
        <f t="shared" si="0"/>
        <v>46</v>
      </c>
      <c r="J9" s="20" t="s">
        <v>155</v>
      </c>
      <c r="K9" s="75">
        <f>_xlfn.T.INV(1-K8,H6)</f>
        <v>1.6610518172772404</v>
      </c>
    </row>
    <row r="10" spans="2:1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J10" s="20" t="s">
        <v>145</v>
      </c>
      <c r="K10" s="75">
        <f>H8/SQRT(H6)</f>
        <v>3.0425395986393706</v>
      </c>
    </row>
    <row r="11" spans="2:1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J11" s="20" t="s">
        <v>149</v>
      </c>
      <c r="K11" s="75">
        <f>K9*K10</f>
        <v>5.0538159294578922</v>
      </c>
    </row>
    <row r="12" spans="2:1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2">
      <c r="B16" s="8">
        <v>11</v>
      </c>
      <c r="C16" s="8">
        <v>182</v>
      </c>
      <c r="D16" s="8">
        <v>232</v>
      </c>
      <c r="E16" s="8">
        <f t="shared" si="0"/>
        <v>50</v>
      </c>
      <c r="J16" s="20"/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G10" sqref="G10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3" t="s">
        <v>138</v>
      </c>
      <c r="G5" s="113"/>
      <c r="H5" s="113"/>
      <c r="J5" s="113" t="s">
        <v>178</v>
      </c>
      <c r="K5" s="113"/>
      <c r="M5" s="113" t="s">
        <v>140</v>
      </c>
      <c r="N5" s="113"/>
      <c r="P5" s="113" t="s">
        <v>146</v>
      </c>
      <c r="Q5" s="113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>
        <f>G9-H9</f>
        <v>1.8650659133709979</v>
      </c>
      <c r="M6" s="20" t="s">
        <v>141</v>
      </c>
      <c r="N6" s="77">
        <v>0.9</v>
      </c>
      <c r="P6" s="20" t="s">
        <v>147</v>
      </c>
      <c r="Q6" s="72">
        <f>K6-N12</f>
        <v>-0.39955679893334928</v>
      </c>
    </row>
    <row r="7" spans="2:17" x14ac:dyDescent="0.2">
      <c r="B7" s="8">
        <v>92.8</v>
      </c>
      <c r="D7" s="8">
        <v>80.7</v>
      </c>
      <c r="F7" s="20" t="s">
        <v>175</v>
      </c>
      <c r="G7" s="71">
        <f>COUNT(B6:B41)</f>
        <v>36</v>
      </c>
      <c r="H7" s="71">
        <f>COUNT(D6:D64)</f>
        <v>59</v>
      </c>
      <c r="M7" s="20" t="s">
        <v>142</v>
      </c>
      <c r="N7" s="82">
        <f>1-N6</f>
        <v>9.9999999999999978E-2</v>
      </c>
      <c r="P7" s="20" t="s">
        <v>148</v>
      </c>
      <c r="Q7" s="72">
        <f>K6+N12</f>
        <v>4.1296886256753451</v>
      </c>
    </row>
    <row r="8" spans="2:17" x14ac:dyDescent="0.2">
      <c r="B8" s="8">
        <v>88.7</v>
      </c>
      <c r="D8" s="8">
        <v>74.900000000000006</v>
      </c>
      <c r="F8" s="20" t="s">
        <v>183</v>
      </c>
      <c r="G8" s="71">
        <f>G7-1</f>
        <v>35</v>
      </c>
      <c r="H8" s="71">
        <f>H7-1</f>
        <v>58</v>
      </c>
      <c r="M8" s="20" t="s">
        <v>143</v>
      </c>
      <c r="N8" s="71">
        <f>N7/2</f>
        <v>4.9999999999999989E-2</v>
      </c>
    </row>
    <row r="9" spans="2:17" x14ac:dyDescent="0.2">
      <c r="B9" s="8">
        <v>87.5</v>
      </c>
      <c r="D9" s="8">
        <v>80.7</v>
      </c>
      <c r="F9" s="20" t="s">
        <v>176</v>
      </c>
      <c r="G9" s="72">
        <f>AVERAGE(B6:B41)</f>
        <v>81.327777777777783</v>
      </c>
      <c r="H9" s="72">
        <f>AVERAGE(D6:D64)</f>
        <v>79.462711864406785</v>
      </c>
      <c r="M9" s="20" t="s">
        <v>180</v>
      </c>
      <c r="N9" s="75">
        <f>(G11+H11)^2/(G11^2/G8+H11^2/H8)</f>
        <v>66.234134266561668</v>
      </c>
    </row>
    <row r="10" spans="2:17" ht="17" x14ac:dyDescent="0.2">
      <c r="B10" s="8">
        <v>71.3</v>
      </c>
      <c r="D10" s="8">
        <v>83.3</v>
      </c>
      <c r="F10" s="20" t="s">
        <v>177</v>
      </c>
      <c r="G10" s="75">
        <f>_xlfn.VAR.S(B6:B41)</f>
        <v>44.135206349206364</v>
      </c>
      <c r="H10" s="75">
        <f>_xlfn.VAR.S(D6:D64)</f>
        <v>33.739275277615427</v>
      </c>
      <c r="M10" s="20" t="s">
        <v>155</v>
      </c>
      <c r="N10" s="70">
        <f>_xlfn.T.INV(1-N8,N9)</f>
        <v>1.6682705142276302</v>
      </c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>
        <f>G10/G8</f>
        <v>1.2610058956916104</v>
      </c>
      <c r="H11" s="70">
        <f>H10/H8</f>
        <v>0.5817116427175073</v>
      </c>
      <c r="M11" s="20" t="s">
        <v>145</v>
      </c>
      <c r="N11" s="75">
        <f>SQRT(G11+H11)</f>
        <v>1.3574673249876468</v>
      </c>
    </row>
    <row r="12" spans="2:17" x14ac:dyDescent="0.2">
      <c r="B12" s="8">
        <v>96.1</v>
      </c>
      <c r="D12" s="8">
        <v>82.1</v>
      </c>
      <c r="M12" s="20" t="s">
        <v>149</v>
      </c>
      <c r="N12" s="75">
        <f>N11*N10</f>
        <v>2.2646227123043472</v>
      </c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4" t="s">
        <v>138</v>
      </c>
      <c r="F5" s="114"/>
      <c r="G5" s="114"/>
      <c r="I5" s="113" t="s">
        <v>178</v>
      </c>
      <c r="J5" s="113"/>
      <c r="L5" s="113" t="s">
        <v>140</v>
      </c>
      <c r="M5" s="113"/>
      <c r="O5" s="113" t="s">
        <v>146</v>
      </c>
      <c r="P5" s="113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>
        <f>F9-G9</f>
        <v>70.528301886792462</v>
      </c>
      <c r="L6" s="20" t="s">
        <v>141</v>
      </c>
      <c r="M6" s="77">
        <v>0.9</v>
      </c>
      <c r="O6" s="20" t="s">
        <v>147</v>
      </c>
      <c r="P6" s="73">
        <f>J6-M12</f>
        <v>40.555836759906974</v>
      </c>
    </row>
    <row r="7" spans="2:16" x14ac:dyDescent="0.2">
      <c r="B7" s="8" t="s">
        <v>14</v>
      </c>
      <c r="C7" s="8">
        <v>410</v>
      </c>
      <c r="E7" s="20" t="s">
        <v>175</v>
      </c>
      <c r="F7" s="71">
        <f>COUNTIFS(B6:B100,"Placed")</f>
        <v>53</v>
      </c>
      <c r="G7" s="71">
        <f>COUNTIFS(B6:B100,"Not Placed")</f>
        <v>42</v>
      </c>
      <c r="L7" s="20" t="s">
        <v>142</v>
      </c>
      <c r="M7" s="82">
        <f>1-M6</f>
        <v>9.9999999999999978E-2</v>
      </c>
      <c r="O7" s="20" t="s">
        <v>148</v>
      </c>
      <c r="P7" s="73">
        <f>J6+M12</f>
        <v>100.50076701367794</v>
      </c>
    </row>
    <row r="8" spans="2:16" x14ac:dyDescent="0.2">
      <c r="B8" s="8" t="s">
        <v>13</v>
      </c>
      <c r="C8" s="8">
        <v>119</v>
      </c>
      <c r="E8" s="20" t="s">
        <v>183</v>
      </c>
      <c r="F8" s="71">
        <f>F7-1</f>
        <v>52</v>
      </c>
      <c r="G8" s="71">
        <f>G7-1</f>
        <v>41</v>
      </c>
      <c r="L8" s="20" t="s">
        <v>143</v>
      </c>
      <c r="M8" s="71">
        <f>M7/2</f>
        <v>4.9999999999999989E-2</v>
      </c>
    </row>
    <row r="9" spans="2:16" x14ac:dyDescent="0.2">
      <c r="B9" s="8" t="s">
        <v>14</v>
      </c>
      <c r="C9" s="8">
        <v>334</v>
      </c>
      <c r="E9" s="20" t="s">
        <v>176</v>
      </c>
      <c r="F9" s="73">
        <f>AVERAGEIFS($C$6:$C$100,$B$6:$B$100,F6)</f>
        <v>320.52830188679246</v>
      </c>
      <c r="G9" s="73">
        <f>AVERAGEIFS($C$6:$C$100,$B$6:$B$100,G6)</f>
        <v>250</v>
      </c>
      <c r="L9" s="20" t="s">
        <v>180</v>
      </c>
      <c r="M9" s="75">
        <f>(F11+G11)^2/(F11^2/F8+G11^2/G8)</f>
        <v>87.464124652300455</v>
      </c>
    </row>
    <row r="10" spans="2:16" ht="17" x14ac:dyDescent="0.2">
      <c r="B10" s="8" t="s">
        <v>14</v>
      </c>
      <c r="C10" s="8">
        <v>252</v>
      </c>
      <c r="E10" s="20" t="s">
        <v>177</v>
      </c>
      <c r="F10" s="74" cm="1">
        <f t="array" ref="F10">_xlfn.VAR.S(IF($B$6:$B$100=F6,$C$6:$C$100))</f>
        <v>7479.7924528301946</v>
      </c>
      <c r="G10" s="74" cm="1">
        <f t="array" ref="G10">_xlfn.VAR.S(IF($B$6:$B$100=G6,$C$6:$C$100))</f>
        <v>7722.8780487804879</v>
      </c>
      <c r="L10" s="20" t="s">
        <v>155</v>
      </c>
      <c r="M10" s="70">
        <f>_xlfn.T.INV(1-M8,M9)</f>
        <v>1.662557349412876</v>
      </c>
    </row>
    <row r="11" spans="2:16" ht="17" x14ac:dyDescent="0.2">
      <c r="B11" s="8" t="s">
        <v>14</v>
      </c>
      <c r="C11" s="8">
        <v>209</v>
      </c>
      <c r="E11" s="20" t="s">
        <v>182</v>
      </c>
      <c r="F11" s="70">
        <f>F10/F7</f>
        <v>141.12815948736215</v>
      </c>
      <c r="G11" s="70">
        <f>G10/G7</f>
        <v>183.8780487804878</v>
      </c>
      <c r="L11" s="20" t="s">
        <v>145</v>
      </c>
      <c r="M11" s="75">
        <f>SQRT(F11+G11)</f>
        <v>18.027928562867391</v>
      </c>
    </row>
    <row r="12" spans="2:16" x14ac:dyDescent="0.2">
      <c r="B12" s="8" t="s">
        <v>13</v>
      </c>
      <c r="C12" s="8">
        <v>462</v>
      </c>
      <c r="L12" s="20" t="s">
        <v>149</v>
      </c>
      <c r="M12" s="75">
        <f>M11*M10</f>
        <v>29.972465126885488</v>
      </c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M11" sqref="M11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3" t="s">
        <v>138</v>
      </c>
      <c r="F5" s="113"/>
      <c r="G5" s="113"/>
      <c r="I5" s="113" t="s">
        <v>178</v>
      </c>
      <c r="J5" s="113"/>
      <c r="L5" s="113" t="s">
        <v>140</v>
      </c>
      <c r="M5" s="113"/>
      <c r="O5" s="113" t="s">
        <v>146</v>
      </c>
      <c r="P5" s="113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>
        <f>F8-G8</f>
        <v>0.23913043478260865</v>
      </c>
      <c r="L6" s="20" t="s">
        <v>141</v>
      </c>
      <c r="M6" s="77">
        <v>0.99</v>
      </c>
      <c r="O6" s="20" t="s">
        <v>147</v>
      </c>
      <c r="P6" s="88">
        <f>J6-M11</f>
        <v>-4.1334137258359216E-2</v>
      </c>
    </row>
    <row r="7" spans="2:16" x14ac:dyDescent="0.2">
      <c r="B7" s="8" t="s">
        <v>25</v>
      </c>
      <c r="C7" s="8" t="s">
        <v>14</v>
      </c>
      <c r="E7" s="20" t="s">
        <v>175</v>
      </c>
      <c r="F7" s="71">
        <f>COUNTIFS($B$6:$B$100,F6)</f>
        <v>23</v>
      </c>
      <c r="G7" s="71">
        <f>COUNTIFS($B$6:$B$100,G6)</f>
        <v>72</v>
      </c>
      <c r="L7" s="20" t="s">
        <v>142</v>
      </c>
      <c r="M7" s="82">
        <f>1-M6</f>
        <v>1.0000000000000009E-2</v>
      </c>
      <c r="O7" s="20" t="s">
        <v>148</v>
      </c>
      <c r="P7" s="88">
        <f>J6+M11</f>
        <v>0.51959500682357651</v>
      </c>
    </row>
    <row r="8" spans="2:16" x14ac:dyDescent="0.2">
      <c r="B8" s="8" t="s">
        <v>27</v>
      </c>
      <c r="C8" s="8" t="s">
        <v>13</v>
      </c>
      <c r="E8" s="20" t="s">
        <v>187</v>
      </c>
      <c r="F8" s="70">
        <f>COUNTIFS($B$6:$B$100,F6,$C$6:$C$100,"Placed")/F7</f>
        <v>0.73913043478260865</v>
      </c>
      <c r="G8" s="70">
        <f>COUNTIFS($B$6:$B$100,G6,$C$6:$C$100,"Placed")/G7</f>
        <v>0.5</v>
      </c>
      <c r="L8" s="20" t="s">
        <v>143</v>
      </c>
      <c r="M8" s="71">
        <f>M7/2</f>
        <v>5.0000000000000044E-3</v>
      </c>
    </row>
    <row r="9" spans="2:16" x14ac:dyDescent="0.2">
      <c r="B9" s="8" t="s">
        <v>25</v>
      </c>
      <c r="C9" s="8" t="s">
        <v>14</v>
      </c>
      <c r="E9" s="20" t="s">
        <v>158</v>
      </c>
      <c r="F9" s="70">
        <f>1-F8</f>
        <v>0.26086956521739135</v>
      </c>
      <c r="G9" s="70">
        <f>1-G8</f>
        <v>0.5</v>
      </c>
      <c r="L9" s="20" t="s">
        <v>151</v>
      </c>
      <c r="M9" s="70">
        <f>_xlfn.NORM.S.INV(1-M8)</f>
        <v>2.5758293035488999</v>
      </c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>
        <f>SQRT(SUM(F8*F9/F7,G8*G9/G7))</f>
        <v>0.10888321351673119</v>
      </c>
    </row>
    <row r="11" spans="2:16" x14ac:dyDescent="0.2">
      <c r="B11" s="8" t="s">
        <v>25</v>
      </c>
      <c r="C11" s="8" t="s">
        <v>14</v>
      </c>
      <c r="E11" s="113" t="s">
        <v>162</v>
      </c>
      <c r="F11" s="113"/>
      <c r="G11" s="113"/>
      <c r="L11" s="20" t="s">
        <v>149</v>
      </c>
      <c r="M11" s="70">
        <f>M10*M9</f>
        <v>0.28046457204096786</v>
      </c>
    </row>
    <row r="12" spans="2:16" x14ac:dyDescent="0.2">
      <c r="B12" s="8" t="s">
        <v>25</v>
      </c>
      <c r="C12" s="8" t="s">
        <v>13</v>
      </c>
      <c r="E12" s="20" t="s">
        <v>307</v>
      </c>
      <c r="F12" s="71">
        <f>F8*F7</f>
        <v>17</v>
      </c>
      <c r="G12" s="71">
        <f>G8*G7</f>
        <v>36</v>
      </c>
    </row>
    <row r="13" spans="2:16" x14ac:dyDescent="0.2">
      <c r="B13" s="8" t="s">
        <v>25</v>
      </c>
      <c r="C13" s="8" t="s">
        <v>13</v>
      </c>
      <c r="E13" s="20" t="s">
        <v>164</v>
      </c>
      <c r="F13" s="71">
        <f>F9*F7</f>
        <v>6.0000000000000009</v>
      </c>
      <c r="G13" s="71">
        <f>G9*G7</f>
        <v>36</v>
      </c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J9" sqref="J9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5" t="s">
        <v>198</v>
      </c>
      <c r="E5" s="115"/>
      <c r="F5" s="115"/>
      <c r="G5" s="115"/>
    </row>
    <row r="6" spans="2:7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</row>
    <row r="7" spans="2:7" x14ac:dyDescent="0.2">
      <c r="B7" s="8">
        <v>410</v>
      </c>
      <c r="D7" s="20" t="s">
        <v>195</v>
      </c>
      <c r="E7" s="89" t="s">
        <v>196</v>
      </c>
      <c r="F7" s="89" t="s">
        <v>332</v>
      </c>
      <c r="G7" s="90">
        <v>300</v>
      </c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K6" sqref="K6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5" t="s">
        <v>198</v>
      </c>
      <c r="E5" s="115"/>
      <c r="F5" s="115"/>
      <c r="G5" s="115"/>
      <c r="I5" s="115" t="s">
        <v>200</v>
      </c>
      <c r="J5" s="115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Q7" sqref="Q7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5" t="s">
        <v>198</v>
      </c>
      <c r="E5" s="115"/>
      <c r="F5" s="115"/>
      <c r="G5" s="115"/>
      <c r="I5" s="115" t="s">
        <v>200</v>
      </c>
      <c r="J5" s="115"/>
      <c r="L5" s="113" t="s">
        <v>138</v>
      </c>
      <c r="M5" s="113"/>
      <c r="O5" s="113" t="s">
        <v>203</v>
      </c>
      <c r="P5" s="113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STDEV(B6:B100)</f>
        <v>93.521048765238149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P8" sqref="P8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5" t="s">
        <v>198</v>
      </c>
      <c r="E5" s="115"/>
      <c r="F5" s="115"/>
      <c r="G5" s="115"/>
      <c r="I5" s="115" t="s">
        <v>200</v>
      </c>
      <c r="J5" s="115"/>
      <c r="L5" s="113" t="s">
        <v>138</v>
      </c>
      <c r="M5" s="113"/>
      <c r="O5" s="113" t="s">
        <v>203</v>
      </c>
      <c r="P5" s="113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_xlfn.T.DIST(P7,M6,TRUE)*2</f>
        <v>0.26970617191487284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O37" sqref="O37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5" t="s">
        <v>198</v>
      </c>
      <c r="E5" s="115"/>
      <c r="F5" s="115"/>
      <c r="G5" s="115"/>
      <c r="I5" s="115" t="s">
        <v>200</v>
      </c>
      <c r="J5" s="115"/>
      <c r="L5" s="113" t="s">
        <v>138</v>
      </c>
      <c r="M5" s="113"/>
      <c r="O5" s="113" t="s">
        <v>203</v>
      </c>
      <c r="P5" s="113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6" t="s">
        <v>333</v>
      </c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6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6"/>
    </row>
    <row r="9" spans="2:18" x14ac:dyDescent="0.2">
      <c r="B9" s="8">
        <v>334</v>
      </c>
      <c r="D9" s="20"/>
      <c r="E9" s="37"/>
      <c r="F9" s="37"/>
      <c r="G9" s="37"/>
      <c r="R9" s="116"/>
    </row>
    <row r="10" spans="2:18" x14ac:dyDescent="0.2">
      <c r="B10" s="8">
        <v>252</v>
      </c>
      <c r="D10" s="20"/>
      <c r="E10" s="22"/>
      <c r="F10" s="22"/>
      <c r="G10" s="22"/>
      <c r="R10" s="116"/>
    </row>
    <row r="11" spans="2:18" x14ac:dyDescent="0.2">
      <c r="B11" s="8">
        <v>209</v>
      </c>
      <c r="D11" s="20"/>
      <c r="E11" s="22"/>
      <c r="F11" s="22"/>
      <c r="G11" s="22"/>
      <c r="R11" s="116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M8" sqref="M8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5" t="s">
        <v>198</v>
      </c>
      <c r="E5" s="115"/>
      <c r="F5" s="115"/>
      <c r="G5" s="115"/>
      <c r="I5" s="115" t="s">
        <v>200</v>
      </c>
      <c r="J5" s="115"/>
      <c r="L5" s="113" t="s">
        <v>138</v>
      </c>
      <c r="M5" s="113"/>
      <c r="O5" s="113" t="s">
        <v>203</v>
      </c>
      <c r="P5" s="113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 t="s">
        <v>197</v>
      </c>
      <c r="G6" s="90">
        <v>80</v>
      </c>
      <c r="I6" s="20" t="s">
        <v>142</v>
      </c>
      <c r="J6" s="71">
        <v>0.2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0.63310867376603175</v>
      </c>
      <c r="R6" s="116" t="s">
        <v>334</v>
      </c>
    </row>
    <row r="7" spans="2:18" x14ac:dyDescent="0.2">
      <c r="B7" s="8">
        <v>92.8</v>
      </c>
      <c r="D7" s="20" t="s">
        <v>195</v>
      </c>
      <c r="E7" s="89" t="s">
        <v>196</v>
      </c>
      <c r="F7" s="89" t="s">
        <v>199</v>
      </c>
      <c r="G7" s="90">
        <v>80</v>
      </c>
      <c r="I7" s="20"/>
      <c r="J7" s="1"/>
      <c r="L7" s="20" t="s">
        <v>46</v>
      </c>
      <c r="M7" s="72">
        <f>AVERAGE(B6:B100)</f>
        <v>80.169473684210516</v>
      </c>
      <c r="O7" s="20" t="s">
        <v>201</v>
      </c>
      <c r="P7" s="91">
        <f>(M7-G6)/P6</f>
        <v>0.26768498242553784</v>
      </c>
      <c r="R7" s="116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>
        <f>STDEV(B6:B100)</f>
        <v>6.1707800411122609</v>
      </c>
      <c r="O8" s="20" t="s">
        <v>206</v>
      </c>
      <c r="P8" s="70">
        <f>(1-_xlfn.T.DIST(P7,M6,TRUE))*2</f>
        <v>0.78952212727916882</v>
      </c>
      <c r="R8" s="116"/>
    </row>
    <row r="9" spans="2:18" x14ac:dyDescent="0.2">
      <c r="B9" s="8">
        <v>80.7</v>
      </c>
      <c r="D9" s="20"/>
      <c r="E9" s="37"/>
      <c r="F9" s="37"/>
      <c r="G9" s="37"/>
      <c r="R9" s="116"/>
    </row>
    <row r="10" spans="2:18" x14ac:dyDescent="0.2">
      <c r="B10" s="8">
        <v>74.900000000000006</v>
      </c>
      <c r="D10" s="20"/>
      <c r="E10" s="22"/>
      <c r="F10" s="22"/>
      <c r="G10" s="22"/>
      <c r="R10" s="116"/>
    </row>
    <row r="11" spans="2:18" x14ac:dyDescent="0.2">
      <c r="B11" s="8">
        <v>80.7</v>
      </c>
      <c r="D11" s="20"/>
      <c r="E11" s="22"/>
      <c r="F11" s="22"/>
      <c r="G11" s="22"/>
      <c r="R11" s="116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N9" sqref="N9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5" t="s">
        <v>198</v>
      </c>
      <c r="F5" s="115"/>
      <c r="G5" s="115"/>
      <c r="H5" s="115"/>
      <c r="J5" s="115" t="s">
        <v>200</v>
      </c>
      <c r="K5" s="115"/>
      <c r="M5" s="113" t="s">
        <v>138</v>
      </c>
      <c r="N5" s="113"/>
      <c r="P5" s="113" t="s">
        <v>203</v>
      </c>
      <c r="Q5" s="113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 t="s">
        <v>208</v>
      </c>
      <c r="H6" s="90">
        <v>300</v>
      </c>
      <c r="J6" s="20" t="s">
        <v>142</v>
      </c>
      <c r="K6" s="71">
        <v>0.15</v>
      </c>
      <c r="M6" s="20" t="s">
        <v>71</v>
      </c>
      <c r="N6" s="71">
        <f>COUNTIFS(C6:C100,"Placed")</f>
        <v>53</v>
      </c>
      <c r="P6" s="20" t="s">
        <v>145</v>
      </c>
      <c r="Q6" s="75">
        <f>N8/SQRT(N6)</f>
        <v>11.879737349258281</v>
      </c>
      <c r="S6" s="117" t="s">
        <v>335</v>
      </c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 t="s">
        <v>209</v>
      </c>
      <c r="H7" s="90">
        <v>300</v>
      </c>
      <c r="J7" s="20"/>
      <c r="K7" s="1"/>
      <c r="M7" s="20" t="s">
        <v>46</v>
      </c>
      <c r="N7" s="72">
        <f>AVERAGEIFS($B$6:$B$100,$C$6:$C$100,"Placed")</f>
        <v>320.52830188679246</v>
      </c>
      <c r="P7" s="20" t="s">
        <v>201</v>
      </c>
      <c r="Q7" s="91">
        <f>(N7-H6)/Q6</f>
        <v>1.728009743251955</v>
      </c>
      <c r="S7" s="117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 cm="1">
        <f t="array" ref="N8">_xlfn.STDEV.S(IF($C$6:$C$100="Placed",B6:B100))</f>
        <v>86.485793358390339</v>
      </c>
      <c r="P8" s="20" t="s">
        <v>206</v>
      </c>
      <c r="Q8" s="70">
        <f>_xlfn.T.DIST.RT(Q7,N6)</f>
        <v>4.4904773165032809E-2</v>
      </c>
      <c r="S8" s="117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7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7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7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P6" sqref="P6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0" max="10" width="9.1640625" bestFit="1" customWidth="1"/>
    <col min="12" max="12" width="11.5" customWidth="1"/>
    <col min="15" max="15" width="15.6640625" bestFit="1" customWidth="1"/>
    <col min="16" max="16" width="10.1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3" t="s">
        <v>138</v>
      </c>
      <c r="E5" s="113"/>
      <c r="G5" s="115" t="s">
        <v>198</v>
      </c>
      <c r="H5" s="115"/>
      <c r="I5" s="115"/>
      <c r="J5" s="115"/>
      <c r="L5" s="115" t="s">
        <v>200</v>
      </c>
      <c r="M5" s="115"/>
      <c r="O5" s="113" t="s">
        <v>203</v>
      </c>
      <c r="P5" s="113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>
        <f>COUNT(B6:B58)</f>
        <v>53</v>
      </c>
      <c r="G6" s="20" t="s">
        <v>194</v>
      </c>
      <c r="H6" s="89" t="s">
        <v>212</v>
      </c>
      <c r="I6" s="89" t="s">
        <v>208</v>
      </c>
      <c r="J6" s="118">
        <v>0.5</v>
      </c>
      <c r="L6" s="20" t="s">
        <v>142</v>
      </c>
      <c r="M6" s="71">
        <v>0.05</v>
      </c>
      <c r="O6" s="20" t="s">
        <v>145</v>
      </c>
      <c r="P6" s="93">
        <f>SQRT(E7*E8/E6)</f>
        <v>6.5872243431592162E-2</v>
      </c>
      <c r="R6" s="116" t="s">
        <v>336</v>
      </c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>
        <f>COUNTIFS(B6:B58,"&gt;="&amp;100000)/E6</f>
        <v>0.64150943396226412</v>
      </c>
      <c r="G7" s="20" t="s">
        <v>195</v>
      </c>
      <c r="H7" s="89" t="s">
        <v>212</v>
      </c>
      <c r="I7" s="89" t="s">
        <v>209</v>
      </c>
      <c r="J7" s="118">
        <v>0.5</v>
      </c>
      <c r="L7" s="20"/>
      <c r="M7" s="1"/>
      <c r="O7" s="20" t="s">
        <v>211</v>
      </c>
      <c r="P7" s="91">
        <f>(E7-J6)/P6</f>
        <v>2.14824069426481</v>
      </c>
      <c r="R7" s="116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>
        <f>1-E7</f>
        <v>0.35849056603773588</v>
      </c>
      <c r="G8" s="20"/>
      <c r="H8" s="36"/>
      <c r="I8" s="36"/>
      <c r="J8" s="36"/>
      <c r="O8" s="20" t="s">
        <v>206</v>
      </c>
      <c r="P8" s="70">
        <f>1-_xlfn.NORM.S.DIST(P7,TRUE)</f>
        <v>1.5847319730759257E-2</v>
      </c>
      <c r="R8" s="116"/>
    </row>
    <row r="9" spans="2:22" x14ac:dyDescent="0.2">
      <c r="B9" s="53">
        <v>148000</v>
      </c>
      <c r="G9" s="20"/>
      <c r="H9" s="37"/>
      <c r="I9" s="37"/>
      <c r="J9" s="37"/>
      <c r="R9" s="116"/>
    </row>
    <row r="10" spans="2:22" x14ac:dyDescent="0.2">
      <c r="B10" s="53">
        <v>255500</v>
      </c>
      <c r="D10" s="113" t="s">
        <v>162</v>
      </c>
      <c r="E10" s="113"/>
      <c r="G10" s="20"/>
      <c r="H10" s="22"/>
      <c r="I10" s="22"/>
      <c r="J10" s="22"/>
      <c r="R10" s="116"/>
    </row>
    <row r="11" spans="2:22" x14ac:dyDescent="0.2">
      <c r="B11" s="53">
        <v>103500</v>
      </c>
      <c r="D11" s="20" t="s">
        <v>163</v>
      </c>
      <c r="E11" s="71">
        <f>E7*E6</f>
        <v>34</v>
      </c>
      <c r="G11" s="20"/>
      <c r="H11" s="22"/>
      <c r="I11" s="22"/>
      <c r="J11" s="22"/>
      <c r="R11" s="116"/>
    </row>
    <row r="12" spans="2:22" x14ac:dyDescent="0.2">
      <c r="B12" s="53">
        <v>114500</v>
      </c>
      <c r="D12" s="20" t="s">
        <v>164</v>
      </c>
      <c r="E12" s="71">
        <f>E8*E6</f>
        <v>19</v>
      </c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topLeftCell="E1" workbookViewId="0">
      <selection activeCell="U6" sqref="U6:U11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5" t="s">
        <v>198</v>
      </c>
      <c r="H5" s="115"/>
      <c r="I5" s="115"/>
      <c r="J5" s="115"/>
      <c r="L5" s="115" t="s">
        <v>200</v>
      </c>
      <c r="M5" s="115"/>
      <c r="O5" s="113" t="s">
        <v>138</v>
      </c>
      <c r="P5" s="113"/>
      <c r="R5" s="113" t="s">
        <v>203</v>
      </c>
      <c r="S5" s="113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>
        <f>D6-C6</f>
        <v>24</v>
      </c>
      <c r="G6" s="20" t="s">
        <v>194</v>
      </c>
      <c r="H6" s="89" t="s">
        <v>215</v>
      </c>
      <c r="I6" s="89" t="s">
        <v>310</v>
      </c>
      <c r="J6" s="90">
        <v>50</v>
      </c>
      <c r="L6" s="20" t="s">
        <v>142</v>
      </c>
      <c r="M6" s="71">
        <f>1-0.98</f>
        <v>2.0000000000000018E-2</v>
      </c>
      <c r="O6" s="20" t="s">
        <v>71</v>
      </c>
      <c r="P6" s="71">
        <f>COUNT(E6:E100)</f>
        <v>95</v>
      </c>
      <c r="R6" s="20" t="s">
        <v>145</v>
      </c>
      <c r="S6" s="75">
        <f>P8/SQRT(P6)</f>
        <v>3.0425395986393706</v>
      </c>
      <c r="U6" s="116" t="s">
        <v>337</v>
      </c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195</v>
      </c>
      <c r="H7" s="89" t="s">
        <v>215</v>
      </c>
      <c r="I7" s="89" t="s">
        <v>311</v>
      </c>
      <c r="J7" s="90">
        <v>50</v>
      </c>
      <c r="L7" s="20"/>
      <c r="M7" s="1"/>
      <c r="O7" s="20" t="s">
        <v>46</v>
      </c>
      <c r="P7" s="72">
        <f>AVERAGE(E6:E100)</f>
        <v>49.442105263157892</v>
      </c>
      <c r="R7" s="20" t="s">
        <v>201</v>
      </c>
      <c r="S7" s="91">
        <f>(P7-J6)/S6</f>
        <v>-0.18336482361366796</v>
      </c>
      <c r="U7" s="116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/>
      <c r="H8" s="36"/>
      <c r="I8" s="36"/>
      <c r="J8" s="36"/>
      <c r="O8" s="20" t="s">
        <v>70</v>
      </c>
      <c r="P8" s="75">
        <f>_xlfn.STDEV.S(E6:E100)</f>
        <v>29.655007753875548</v>
      </c>
      <c r="R8" s="20" t="s">
        <v>206</v>
      </c>
      <c r="S8" s="70">
        <f>_xlfn.T.DIST(S7,P6-1,TRUE)</f>
        <v>0.42745335670268647</v>
      </c>
      <c r="U8" s="116"/>
    </row>
    <row r="9" spans="2:24" x14ac:dyDescent="0.2">
      <c r="B9" s="8">
        <v>4</v>
      </c>
      <c r="C9" s="8">
        <v>288</v>
      </c>
      <c r="D9" s="8">
        <v>334</v>
      </c>
      <c r="E9" s="8">
        <f t="shared" si="0"/>
        <v>46</v>
      </c>
      <c r="G9" s="20"/>
      <c r="H9" s="37"/>
      <c r="I9" s="37"/>
      <c r="J9" s="37"/>
      <c r="U9" s="116"/>
    </row>
    <row r="10" spans="2:2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G10" s="20"/>
      <c r="H10" s="22"/>
      <c r="I10" s="22"/>
      <c r="J10" s="22"/>
      <c r="U10" s="116"/>
    </row>
    <row r="11" spans="2:2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G11" s="20"/>
      <c r="H11" s="22"/>
      <c r="I11" s="22"/>
      <c r="J11" s="22"/>
      <c r="U11" s="116"/>
    </row>
    <row r="12" spans="2:2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2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2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2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24" x14ac:dyDescent="0.2">
      <c r="B16" s="8">
        <v>11</v>
      </c>
      <c r="C16" s="8">
        <v>182</v>
      </c>
      <c r="D16" s="8">
        <v>232</v>
      </c>
      <c r="E16" s="8">
        <f t="shared" si="0"/>
        <v>50</v>
      </c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tabSelected="1" topLeftCell="D1" workbookViewId="0">
      <selection activeCell="W6" sqref="W6:W11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1" max="21" width="17.832031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4" t="s">
        <v>138</v>
      </c>
      <c r="F5" s="114"/>
      <c r="G5" s="114"/>
      <c r="I5" s="113" t="s">
        <v>178</v>
      </c>
      <c r="J5" s="113"/>
      <c r="L5" s="115" t="s">
        <v>198</v>
      </c>
      <c r="M5" s="115"/>
      <c r="N5" s="115"/>
      <c r="O5" s="115"/>
      <c r="Q5" s="115" t="s">
        <v>200</v>
      </c>
      <c r="R5" s="115"/>
      <c r="T5" s="113" t="s">
        <v>203</v>
      </c>
      <c r="U5" s="113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>
        <f>F9-G9</f>
        <v>7744.2810457516316</v>
      </c>
      <c r="L6" s="20" t="s">
        <v>194</v>
      </c>
      <c r="M6" s="89" t="s">
        <v>215</v>
      </c>
      <c r="N6" s="89" t="s">
        <v>208</v>
      </c>
      <c r="O6" s="119">
        <v>0</v>
      </c>
      <c r="Q6" s="20" t="s">
        <v>142</v>
      </c>
      <c r="R6" s="71">
        <f>1-0.99</f>
        <v>1.0000000000000009E-2</v>
      </c>
      <c r="T6" s="20" t="s">
        <v>145</v>
      </c>
      <c r="U6" s="80">
        <f>SQRT(SUM(F11:G11))</f>
        <v>15739.713009442165</v>
      </c>
      <c r="W6" s="116" t="s">
        <v>338</v>
      </c>
      <c r="Y6" s="94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>
        <f>COUNTIFS($B$6:$B$58,F6)</f>
        <v>17</v>
      </c>
      <c r="G7" s="71">
        <f>COUNTIFS($B$6:$B$58,G6)</f>
        <v>36</v>
      </c>
      <c r="L7" s="20" t="s">
        <v>195</v>
      </c>
      <c r="M7" s="89" t="s">
        <v>215</v>
      </c>
      <c r="N7" s="89" t="s">
        <v>209</v>
      </c>
      <c r="O7" s="90">
        <v>0</v>
      </c>
      <c r="Q7" s="20"/>
      <c r="R7" s="1"/>
      <c r="T7" s="20" t="s">
        <v>201</v>
      </c>
      <c r="U7" s="91">
        <f>(J6-O6)/U6</f>
        <v>0.49202174404996341</v>
      </c>
      <c r="W7" s="116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>
        <f>F7-1</f>
        <v>16</v>
      </c>
      <c r="G8" s="71">
        <f>G7-1</f>
        <v>35</v>
      </c>
      <c r="L8" s="20"/>
      <c r="M8" s="36"/>
      <c r="N8" s="36"/>
      <c r="O8" s="36"/>
      <c r="T8" s="20" t="s">
        <v>180</v>
      </c>
      <c r="U8" s="75">
        <f>(SUM(F11:G11)^2/SUM(F11^2/F8,G11^2/G8))</f>
        <v>22.429970730290126</v>
      </c>
      <c r="W8" s="116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>
        <f>AVERAGEIFS($C$6:$C$58,$B$6:$B$58,F6)</f>
        <v>124647.05882352941</v>
      </c>
      <c r="G9" s="80">
        <f>AVERAGEIFS($C$6:$C$58,$B$6:$B$58,G6)</f>
        <v>116902.77777777778</v>
      </c>
      <c r="L9" s="20"/>
      <c r="M9" s="37"/>
      <c r="N9" s="37"/>
      <c r="O9" s="37"/>
      <c r="T9" s="20" t="s">
        <v>206</v>
      </c>
      <c r="U9" s="70">
        <f>_xlfn.T.DIST.RT(U7,U8)</f>
        <v>0.31378889492074447</v>
      </c>
      <c r="W9" s="116"/>
    </row>
    <row r="10" spans="2:26" ht="17" x14ac:dyDescent="0.2">
      <c r="B10" s="8" t="s">
        <v>25</v>
      </c>
      <c r="C10" s="12">
        <v>255500</v>
      </c>
      <c r="E10" s="20" t="s">
        <v>177</v>
      </c>
      <c r="F10" s="74" cm="1">
        <f t="array" ref="F10">VAR(IF(B6:$B$58="Yes",$C$6:$C$58))</f>
        <v>3526773897.0588226</v>
      </c>
      <c r="G10" s="74" cm="1">
        <f t="array" ref="G10">VAR(IF($B6:C$58="No",$C$6:$C$58))</f>
        <v>1450125992.0634923</v>
      </c>
      <c r="L10" s="20"/>
      <c r="M10" s="22"/>
      <c r="N10" s="22"/>
      <c r="O10" s="22"/>
      <c r="W10" s="116"/>
    </row>
    <row r="11" spans="2:26" ht="17" x14ac:dyDescent="0.2">
      <c r="B11" s="8" t="s">
        <v>25</v>
      </c>
      <c r="C11" s="12">
        <v>103500</v>
      </c>
      <c r="E11" s="20" t="s">
        <v>182</v>
      </c>
      <c r="F11" s="74">
        <f>F10/F7</f>
        <v>207457288.06228369</v>
      </c>
      <c r="G11" s="74">
        <f>G10/G7</f>
        <v>40281277.557319231</v>
      </c>
      <c r="L11" s="20"/>
      <c r="M11" s="22"/>
      <c r="N11" s="22"/>
      <c r="O11" s="22"/>
      <c r="W11" s="116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3" t="s">
        <v>228</v>
      </c>
      <c r="F5" s="113"/>
    </row>
    <row r="6" spans="2:6" x14ac:dyDescent="0.2">
      <c r="B6" s="51">
        <v>68.400000000000006</v>
      </c>
      <c r="C6" s="51">
        <v>90.2</v>
      </c>
      <c r="E6" s="20" t="s">
        <v>229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3" t="s">
        <v>231</v>
      </c>
      <c r="I5" s="113"/>
      <c r="J5" s="113"/>
      <c r="K5" s="113"/>
      <c r="L5" s="113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5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3" t="s">
        <v>228</v>
      </c>
      <c r="F5" s="113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/>
      <c r="K6" s="20" t="s">
        <v>234</v>
      </c>
      <c r="L6" s="71"/>
      <c r="N6" s="98"/>
    </row>
    <row r="7" spans="2:14" x14ac:dyDescent="0.2">
      <c r="B7" s="8">
        <v>423</v>
      </c>
      <c r="C7" s="8">
        <v>410</v>
      </c>
      <c r="H7" s="20" t="s">
        <v>239</v>
      </c>
      <c r="I7" s="87"/>
      <c r="K7" s="20" t="s">
        <v>235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3" t="s">
        <v>228</v>
      </c>
      <c r="J5" s="113"/>
      <c r="K5" s="113"/>
      <c r="M5" s="113" t="s">
        <v>241</v>
      </c>
      <c r="N5" s="113"/>
      <c r="P5" s="113" t="s">
        <v>240</v>
      </c>
      <c r="Q5" s="113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238</v>
      </c>
      <c r="N6" s="75"/>
      <c r="P6" s="20" t="s">
        <v>314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 s="87"/>
      <c r="K7" s="87"/>
      <c r="M7" s="20" t="s">
        <v>239</v>
      </c>
      <c r="N7" s="87"/>
      <c r="P7" s="20" t="s">
        <v>254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262</v>
      </c>
    </row>
    <row r="2" spans="2:15" ht="15" customHeight="1" x14ac:dyDescent="0.2">
      <c r="B2" s="30" t="s">
        <v>256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/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/>
    </row>
    <row r="8" spans="2:15" x14ac:dyDescent="0.2">
      <c r="B8" s="8">
        <v>101</v>
      </c>
      <c r="C8" s="8">
        <v>119</v>
      </c>
      <c r="N8" s="20" t="s">
        <v>250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/>
    </row>
    <row r="10" spans="2:15" x14ac:dyDescent="0.2">
      <c r="B10" s="8">
        <v>248</v>
      </c>
      <c r="C10" s="8">
        <v>252</v>
      </c>
      <c r="N10" s="20" t="s">
        <v>145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/>
    </row>
    <row r="12" spans="2:15" x14ac:dyDescent="0.2">
      <c r="B12" s="8">
        <v>401</v>
      </c>
      <c r="C12" s="8">
        <v>462</v>
      </c>
      <c r="N12" s="58" t="s">
        <v>252</v>
      </c>
      <c r="O12" s="96"/>
    </row>
    <row r="13" spans="2:15" x14ac:dyDescent="0.2">
      <c r="B13" s="8">
        <v>287</v>
      </c>
      <c r="C13" s="8">
        <v>342</v>
      </c>
      <c r="N13" s="20" t="s">
        <v>251</v>
      </c>
      <c r="O13" s="75"/>
    </row>
    <row r="14" spans="2:15" x14ac:dyDescent="0.2">
      <c r="B14" s="8">
        <v>275</v>
      </c>
      <c r="C14" s="8">
        <v>347</v>
      </c>
      <c r="N14" s="20" t="s">
        <v>206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6"/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6"/>
    </row>
    <row r="8" spans="2:15" x14ac:dyDescent="0.2">
      <c r="B8" s="8">
        <v>70.2</v>
      </c>
      <c r="C8" s="51">
        <v>18</v>
      </c>
      <c r="N8" s="20" t="s">
        <v>250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6"/>
    </row>
    <row r="10" spans="2:15" x14ac:dyDescent="0.2">
      <c r="B10" s="8">
        <v>60.9</v>
      </c>
      <c r="C10" s="51">
        <v>4</v>
      </c>
      <c r="N10" s="20" t="s">
        <v>145</v>
      </c>
      <c r="O10" s="75"/>
    </row>
    <row r="11" spans="2:15" x14ac:dyDescent="0.2">
      <c r="B11" s="8">
        <v>74.5</v>
      </c>
      <c r="C11" s="51">
        <v>64</v>
      </c>
      <c r="N11" s="20" t="s">
        <v>142</v>
      </c>
      <c r="O11" s="71"/>
    </row>
    <row r="12" spans="2:15" x14ac:dyDescent="0.2">
      <c r="B12" s="8">
        <v>76.400000000000006</v>
      </c>
      <c r="C12" s="51">
        <v>61</v>
      </c>
      <c r="N12" s="58" t="s">
        <v>252</v>
      </c>
      <c r="O12" s="96"/>
    </row>
    <row r="13" spans="2:15" x14ac:dyDescent="0.2">
      <c r="B13" s="8">
        <v>82.6</v>
      </c>
      <c r="C13" s="51">
        <v>55</v>
      </c>
      <c r="N13" s="20" t="s">
        <v>251</v>
      </c>
      <c r="O13" s="75"/>
    </row>
    <row r="14" spans="2:15" x14ac:dyDescent="0.2">
      <c r="B14" s="8">
        <v>76.900000000000006</v>
      </c>
      <c r="C14" s="51">
        <v>72</v>
      </c>
      <c r="N14" s="20" t="s">
        <v>206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244</v>
      </c>
    </row>
    <row r="2" spans="2:12" ht="15" customHeight="1" x14ac:dyDescent="0.2">
      <c r="B2" s="30" t="s">
        <v>265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247</v>
      </c>
      <c r="L5" s="113"/>
    </row>
    <row r="6" spans="2:12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6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6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253</v>
      </c>
      <c r="L9" s="96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142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252</v>
      </c>
      <c r="L12" s="96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245</v>
      </c>
    </row>
    <row r="2" spans="2:4" ht="15" customHeight="1" x14ac:dyDescent="0.2">
      <c r="B2" s="30" t="s">
        <v>266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2023-03-04T17:58:12Z</dcterms:modified>
</cp:coreProperties>
</file>