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/Users/jorgemetri/Desktop/"/>
    </mc:Choice>
  </mc:AlternateContent>
  <xr:revisionPtr revIDLastSave="0" documentId="13_ncr:1_{DF2E4018-64FB-464C-879D-830B99C11602}" xr6:coauthVersionLast="47" xr6:coauthVersionMax="47" xr10:uidLastSave="{00000000-0000-0000-0000-000000000000}"/>
  <bookViews>
    <workbookView xWindow="40" yWindow="520" windowWidth="28800" windowHeight="16240" activeTab="2" xr2:uid="{00000000-000D-0000-FFFF-FFFF00000000}"/>
  </bookViews>
  <sheets>
    <sheet name="LDA p=1" sheetId="1" r:id="rId1"/>
    <sheet name="Naïve Bayes Classifier" sheetId="5" r:id="rId2"/>
    <sheet name="Ex 2" sheetId="6" r:id="rId3"/>
    <sheet name="Folha3" sheetId="4" r:id="rId4"/>
    <sheet name="Covariance Matrix" sheetId="2" r:id="rId5"/>
    <sheet name="LDA p&gt;1" sheetId="3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6" l="1" a="1"/>
  <c r="J3" i="6"/>
  <c r="A25" i="6"/>
  <c r="A24" i="6"/>
  <c r="E21" i="6"/>
  <c r="E20" i="6"/>
  <c r="E19" i="6"/>
  <c r="C21" i="6"/>
  <c r="C20" i="6"/>
  <c r="C19" i="6"/>
  <c r="E18" i="6"/>
  <c r="E17" i="6"/>
  <c r="E16" i="6"/>
  <c r="C18" i="6"/>
  <c r="C17" i="6"/>
  <c r="C16" i="6"/>
  <c r="D18" i="6"/>
  <c r="D17" i="6"/>
  <c r="D16" i="6"/>
  <c r="B18" i="6"/>
  <c r="B17" i="6"/>
  <c r="B16" i="6"/>
  <c r="E10" i="5"/>
  <c r="B10" i="5"/>
  <c r="B9" i="5"/>
  <c r="E8" i="5"/>
  <c r="B8" i="5"/>
  <c r="B12" i="4"/>
  <c r="C10" i="4"/>
  <c r="D8" i="4"/>
  <c r="C8" i="4"/>
  <c r="B8" i="4"/>
  <c r="K7" i="1"/>
  <c r="K6" i="1"/>
  <c r="K5" i="1"/>
  <c r="F25" i="3" a="1"/>
  <c r="F25" i="3" s="1"/>
  <c r="F27" i="3" s="1"/>
  <c r="F24" i="3" a="1"/>
  <c r="F24" i="3" s="1"/>
  <c r="F22" i="3" a="1"/>
  <c r="F22" i="3" s="1"/>
  <c r="F21" i="3" a="1"/>
  <c r="F21" i="3" s="1"/>
  <c r="B27" i="3"/>
  <c r="B25" i="3" a="1"/>
  <c r="B25" i="3" s="1"/>
  <c r="B24" i="3" a="1"/>
  <c r="B24" i="3" s="1"/>
  <c r="E18" i="3"/>
  <c r="D18" i="3"/>
  <c r="D3" i="3"/>
  <c r="D2" i="3"/>
  <c r="B22" i="3" a="1"/>
  <c r="B22" i="3" s="1"/>
  <c r="B21" i="3" a="1"/>
  <c r="B21" i="3" s="1"/>
  <c r="B14" i="3"/>
  <c r="A14" i="3"/>
  <c r="F11" i="3"/>
  <c r="F10" i="3"/>
  <c r="D11" i="3"/>
  <c r="D10" i="3"/>
  <c r="E10" i="3" s="1"/>
  <c r="B11" i="3"/>
  <c r="B10" i="3"/>
  <c r="A11" i="3"/>
  <c r="A10" i="3"/>
  <c r="E11" i="3"/>
  <c r="F3" i="3"/>
  <c r="F2" i="3"/>
  <c r="E3" i="3"/>
  <c r="E2" i="3"/>
  <c r="D12" i="2"/>
  <c r="D11" i="2"/>
  <c r="D10" i="2"/>
  <c r="C12" i="2"/>
  <c r="C11" i="2"/>
  <c r="B12" i="2"/>
  <c r="B11" i="2"/>
  <c r="B10" i="2"/>
  <c r="C10" i="2"/>
  <c r="L2" i="1"/>
  <c r="K3" i="1"/>
  <c r="J3" i="1"/>
  <c r="I2" i="1"/>
  <c r="H2" i="1"/>
  <c r="G2" i="1"/>
  <c r="C26" i="1"/>
  <c r="D26" i="1"/>
  <c r="F2" i="1"/>
  <c r="D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<sst xmlns="http://schemas.openxmlformats.org/spreadsheetml/2006/main" count="71" uniqueCount="58">
  <si>
    <t>Age</t>
  </si>
  <si>
    <t>CHD</t>
  </si>
  <si>
    <t>Media 1</t>
  </si>
  <si>
    <t>Media 0</t>
  </si>
  <si>
    <t>Variancia 1</t>
  </si>
  <si>
    <t>Variancia 0</t>
  </si>
  <si>
    <t>v1</t>
  </si>
  <si>
    <t>v0</t>
  </si>
  <si>
    <t>Total</t>
  </si>
  <si>
    <t>Fronteira</t>
  </si>
  <si>
    <t>sigma1</t>
  </si>
  <si>
    <t>sigma0</t>
  </si>
  <si>
    <t>Resultado</t>
  </si>
  <si>
    <t>Math</t>
  </si>
  <si>
    <t xml:space="preserve">Eng </t>
  </si>
  <si>
    <t>Art</t>
  </si>
  <si>
    <t>Eng</t>
  </si>
  <si>
    <t>X1</t>
  </si>
  <si>
    <t>X2</t>
  </si>
  <si>
    <t>Y</t>
  </si>
  <si>
    <t>u1</t>
  </si>
  <si>
    <t>u2</t>
  </si>
  <si>
    <t>u</t>
  </si>
  <si>
    <t>Matrix Covariance</t>
  </si>
  <si>
    <t>Inverser Matrix Covariance</t>
  </si>
  <si>
    <t>Pik Vector</t>
  </si>
  <si>
    <t>Input</t>
  </si>
  <si>
    <t>ln(Pik Vector)</t>
  </si>
  <si>
    <t>alfa 1</t>
  </si>
  <si>
    <t>alfa 2</t>
  </si>
  <si>
    <t>total  classe 1</t>
  </si>
  <si>
    <t>alfa1</t>
  </si>
  <si>
    <t>total calsse 2</t>
  </si>
  <si>
    <t>Classe 1</t>
  </si>
  <si>
    <t>Classe 2</t>
  </si>
  <si>
    <t>X</t>
  </si>
  <si>
    <t>0.4</t>
  </si>
  <si>
    <t>1.5</t>
  </si>
  <si>
    <t>P(x)</t>
  </si>
  <si>
    <t>pifk</t>
  </si>
  <si>
    <t>∑𝛑𝛒</t>
  </si>
  <si>
    <t>Pessoa</t>
  </si>
  <si>
    <t>Homen</t>
  </si>
  <si>
    <t>Mulher</t>
  </si>
  <si>
    <t>Peso</t>
  </si>
  <si>
    <t>Altura</t>
  </si>
  <si>
    <t>Tamanho do pe</t>
  </si>
  <si>
    <t>Peso(lbs)</t>
  </si>
  <si>
    <t>Classe</t>
  </si>
  <si>
    <t>Features</t>
  </si>
  <si>
    <t>f(x)</t>
  </si>
  <si>
    <t>Media</t>
  </si>
  <si>
    <t>Desvio</t>
  </si>
  <si>
    <t>Tamanhao do pe</t>
  </si>
  <si>
    <t>Legenda</t>
  </si>
  <si>
    <t>𝛑</t>
  </si>
  <si>
    <t>P(k=1|X)</t>
  </si>
  <si>
    <t>P(k=2|X)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</si>
</sst>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412750</xdr:colOff>
      <xdr:row>19</xdr:row>
      <xdr:rowOff>133350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A42DCD0-8A73-8B2B-33A2-580B19ED33E9}"/>
            </a:ext>
          </a:extLst>
        </xdr:cNvPr>
        <xdr:cNvSpPr txBox="1"/>
      </xdr:nvSpPr>
      <xdr:spPr>
        <a:xfrm>
          <a:off x="8540750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L27"/>
  <sheetViews>
    <sheetView zoomScale="144" workbookViewId="0">
      <selection activeCell="H19" sqref="H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2" t="s">
        <v>6</v>
      </c>
      <c r="D1" s="2" t="s">
        <v>7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20</v>
      </c>
      <c r="B2">
        <v>0</v>
      </c>
      <c r="C2">
        <f>IF(B2=1,(A2-$E$2)^2,0)</f>
        <v>0</v>
      </c>
      <c r="D2">
        <f>IF(B2=0,(A2-$F$2)^2,0)</f>
        <v>116.41274238227149</v>
      </c>
      <c r="E2">
        <f>SUMIF(B2:B25,1,A2:A25)/COUNTIF(B2:B25,1)</f>
        <v>37.6</v>
      </c>
      <c r="F2">
        <f>SUMIF(B2:B25,0,A2:A25)/COUNTIF(B2:B25,0)</f>
        <v>30.789473684210527</v>
      </c>
      <c r="G2">
        <f>C26</f>
        <v>144.24</v>
      </c>
      <c r="H2">
        <f>D26</f>
        <v>65.534626038781155</v>
      </c>
      <c r="I2">
        <f>E2+F2/2</f>
        <v>52.994736842105269</v>
      </c>
      <c r="J2">
        <v>32</v>
      </c>
      <c r="K2">
        <v>0</v>
      </c>
      <c r="L2">
        <f>IF(J3&gt;K3,1,0)</f>
        <v>0</v>
      </c>
    </row>
    <row r="3" spans="1:12" x14ac:dyDescent="0.2">
      <c r="A3">
        <v>23</v>
      </c>
      <c r="B3">
        <v>0</v>
      </c>
      <c r="C3">
        <f t="shared" ref="C3:C25" si="0">IF(B3=1,(A3-$E$2)^2,0)</f>
        <v>0</v>
      </c>
      <c r="D3">
        <f t="shared" ref="D3:D25" si="1">IF(B3=0,(A3-$F$2)^2,0)</f>
        <v>60.675900277008324</v>
      </c>
      <c r="J3">
        <f>J2*(E2/G2)-(G2^2)/(2*G2)+LN(G2)</f>
        <v>-58.806868620217536</v>
      </c>
      <c r="K3">
        <f>K2*(F2/H2)-(H2^2)/(2*H2)+LN(H2)</f>
        <v>-28.584734374617778</v>
      </c>
    </row>
    <row r="4" spans="1:12" x14ac:dyDescent="0.2">
      <c r="A4">
        <v>24</v>
      </c>
      <c r="B4">
        <v>0</v>
      </c>
      <c r="C4">
        <f t="shared" si="0"/>
        <v>0</v>
      </c>
      <c r="D4">
        <f t="shared" si="1"/>
        <v>46.096952908587269</v>
      </c>
    </row>
    <row r="5" spans="1:12" x14ac:dyDescent="0.2">
      <c r="A5">
        <v>25</v>
      </c>
      <c r="B5">
        <v>0</v>
      </c>
      <c r="C5">
        <f t="shared" si="0"/>
        <v>0</v>
      </c>
      <c r="D5">
        <f t="shared" si="1"/>
        <v>33.518005540166214</v>
      </c>
      <c r="K5">
        <f>20-18.5</f>
        <v>1.5</v>
      </c>
    </row>
    <row r="6" spans="1:12" x14ac:dyDescent="0.2">
      <c r="A6">
        <v>26</v>
      </c>
      <c r="B6">
        <v>0</v>
      </c>
      <c r="C6">
        <f t="shared" si="0"/>
        <v>0</v>
      </c>
      <c r="D6">
        <f t="shared" si="1"/>
        <v>22.939058171745163</v>
      </c>
      <c r="K6">
        <f>17-18.5</f>
        <v>-1.5</v>
      </c>
    </row>
    <row r="7" spans="1:12" x14ac:dyDescent="0.2">
      <c r="A7">
        <v>26</v>
      </c>
      <c r="B7">
        <v>0</v>
      </c>
      <c r="C7">
        <f t="shared" si="0"/>
        <v>0</v>
      </c>
      <c r="D7">
        <f t="shared" si="1"/>
        <v>22.939058171745163</v>
      </c>
      <c r="K7">
        <f>16-14</f>
        <v>2</v>
      </c>
    </row>
    <row r="8" spans="1:12" x14ac:dyDescent="0.2">
      <c r="A8">
        <v>28</v>
      </c>
      <c r="B8">
        <v>0</v>
      </c>
      <c r="C8">
        <f t="shared" si="0"/>
        <v>0</v>
      </c>
      <c r="D8">
        <f t="shared" si="1"/>
        <v>7.7811634349030534</v>
      </c>
    </row>
    <row r="9" spans="1:12" x14ac:dyDescent="0.2">
      <c r="A9">
        <v>60</v>
      </c>
      <c r="B9">
        <v>0</v>
      </c>
      <c r="C9">
        <f t="shared" si="0"/>
        <v>0</v>
      </c>
      <c r="D9">
        <f t="shared" si="1"/>
        <v>853.25484764542932</v>
      </c>
    </row>
    <row r="10" spans="1:12" x14ac:dyDescent="0.2">
      <c r="A10">
        <v>30</v>
      </c>
      <c r="B10">
        <v>0</v>
      </c>
      <c r="C10">
        <f t="shared" si="0"/>
        <v>0</v>
      </c>
      <c r="D10">
        <f t="shared" si="1"/>
        <v>0.62326869806094365</v>
      </c>
    </row>
    <row r="11" spans="1:12" x14ac:dyDescent="0.2">
      <c r="A11">
        <v>30</v>
      </c>
      <c r="B11">
        <v>0</v>
      </c>
      <c r="C11">
        <f t="shared" si="0"/>
        <v>0</v>
      </c>
      <c r="D11">
        <f t="shared" si="1"/>
        <v>0.62326869806094365</v>
      </c>
    </row>
    <row r="12" spans="1:12" x14ac:dyDescent="0.2">
      <c r="A12">
        <v>30</v>
      </c>
      <c r="B12">
        <v>0</v>
      </c>
      <c r="C12">
        <f t="shared" si="0"/>
        <v>0</v>
      </c>
      <c r="D12">
        <f t="shared" si="1"/>
        <v>0.62326869806094365</v>
      </c>
    </row>
    <row r="13" spans="1:12" x14ac:dyDescent="0.2">
      <c r="A13">
        <v>30</v>
      </c>
      <c r="B13">
        <v>0</v>
      </c>
      <c r="C13">
        <f t="shared" si="0"/>
        <v>0</v>
      </c>
      <c r="D13">
        <f t="shared" si="1"/>
        <v>0.62326869806094365</v>
      </c>
    </row>
    <row r="14" spans="1:12" x14ac:dyDescent="0.2">
      <c r="A14">
        <v>30</v>
      </c>
      <c r="B14">
        <v>0</v>
      </c>
      <c r="C14">
        <f t="shared" si="0"/>
        <v>0</v>
      </c>
      <c r="D14">
        <f t="shared" si="1"/>
        <v>0.62326869806094365</v>
      </c>
    </row>
    <row r="15" spans="1:12" x14ac:dyDescent="0.2">
      <c r="A15">
        <v>32</v>
      </c>
      <c r="B15">
        <v>0</v>
      </c>
      <c r="C15">
        <f t="shared" si="0"/>
        <v>0</v>
      </c>
      <c r="D15">
        <f t="shared" si="1"/>
        <v>1.4653739612188339</v>
      </c>
    </row>
    <row r="16" spans="1:12" x14ac:dyDescent="0.2">
      <c r="A16">
        <v>32</v>
      </c>
      <c r="B16">
        <v>0</v>
      </c>
      <c r="C16">
        <f t="shared" si="0"/>
        <v>0</v>
      </c>
      <c r="D16">
        <f t="shared" si="1"/>
        <v>1.4653739612188339</v>
      </c>
    </row>
    <row r="17" spans="1:4" x14ac:dyDescent="0.2">
      <c r="A17">
        <v>33</v>
      </c>
      <c r="B17">
        <v>0</v>
      </c>
      <c r="C17">
        <f t="shared" si="0"/>
        <v>0</v>
      </c>
      <c r="D17">
        <f t="shared" si="1"/>
        <v>4.886426592797779</v>
      </c>
    </row>
    <row r="18" spans="1:4" x14ac:dyDescent="0.2">
      <c r="A18">
        <v>33</v>
      </c>
      <c r="B18">
        <v>0</v>
      </c>
      <c r="C18">
        <f t="shared" si="0"/>
        <v>0</v>
      </c>
      <c r="D18">
        <f t="shared" si="1"/>
        <v>4.886426592797779</v>
      </c>
    </row>
    <row r="19" spans="1:4" x14ac:dyDescent="0.2">
      <c r="A19">
        <v>36</v>
      </c>
      <c r="B19">
        <v>0</v>
      </c>
      <c r="C19">
        <f t="shared" si="0"/>
        <v>0</v>
      </c>
      <c r="D19">
        <f t="shared" si="1"/>
        <v>27.149584487534614</v>
      </c>
    </row>
    <row r="20" spans="1:4" x14ac:dyDescent="0.2">
      <c r="A20">
        <v>37</v>
      </c>
      <c r="B20">
        <v>0</v>
      </c>
      <c r="C20">
        <f t="shared" si="0"/>
        <v>0</v>
      </c>
      <c r="D20">
        <f t="shared" si="1"/>
        <v>38.570637119113556</v>
      </c>
    </row>
    <row r="21" spans="1:4" x14ac:dyDescent="0.2">
      <c r="A21">
        <v>25</v>
      </c>
      <c r="B21">
        <v>1</v>
      </c>
      <c r="C21">
        <f t="shared" si="0"/>
        <v>158.76000000000005</v>
      </c>
      <c r="D21">
        <f t="shared" si="1"/>
        <v>0</v>
      </c>
    </row>
    <row r="22" spans="1:4" x14ac:dyDescent="0.2">
      <c r="A22">
        <v>36</v>
      </c>
      <c r="B22">
        <v>1</v>
      </c>
      <c r="C22">
        <f t="shared" si="0"/>
        <v>2.5600000000000045</v>
      </c>
      <c r="D22">
        <f t="shared" si="1"/>
        <v>0</v>
      </c>
    </row>
    <row r="23" spans="1:4" x14ac:dyDescent="0.2">
      <c r="A23">
        <v>37</v>
      </c>
      <c r="B23">
        <v>1</v>
      </c>
      <c r="C23">
        <f t="shared" si="0"/>
        <v>0.36000000000000171</v>
      </c>
      <c r="D23">
        <f t="shared" si="1"/>
        <v>0</v>
      </c>
    </row>
    <row r="24" spans="1:4" x14ac:dyDescent="0.2">
      <c r="A24">
        <v>30</v>
      </c>
      <c r="B24">
        <v>1</v>
      </c>
      <c r="C24">
        <f t="shared" si="0"/>
        <v>57.760000000000019</v>
      </c>
      <c r="D24">
        <f t="shared" si="1"/>
        <v>0</v>
      </c>
    </row>
    <row r="25" spans="1:4" x14ac:dyDescent="0.2">
      <c r="A25">
        <v>60</v>
      </c>
      <c r="B25">
        <v>1</v>
      </c>
      <c r="C25">
        <f t="shared" si="0"/>
        <v>501.75999999999993</v>
      </c>
      <c r="D25">
        <f t="shared" si="1"/>
        <v>0</v>
      </c>
    </row>
    <row r="26" spans="1:4" x14ac:dyDescent="0.2">
      <c r="C26">
        <f>SUM(C2:C25)/(24-19)</f>
        <v>144.24</v>
      </c>
      <c r="D26">
        <f>SUM(D2:D25)/19</f>
        <v>65.534626038781155</v>
      </c>
    </row>
    <row r="27" spans="1:4" x14ac:dyDescent="0.2">
      <c r="B2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6D37-B88E-BB47-BF2C-CCA76C5DF1B8}">
  <sheetPr codeName="Folha2"/>
  <dimension ref="A1:G10"/>
  <sheetViews>
    <sheetView workbookViewId="0">
      <selection activeCell="G16" sqref="G16"/>
    </sheetView>
  </sheetViews>
  <sheetFormatPr baseColWidth="10" defaultRowHeight="15" x14ac:dyDescent="0.2"/>
  <sheetData>
    <row r="1" spans="1:7" x14ac:dyDescent="0.2">
      <c r="A1" s="3"/>
      <c r="B1" s="6" t="s">
        <v>33</v>
      </c>
      <c r="C1" s="6"/>
      <c r="D1" s="6"/>
      <c r="E1" s="6" t="s">
        <v>34</v>
      </c>
      <c r="F1" s="6"/>
      <c r="G1" s="6"/>
    </row>
    <row r="2" spans="1:7" x14ac:dyDescent="0.2">
      <c r="B2" s="3">
        <v>1</v>
      </c>
      <c r="C2" s="3">
        <v>2</v>
      </c>
      <c r="D2" s="3">
        <v>3</v>
      </c>
      <c r="E2" s="3">
        <v>1</v>
      </c>
      <c r="F2" s="3">
        <v>2</v>
      </c>
      <c r="G2" s="3">
        <v>3</v>
      </c>
    </row>
    <row r="3" spans="1:7" x14ac:dyDescent="0.2">
      <c r="B3" s="3">
        <v>0.36799999999999999</v>
      </c>
      <c r="C3" s="3">
        <v>0.48399999999999999</v>
      </c>
      <c r="D3" s="3">
        <v>0.22600000000000001</v>
      </c>
      <c r="E3" s="3">
        <v>0.03</v>
      </c>
      <c r="F3" s="3">
        <v>0.13</v>
      </c>
      <c r="G3" s="3">
        <v>0.61599999999999999</v>
      </c>
    </row>
    <row r="4" spans="1:7" x14ac:dyDescent="0.2">
      <c r="B4" s="3"/>
      <c r="C4" s="3"/>
      <c r="D4" s="3"/>
      <c r="E4" s="3"/>
      <c r="F4" s="3"/>
      <c r="G4" s="3"/>
    </row>
    <row r="5" spans="1:7" x14ac:dyDescent="0.2">
      <c r="B5" s="3"/>
      <c r="C5" s="3"/>
      <c r="D5" s="3"/>
      <c r="E5" s="3"/>
      <c r="F5" s="3"/>
      <c r="G5" s="3"/>
    </row>
    <row r="6" spans="1:7" x14ac:dyDescent="0.2">
      <c r="A6" s="3" t="s">
        <v>35</v>
      </c>
      <c r="B6" s="3" t="s">
        <v>36</v>
      </c>
      <c r="C6" s="3" t="s">
        <v>37</v>
      </c>
      <c r="D6" s="3">
        <v>1</v>
      </c>
      <c r="E6" s="3" t="s">
        <v>36</v>
      </c>
      <c r="F6" s="3" t="s">
        <v>37</v>
      </c>
      <c r="G6" s="3">
        <v>1</v>
      </c>
    </row>
    <row r="7" spans="1:7" x14ac:dyDescent="0.2">
      <c r="B7" s="3"/>
    </row>
    <row r="8" spans="1:7" x14ac:dyDescent="0.2">
      <c r="A8" t="s">
        <v>39</v>
      </c>
      <c r="B8">
        <f>B3*C3*D3*0.5</f>
        <v>2.0126656E-2</v>
      </c>
      <c r="E8">
        <f>E3*F3*G3*0.5</f>
        <v>1.2011999999999999E-3</v>
      </c>
    </row>
    <row r="9" spans="1:7" x14ac:dyDescent="0.2">
      <c r="A9" t="s">
        <v>40</v>
      </c>
      <c r="B9">
        <f>B8+E8</f>
        <v>2.1327855999999999E-2</v>
      </c>
    </row>
    <row r="10" spans="1:7" x14ac:dyDescent="0.2">
      <c r="A10" t="s">
        <v>38</v>
      </c>
      <c r="B10">
        <f>B8/B9</f>
        <v>0.9436792896576196</v>
      </c>
      <c r="E10">
        <f>E8/B9</f>
        <v>5.6320710342380405E-2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668E-1EC6-5D43-8218-23BA5CF58174}">
  <sheetPr codeName="Folha3"/>
  <dimension ref="A1:L25"/>
  <sheetViews>
    <sheetView tabSelected="1" workbookViewId="0">
      <selection activeCell="J3" sqref="J3"/>
    </sheetView>
  </sheetViews>
  <sheetFormatPr baseColWidth="10" defaultRowHeight="15" x14ac:dyDescent="0.2"/>
  <cols>
    <col min="1" max="1" width="16.6640625" customWidth="1"/>
    <col min="4" max="4" width="19.83203125" customWidth="1"/>
    <col min="8" max="9" width="16" customWidth="1"/>
  </cols>
  <sheetData>
    <row r="1" spans="1:12" x14ac:dyDescent="0.2">
      <c r="A1" s="4" t="s">
        <v>41</v>
      </c>
      <c r="B1" s="4" t="s">
        <v>45</v>
      </c>
      <c r="C1" s="4" t="s">
        <v>47</v>
      </c>
      <c r="D1" s="4" t="s">
        <v>46</v>
      </c>
      <c r="H1" s="5"/>
      <c r="I1" s="5"/>
      <c r="J1" s="7" t="s">
        <v>49</v>
      </c>
      <c r="K1" s="7"/>
      <c r="L1" s="7"/>
    </row>
    <row r="2" spans="1:12" x14ac:dyDescent="0.2">
      <c r="A2" s="4">
        <v>1</v>
      </c>
      <c r="B2" s="4">
        <v>6</v>
      </c>
      <c r="C2" s="4">
        <v>180</v>
      </c>
      <c r="D2" s="4">
        <v>12</v>
      </c>
      <c r="H2" s="5" t="s">
        <v>48</v>
      </c>
      <c r="I2" s="5"/>
      <c r="J2" s="5">
        <v>1</v>
      </c>
      <c r="K2" s="5">
        <v>2</v>
      </c>
      <c r="L2" s="5">
        <v>3</v>
      </c>
    </row>
    <row r="3" spans="1:12" x14ac:dyDescent="0.2">
      <c r="A3" s="4">
        <v>1</v>
      </c>
      <c r="B3" s="4">
        <v>5.92</v>
      </c>
      <c r="C3" s="4">
        <v>190</v>
      </c>
      <c r="D3" s="4">
        <v>11</v>
      </c>
      <c r="H3" s="5">
        <v>1</v>
      </c>
      <c r="I3" s="7" t="s">
        <v>50</v>
      </c>
      <c r="J3" s="5" t="e" cm="1">
        <f t="array" ref="J3">SQ</f>
        <v>#NAME?</v>
      </c>
      <c r="K3" s="5"/>
      <c r="L3" s="5"/>
    </row>
    <row r="4" spans="1:12" x14ac:dyDescent="0.2">
      <c r="A4" s="4">
        <v>1</v>
      </c>
      <c r="B4" s="4">
        <v>5.58</v>
      </c>
      <c r="C4" s="4">
        <v>170</v>
      </c>
      <c r="D4" s="4">
        <v>12</v>
      </c>
      <c r="H4" s="5">
        <v>2</v>
      </c>
      <c r="I4" s="7"/>
      <c r="J4" s="5"/>
      <c r="K4" s="5"/>
      <c r="L4" s="5"/>
    </row>
    <row r="5" spans="1:12" x14ac:dyDescent="0.2">
      <c r="A5" s="4">
        <v>1</v>
      </c>
      <c r="B5" s="4">
        <v>5.92</v>
      </c>
      <c r="C5" s="4">
        <v>165</v>
      </c>
      <c r="D5" s="4">
        <v>10</v>
      </c>
      <c r="H5" s="3"/>
      <c r="I5" s="5" t="s">
        <v>35</v>
      </c>
      <c r="J5" s="5" t="s">
        <v>56</v>
      </c>
      <c r="K5" s="5" t="s">
        <v>57</v>
      </c>
      <c r="L5" s="3"/>
    </row>
    <row r="6" spans="1:12" x14ac:dyDescent="0.2">
      <c r="A6" s="4">
        <v>0</v>
      </c>
      <c r="B6" s="4">
        <v>5</v>
      </c>
      <c r="C6" s="4">
        <v>100</v>
      </c>
      <c r="D6" s="4">
        <v>6</v>
      </c>
      <c r="H6" s="3"/>
      <c r="I6" s="5">
        <v>1</v>
      </c>
      <c r="J6" s="5"/>
      <c r="K6" s="5"/>
      <c r="L6" s="3"/>
    </row>
    <row r="7" spans="1:12" x14ac:dyDescent="0.2">
      <c r="A7" s="4">
        <v>0</v>
      </c>
      <c r="B7" s="4">
        <v>5.5</v>
      </c>
      <c r="C7" s="4">
        <v>150</v>
      </c>
      <c r="D7" s="4">
        <v>8</v>
      </c>
      <c r="H7" s="3"/>
      <c r="I7" s="5">
        <v>2</v>
      </c>
      <c r="J7" s="3"/>
      <c r="K7" s="3"/>
      <c r="L7" s="3"/>
    </row>
    <row r="8" spans="1:12" x14ac:dyDescent="0.2">
      <c r="A8" s="4">
        <v>0</v>
      </c>
      <c r="B8" s="4">
        <v>5.42</v>
      </c>
      <c r="C8" s="4">
        <v>130</v>
      </c>
      <c r="D8" s="4">
        <v>7</v>
      </c>
      <c r="H8" s="3"/>
      <c r="I8" s="5">
        <v>3</v>
      </c>
      <c r="J8" s="3"/>
      <c r="K8" s="3"/>
      <c r="L8" s="3"/>
    </row>
    <row r="9" spans="1:12" x14ac:dyDescent="0.2">
      <c r="A9" s="4">
        <v>0</v>
      </c>
      <c r="B9" s="4">
        <v>5.75</v>
      </c>
      <c r="C9" s="4">
        <v>150</v>
      </c>
      <c r="D9" s="4">
        <v>9</v>
      </c>
    </row>
    <row r="11" spans="1:12" x14ac:dyDescent="0.2">
      <c r="A11" s="4" t="s">
        <v>48</v>
      </c>
      <c r="B11" s="4" t="s">
        <v>54</v>
      </c>
      <c r="C11" s="4" t="s">
        <v>55</v>
      </c>
    </row>
    <row r="12" spans="1:12" ht="27" customHeight="1" x14ac:dyDescent="0.2">
      <c r="A12" s="4">
        <v>1</v>
      </c>
      <c r="B12" s="4" t="s">
        <v>42</v>
      </c>
      <c r="C12" s="4">
        <v>0.5</v>
      </c>
    </row>
    <row r="13" spans="1:12" x14ac:dyDescent="0.2">
      <c r="A13" s="4">
        <v>0</v>
      </c>
      <c r="B13" s="4" t="s">
        <v>43</v>
      </c>
      <c r="C13" s="4">
        <v>0.5</v>
      </c>
    </row>
    <row r="14" spans="1:12" x14ac:dyDescent="0.2">
      <c r="A14" s="4"/>
      <c r="B14" s="4" t="s">
        <v>51</v>
      </c>
      <c r="C14" s="4" t="s">
        <v>52</v>
      </c>
      <c r="D14" s="4" t="s">
        <v>51</v>
      </c>
      <c r="E14" s="4" t="s">
        <v>52</v>
      </c>
    </row>
    <row r="15" spans="1:12" x14ac:dyDescent="0.2">
      <c r="A15" s="4"/>
      <c r="B15" s="8">
        <v>1</v>
      </c>
      <c r="C15" s="8"/>
      <c r="D15" s="9">
        <v>2</v>
      </c>
      <c r="E15" s="10"/>
    </row>
    <row r="16" spans="1:12" x14ac:dyDescent="0.2">
      <c r="A16" s="4" t="s">
        <v>45</v>
      </c>
      <c r="B16" s="4">
        <f>AVERAGE(B2:B5)</f>
        <v>5.8550000000000004</v>
      </c>
      <c r="C16" s="4">
        <f>_xlfn.VAR.S(B2:B5)</f>
        <v>3.5033333333333312E-2</v>
      </c>
      <c r="D16" s="4">
        <f>AVERAGE(B6:B9)</f>
        <v>5.4175000000000004</v>
      </c>
      <c r="E16" s="4">
        <f>_xlfn.VAR.S(B6:B9)</f>
        <v>9.7225000000000006E-2</v>
      </c>
    </row>
    <row r="17" spans="1:5" x14ac:dyDescent="0.2">
      <c r="A17" s="4" t="s">
        <v>44</v>
      </c>
      <c r="B17" s="4">
        <f>AVERAGE(C2:C5)</f>
        <v>176.25</v>
      </c>
      <c r="C17" s="4">
        <f>_xlfn.VAR.S(C2:C5)</f>
        <v>122.91666666666667</v>
      </c>
      <c r="D17" s="4">
        <f>AVERAGE(C6:C9)</f>
        <v>132.5</v>
      </c>
      <c r="E17" s="4">
        <f>_xlfn.VAR.S(C6:C9)</f>
        <v>558.33333333333337</v>
      </c>
    </row>
    <row r="18" spans="1:5" x14ac:dyDescent="0.2">
      <c r="A18" s="4" t="s">
        <v>53</v>
      </c>
      <c r="B18" s="4">
        <f>AVERAGE(D2:D5)</f>
        <v>11.25</v>
      </c>
      <c r="C18" s="4">
        <f>_xlfn.VAR.S(D2:D5)</f>
        <v>0.91666666666666663</v>
      </c>
      <c r="D18" s="4">
        <f>AVERAGE(D6:D9)</f>
        <v>7.5</v>
      </c>
      <c r="E18" s="4">
        <f>_xlfn.VAR.S(D6:D9)</f>
        <v>1.6666666666666667</v>
      </c>
    </row>
    <row r="19" spans="1:5" x14ac:dyDescent="0.2">
      <c r="C19">
        <f>SQRT(C16)</f>
        <v>0.18717193521821937</v>
      </c>
      <c r="E19">
        <f>SQRT(E16)</f>
        <v>0.31180923655337728</v>
      </c>
    </row>
    <row r="20" spans="1:5" x14ac:dyDescent="0.2">
      <c r="C20">
        <f>SQRT(C17)</f>
        <v>11.086778913041726</v>
      </c>
      <c r="E20">
        <f>SQRT(E17)</f>
        <v>23.629078131263043</v>
      </c>
    </row>
    <row r="21" spans="1:5" x14ac:dyDescent="0.2">
      <c r="C21">
        <f>SQRT(C18)</f>
        <v>0.9574271077563381</v>
      </c>
      <c r="E21">
        <f>SQRT(E18)</f>
        <v>1.2909944487358056</v>
      </c>
    </row>
    <row r="24" spans="1:5" x14ac:dyDescent="0.2">
      <c r="A24">
        <f>PI()</f>
        <v>3.1415926535897931</v>
      </c>
    </row>
    <row r="25" spans="1:5" x14ac:dyDescent="0.2">
      <c r="A25">
        <f>SQRT(2*A24)</f>
        <v>2.5066282746310002</v>
      </c>
    </row>
  </sheetData>
  <dataConsolidate/>
  <mergeCells count="4">
    <mergeCell ref="J1:L1"/>
    <mergeCell ref="I3:I4"/>
    <mergeCell ref="B15:C15"/>
    <mergeCell ref="D15:E15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8E00-2E13-414F-83F7-C26638A08C5B}">
  <sheetPr codeName="Folha4"/>
  <dimension ref="B8:D12"/>
  <sheetViews>
    <sheetView topLeftCell="A4" zoomScale="281" workbookViewId="0">
      <selection activeCell="B13" sqref="B13"/>
    </sheetView>
  </sheetViews>
  <sheetFormatPr baseColWidth="10" defaultRowHeight="15" x14ac:dyDescent="0.2"/>
  <sheetData>
    <row r="8" spans="2:4" x14ac:dyDescent="0.2">
      <c r="B8">
        <f>21*14/(2.9)^2</f>
        <v>34.958382877526752</v>
      </c>
      <c r="C8">
        <f>-(14)^2/(2*(2.9)^2)</f>
        <v>11.652794292508919</v>
      </c>
      <c r="D8">
        <f>C8*-1</f>
        <v>-11.652794292508919</v>
      </c>
    </row>
    <row r="10" spans="2:4" x14ac:dyDescent="0.2">
      <c r="C10">
        <f>LN(5/7)</f>
        <v>-0.33647223662121289</v>
      </c>
    </row>
    <row r="12" spans="2:4" x14ac:dyDescent="0.2">
      <c r="B12">
        <f>B8+D8+C10</f>
        <v>22.969116348396621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E1BC-6642-5B4C-B5C9-D838599F5736}">
  <sheetPr codeName="Folha5"/>
  <dimension ref="A1:D12"/>
  <sheetViews>
    <sheetView zoomScale="259" zoomScaleNormal="259" workbookViewId="0">
      <selection activeCell="B13" sqref="B13"/>
    </sheetView>
  </sheetViews>
  <sheetFormatPr baseColWidth="10" defaultRowHeight="15" x14ac:dyDescent="0.2"/>
  <sheetData>
    <row r="1" spans="1:4" x14ac:dyDescent="0.2">
      <c r="B1" t="s">
        <v>13</v>
      </c>
      <c r="C1" t="s">
        <v>14</v>
      </c>
      <c r="D1" t="s">
        <v>15</v>
      </c>
    </row>
    <row r="2" spans="1:4" x14ac:dyDescent="0.2">
      <c r="B2">
        <v>90</v>
      </c>
      <c r="C2">
        <v>60</v>
      </c>
      <c r="D2">
        <v>90</v>
      </c>
    </row>
    <row r="3" spans="1:4" x14ac:dyDescent="0.2">
      <c r="B3">
        <v>90</v>
      </c>
      <c r="C3">
        <v>90</v>
      </c>
      <c r="D3">
        <v>30</v>
      </c>
    </row>
    <row r="4" spans="1:4" x14ac:dyDescent="0.2">
      <c r="B4">
        <v>60</v>
      </c>
      <c r="C4">
        <v>60</v>
      </c>
      <c r="D4">
        <v>60</v>
      </c>
    </row>
    <row r="5" spans="1:4" x14ac:dyDescent="0.2">
      <c r="B5">
        <v>60</v>
      </c>
      <c r="C5">
        <v>60</v>
      </c>
      <c r="D5">
        <v>90</v>
      </c>
    </row>
    <row r="6" spans="1:4" x14ac:dyDescent="0.2">
      <c r="B6">
        <v>30</v>
      </c>
      <c r="C6">
        <v>30</v>
      </c>
      <c r="D6">
        <v>30</v>
      </c>
    </row>
    <row r="9" spans="1:4" x14ac:dyDescent="0.2">
      <c r="B9" t="s">
        <v>13</v>
      </c>
      <c r="C9" t="s">
        <v>14</v>
      </c>
      <c r="D9" t="s">
        <v>15</v>
      </c>
    </row>
    <row r="10" spans="1:4" x14ac:dyDescent="0.2">
      <c r="A10" t="s">
        <v>13</v>
      </c>
      <c r="B10">
        <f>COVAR(B2:B6,B2:B6)</f>
        <v>504</v>
      </c>
      <c r="C10">
        <f>_xlfn.COVARIANCE.S(B2:B6,C2:C6)</f>
        <v>450</v>
      </c>
      <c r="D10">
        <f>COVAR(B2:B6,D2:D6)</f>
        <v>180</v>
      </c>
    </row>
    <row r="11" spans="1:4" x14ac:dyDescent="0.2">
      <c r="A11" t="s">
        <v>16</v>
      </c>
      <c r="B11">
        <f>COVAR(C2:C6,B2:B6)</f>
        <v>360</v>
      </c>
      <c r="C11">
        <f>COVAR(C2:C6,C2:C6)</f>
        <v>360</v>
      </c>
      <c r="D11">
        <f>COVAR(C2:C6,D2:D6)</f>
        <v>0</v>
      </c>
    </row>
    <row r="12" spans="1:4" x14ac:dyDescent="0.2">
      <c r="A12" t="s">
        <v>15</v>
      </c>
      <c r="B12">
        <f>COVAR(D2:D6,B2:B6)</f>
        <v>180</v>
      </c>
      <c r="C12">
        <f>COVAR(D2:D6,C2:C6)</f>
        <v>0</v>
      </c>
      <c r="D12">
        <f>COVAR(D2:D6,D2:D6)</f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7DFA-0EB9-ED47-955D-DEB3F74E8B05}">
  <sheetPr codeName="Folha6"/>
  <dimension ref="A1:G27"/>
  <sheetViews>
    <sheetView zoomScale="195" zoomScaleNormal="195" workbookViewId="0">
      <selection activeCell="D1" sqref="D1"/>
    </sheetView>
  </sheetViews>
  <sheetFormatPr baseColWidth="10" defaultRowHeight="15" x14ac:dyDescent="0.2"/>
  <sheetData>
    <row r="1" spans="1:6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2">
      <c r="A2" s="3">
        <v>2.95</v>
      </c>
      <c r="B2" s="3">
        <v>6.63</v>
      </c>
      <c r="C2" s="3">
        <v>1</v>
      </c>
      <c r="D2">
        <f>3.05</f>
        <v>3.05</v>
      </c>
      <c r="E2">
        <f>SUMIF(C2:C8,2,A2:A8)/COUNTIF(C2:C8,2)</f>
        <v>2.67</v>
      </c>
      <c r="F2">
        <f>AVERAGE(A2:A8)</f>
        <v>2.8885714285714288</v>
      </c>
    </row>
    <row r="3" spans="1:6" x14ac:dyDescent="0.2">
      <c r="A3" s="3">
        <v>2.5299999999999998</v>
      </c>
      <c r="B3" s="3">
        <v>7.79</v>
      </c>
      <c r="C3" s="3">
        <v>1</v>
      </c>
      <c r="D3">
        <f>6.38</f>
        <v>6.38</v>
      </c>
      <c r="E3">
        <f>AVERAGE(B6:B8)</f>
        <v>4.7333333333333334</v>
      </c>
      <c r="F3">
        <f>AVERAGE(B2:B8)</f>
        <v>5.677142857142857</v>
      </c>
    </row>
    <row r="4" spans="1:6" x14ac:dyDescent="0.2">
      <c r="A4" s="3">
        <v>3.57</v>
      </c>
      <c r="B4" s="3">
        <v>5.65</v>
      </c>
      <c r="C4" s="3">
        <v>1</v>
      </c>
    </row>
    <row r="5" spans="1:6" x14ac:dyDescent="0.2">
      <c r="A5" s="3">
        <v>3.16</v>
      </c>
      <c r="B5" s="3">
        <v>5.47</v>
      </c>
      <c r="C5" s="3">
        <v>1</v>
      </c>
    </row>
    <row r="6" spans="1:6" x14ac:dyDescent="0.2">
      <c r="A6" s="3">
        <v>2.58</v>
      </c>
      <c r="B6" s="3">
        <v>4.46</v>
      </c>
      <c r="C6" s="3">
        <v>2</v>
      </c>
    </row>
    <row r="7" spans="1:6" x14ac:dyDescent="0.2">
      <c r="A7" s="3">
        <v>2.16</v>
      </c>
      <c r="B7" s="3">
        <v>6.22</v>
      </c>
      <c r="C7" s="3">
        <v>2</v>
      </c>
    </row>
    <row r="8" spans="1:6" x14ac:dyDescent="0.2">
      <c r="A8" s="3">
        <v>3.27</v>
      </c>
      <c r="B8" s="3">
        <v>3.52</v>
      </c>
      <c r="C8" s="3">
        <v>2</v>
      </c>
    </row>
    <row r="9" spans="1:6" x14ac:dyDescent="0.2">
      <c r="A9" t="s">
        <v>23</v>
      </c>
      <c r="D9" t="s">
        <v>25</v>
      </c>
      <c r="E9" t="s">
        <v>27</v>
      </c>
    </row>
    <row r="10" spans="1:6" x14ac:dyDescent="0.2">
      <c r="A10">
        <f>0.206</f>
        <v>0.20599999999999999</v>
      </c>
      <c r="B10">
        <f>-0.233</f>
        <v>-0.23300000000000001</v>
      </c>
      <c r="D10">
        <f>0.571</f>
        <v>0.57099999999999995</v>
      </c>
      <c r="E10">
        <f>LN(D10)</f>
        <v>-0.56036606932612687</v>
      </c>
      <c r="F10">
        <f>ROUND(E10,3)</f>
        <v>-0.56000000000000005</v>
      </c>
    </row>
    <row r="11" spans="1:6" x14ac:dyDescent="0.2">
      <c r="A11">
        <f>-0.233</f>
        <v>-0.23300000000000001</v>
      </c>
      <c r="B11">
        <f>1.689</f>
        <v>1.6890000000000001</v>
      </c>
      <c r="D11">
        <f>0.429</f>
        <v>0.42899999999999999</v>
      </c>
      <c r="E11">
        <f>LN(D11)</f>
        <v>-0.84629836005412007</v>
      </c>
      <c r="F11">
        <f>ROUND(E11,3)</f>
        <v>-0.84599999999999997</v>
      </c>
    </row>
    <row r="13" spans="1:6" x14ac:dyDescent="0.2">
      <c r="A13" t="s">
        <v>24</v>
      </c>
    </row>
    <row r="14" spans="1:6" x14ac:dyDescent="0.2">
      <c r="A14">
        <f>5.745</f>
        <v>5.7450000000000001</v>
      </c>
      <c r="B14">
        <f>0.791</f>
        <v>0.79100000000000004</v>
      </c>
    </row>
    <row r="15" spans="1:6" x14ac:dyDescent="0.2">
      <c r="A15">
        <v>0.79100000000000004</v>
      </c>
      <c r="B15">
        <v>0.70099999999999996</v>
      </c>
    </row>
    <row r="17" spans="1:7" x14ac:dyDescent="0.2">
      <c r="A17" t="s">
        <v>26</v>
      </c>
    </row>
    <row r="18" spans="1:7" x14ac:dyDescent="0.2">
      <c r="A18">
        <v>2.81</v>
      </c>
      <c r="B18">
        <v>5.46</v>
      </c>
      <c r="D18">
        <f>D2</f>
        <v>3.05</v>
      </c>
      <c r="E18">
        <f>D3</f>
        <v>6.38</v>
      </c>
      <c r="F18">
        <v>2.67</v>
      </c>
      <c r="G18">
        <v>4.74</v>
      </c>
    </row>
    <row r="21" spans="1:7" x14ac:dyDescent="0.2">
      <c r="A21" t="s">
        <v>28</v>
      </c>
      <c r="B21" cm="1">
        <f t="array" ref="B21:C21">MMULT(A18:B18,A14:B15)</f>
        <v>20.462310000000002</v>
      </c>
      <c r="C21">
        <v>6.0501699999999996</v>
      </c>
      <c r="E21" t="s">
        <v>31</v>
      </c>
      <c r="F21" cm="1">
        <f t="array" ref="F21:G21">MMULT(A18:B18,A14:B15)</f>
        <v>20.462310000000002</v>
      </c>
      <c r="G21">
        <v>6.0501699999999996</v>
      </c>
    </row>
    <row r="22" spans="1:7" x14ac:dyDescent="0.2">
      <c r="B22" cm="1">
        <f t="array" ref="B22">MMULT(_xlfn.ANCHORARRAY(B21),D2:D3)</f>
        <v>101.0101301</v>
      </c>
      <c r="F22" cm="1">
        <f t="array" ref="F22">MMULT(_xlfn.ANCHORARRAY(F21),E2:E3)</f>
        <v>83.271839033333336</v>
      </c>
    </row>
    <row r="24" spans="1:7" x14ac:dyDescent="0.2">
      <c r="A24" t="s">
        <v>29</v>
      </c>
      <c r="B24" cm="1">
        <f t="array" ref="B24:C24">MMULT(D18:E18,A14:B15)</f>
        <v>22.568829999999998</v>
      </c>
      <c r="C24">
        <v>6.8849299999999989</v>
      </c>
      <c r="E24" t="s">
        <v>29</v>
      </c>
      <c r="F24" cm="1">
        <f t="array" ref="F24:G24">MMULT(F18:G18,A14:B15)</f>
        <v>19.08849</v>
      </c>
      <c r="G24">
        <v>5.4347099999999999</v>
      </c>
    </row>
    <row r="25" spans="1:7" x14ac:dyDescent="0.2">
      <c r="B25" cm="1">
        <f t="array" ref="B25">MMULT(_xlfn.ANCHORARRAY(B24),D2:D3)*-0.5</f>
        <v>-56.380392449999995</v>
      </c>
      <c r="F25" cm="1">
        <f t="array" ref="F25">MMULT(_xlfn.ANCHORARRAY(F24),E2:E3)*-0.5</f>
        <v>-38.345281149999998</v>
      </c>
    </row>
    <row r="27" spans="1:7" x14ac:dyDescent="0.2">
      <c r="A27" t="s">
        <v>30</v>
      </c>
      <c r="B27">
        <f>B22+B25+F10</f>
        <v>44.06973765</v>
      </c>
      <c r="E27" t="s">
        <v>32</v>
      </c>
      <c r="F27">
        <f>F22+F25+F11</f>
        <v>44.080557883333341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LDA p=1</vt:lpstr>
      <vt:lpstr>Naïve Bayes Classifier</vt:lpstr>
      <vt:lpstr>Ex 2</vt:lpstr>
      <vt:lpstr>Folha3</vt:lpstr>
      <vt:lpstr>Covariance Matrix</vt:lpstr>
      <vt:lpstr>LDA p&gt;1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metri</cp:lastModifiedBy>
  <dcterms:created xsi:type="dcterms:W3CDTF">2024-02-04T17:46:32Z</dcterms:created>
  <dcterms:modified xsi:type="dcterms:W3CDTF">2024-02-20T21:43:16Z</dcterms:modified>
</cp:coreProperties>
</file>