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png" ContentType="image/png"/>
  <Default Extension="xml" ContentType="application/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9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drawings/drawing17.xml" ContentType="application/vnd.openxmlformats-officedocument.drawing+xml"/>
  <Override PartName="/xl/drawings/drawing5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4.xml" ContentType="application/vnd.openxmlformats-officedocument.drawing+xml"/>
  <Override PartName="/xl/drawings/drawing10.xml" ContentType="application/vnd.openxmlformats-officedocument.drawing+xml"/>
  <Override PartName="/xl/drawings/drawing16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xl/comments6.xml" ContentType="application/vnd.openxmlformats-officedocument.spreadsheetml.comments+xml"/>
  <Override PartName="/xl/comments2.xml" ContentType="application/vnd.openxmlformats-officedocument.spreadsheetml.comments+xml"/>
  <Override PartName="/xl/comments7.xml" ContentType="application/vnd.openxmlformats-officedocument.spreadsheetml.comments+xml"/>
  <Override PartName="/xl/comments4.xml" ContentType="application/vnd.openxmlformats-officedocument.spreadsheetml.comment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17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arátula" state="visible" r:id="rId3"/>
    <sheet sheetId="2" name="Consideraciones" state="visible" r:id="rId4"/>
    <sheet sheetId="3" name="Mercado" state="visible" r:id="rId5"/>
    <sheet sheetId="4" name="Costos Variables de Fabricación" state="visible" r:id="rId6"/>
    <sheet sheetId="5" name="Gastos Fijos de Fabricación" state="visible" r:id="rId7"/>
    <sheet sheetId="6" name="Gastos de Comercialización" state="visible" r:id="rId8"/>
    <sheet sheetId="7" name="Gastos Adm y Finanzas" state="visible" r:id="rId9"/>
    <sheet sheetId="8" name="Amortización Edificio" state="visible" r:id="rId10"/>
    <sheet sheetId="9" name="Amortización Muebles y Utiles" state="visible" r:id="rId11"/>
    <sheet sheetId="10" name="Amortización Rodados" state="visible" r:id="rId12"/>
    <sheet sheetId="11" name="Amortización Informática" state="visible" r:id="rId13"/>
    <sheet sheetId="12" name="Amortización Máquinas" state="visible" r:id="rId14"/>
    <sheet sheetId="13" name="Activo no Corriente" state="visible" r:id="rId15"/>
    <sheet sheetId="14" name="Cuadro de Usos y Fuentes" state="visible" r:id="rId16"/>
    <sheet sheetId="15" name="Puntos de Equilibrio" state="visible" r:id="rId17"/>
    <sheet sheetId="16" name="Balances Pro Forma" state="visible" r:id="rId18"/>
    <sheet sheetId="17" name="Flujo de caja" state="visible" r:id="rId19"/>
  </sheets>
  <definedNames/>
  <calcPr/>
</workbook>
</file>

<file path=xl/comments1.xml><?xml version="1.0" encoding="utf-8"?>
<comments xmlns="http://schemas.openxmlformats.org/spreadsheetml/2006/main">
  <authors>
    <author/>
  </authors>
  <commentList>
    <comment ref="E5" authorId="0">
      <text>
        <t xml:space="preserve">El valor es un % de la participación total del mercado a cubrir
</t>
      </text>
    </comment>
    <comment ref="F5" authorId="0">
      <text>
        <t xml:space="preserve">El valor es un % de la pentración del mercado a buscar
</t>
      </text>
    </comment>
    <comment ref="H5" authorId="0">
      <text>
        <t xml:space="preserve">Del 100% del total de ventas que % es destinado al mercado minorista
</t>
      </text>
    </comment>
    <comment ref="I5" authorId="0">
      <text>
        <t xml:space="preserve">Del 100% del total de ventas que % es destinado al mercado mayorista
</t>
      </text>
    </comment>
    <comment ref="E6" authorId="0">
      <text>
        <t xml:space="preserve">Es el mercado donde venderán el producto o servicio
</t>
      </text>
    </comment>
    <comment ref="G7" authorId="0">
      <text>
        <t xml:space="preserve">Es el producto o servicio que fabrican o venden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J13" authorId="0">
      <text>
        <t xml:space="preserve">lo descubre Pablo:  0,00025 es la porción del tronco que se utiliza para hacer UN solo par de palillos, esto sale de que 1 arbol = 4000 palillos.
	-Jorge Martinez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7" authorId="0">
      <text>
        <t xml:space="preserve">¿sería el sueldo base?
	-Jorge Martinez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5" authorId="0">
      <text>
        <t xml:space="preserve">¿sueldo bruto o en bolsillo?
	-Jorge Martinez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14" authorId="0">
      <text>
        <t xml:space="preserve">Valor expresado en %
Tasa que cobra el banco
</t>
      </text>
    </comment>
    <comment ref="D17" authorId="0">
      <text>
        <t xml:space="preserve">Valor expresado en %
Es la tasa que se pretende pagar a los accionistas
</t>
      </text>
    </comment>
    <comment ref="D20" authorId="0">
      <text>
        <t xml:space="preserve">Valor expresado en %
Tasa que cobra el banco
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G32" authorId="0">
      <text>
        <t xml:space="preserve">Valor expresado en días</t>
      </text>
    </comment>
    <comment ref="J32" authorId="0">
      <text>
        <t xml:space="preserve">Valor expresado en días</t>
      </text>
    </comment>
    <comment ref="M32" authorId="0">
      <text>
        <t xml:space="preserve">Valor expresado en días</t>
      </text>
    </comment>
    <comment ref="P32" authorId="0">
      <text>
        <t xml:space="preserve">Valor expresado en días</t>
      </text>
    </comment>
    <comment ref="G34" authorId="0">
      <text>
        <t xml:space="preserve">Valor expresado en días</t>
      </text>
    </comment>
    <comment ref="J34" authorId="0">
      <text>
        <t xml:space="preserve">Valor expresado en días</t>
      </text>
    </comment>
    <comment ref="M34" authorId="0">
      <text>
        <t xml:space="preserve">Valor expresado en días</t>
      </text>
    </comment>
    <comment ref="P34" authorId="0">
      <text>
        <t xml:space="preserve">Valor expresado en días</t>
      </text>
    </comment>
    <comment ref="G41" authorId="0">
      <text>
        <t xml:space="preserve">Valor expresado en días</t>
      </text>
    </comment>
    <comment ref="J41" authorId="0">
      <text>
        <t xml:space="preserve">Valor expresado en días</t>
      </text>
    </comment>
    <comment ref="M41" authorId="0">
      <text>
        <t xml:space="preserve">Valor expresado en días</t>
      </text>
    </comment>
    <comment ref="P41" authorId="0">
      <text>
        <t xml:space="preserve">Valor expresado en días</t>
      </text>
    </comment>
    <comment ref="S41" authorId="0">
      <text>
        <t xml:space="preserve">Valor expresado en días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H29" authorId="0">
      <text>
        <t xml:space="preserve">Por que no toma los honorarios aca ?
	-Pablo Pereyra Molina
Hay que cargarlos, yo tuve que hacerlo con el cuadro anterior. Dado que la UNO es antes de honorarios.Ya los cargue
	-Jorge Martinez</t>
      </text>
    </comment>
    <comment ref="C38" authorId="0">
      <text>
        <t xml:space="preserve">¿no se recupera Capital trabjo ni valor final?
	-Jorge Martinez</t>
      </text>
    </comment>
  </commentList>
</comments>
</file>

<file path=xl/sharedStrings.xml><?xml version="1.0" encoding="utf-8"?>
<sst xmlns="http://schemas.openxmlformats.org/spreadsheetml/2006/main">
  <si>
    <t>UDB LEGISLACIÓN Y ECONOMÍA</t>
  </si>
  <si>
    <t>    Economía</t>
  </si>
  <si>
    <t>Plan de Negocios </t>
  </si>
  <si>
    <t>----------------------------------------------------------------------------------------------------------------</t>
  </si>
  <si>
    <t>Legajo</t>
  </si>
  <si>
    <t>Apellido</t>
  </si>
  <si>
    <t>Nombres</t>
  </si>
  <si>
    <t>147.067-0</t>
  </si>
  <si>
    <t>AYZENBERG</t>
  </si>
  <si>
    <t>EZEQUIEL TOMÁS</t>
  </si>
  <si>
    <t>121.401-9</t>
  </si>
  <si>
    <t>BREY</t>
  </si>
  <si>
    <t> ROSA FERNANDA</t>
  </si>
  <si>
    <t>141.934-1</t>
  </si>
  <si>
    <t>HRYNIEWICZ</t>
  </si>
  <si>
    <t>ALAN FRANK</t>
  </si>
  <si>
    <t>103.764-0</t>
  </si>
  <si>
    <t>LACHOWICZ</t>
  </si>
  <si>
    <t>ALEJANDRO GABRIEL</t>
  </si>
  <si>
    <t>140.831-8</t>
  </si>
  <si>
    <t>MARTINEZ RODRIGUEZ</t>
  </si>
  <si>
    <t>JORGE</t>
  </si>
  <si>
    <t>140.543-3</t>
  </si>
  <si>
    <t>MILD</t>
  </si>
  <si>
    <t>JONATAN BRIAN</t>
  </si>
  <si>
    <t>140.887-2</t>
  </si>
  <si>
    <t>PEREYRA MOLINA</t>
  </si>
  <si>
    <t>PABLO JOAQUIN</t>
  </si>
  <si>
    <t>128.284-0</t>
  </si>
  <si>
    <t>ROBLES</t>
  </si>
  <si>
    <t> IGNACIO GABRIEL</t>
  </si>
  <si>
    <t>102.752-9</t>
  </si>
  <si>
    <t>PARDO</t>
  </si>
  <si>
    <t>MANUEL GUSTAVO</t>
  </si>
  <si>
    <t>Grupo N°</t>
  </si>
  <si>
    <t>Docente</t>
  </si>
  <si>
    <t>        Ing. Horacio Disciascio</t>
  </si>
  <si>
    <t>Aux Docente</t>
  </si>
  <si>
    <t>Ing.Rolando Galloni Guillén</t>
  </si>
  <si>
    <t>Curso</t>
  </si>
  <si>
    <t>Z3074</t>
  </si>
  <si>
    <t>Año</t>
  </si>
  <si>
    <t>Consideraciones Generales</t>
  </si>
  <si>
    <t>Dias por mes Fabricación</t>
  </si>
  <si>
    <t>Dias por mes Administración</t>
  </si>
  <si>
    <t>Meses por año</t>
  </si>
  <si>
    <t>Dias del año</t>
  </si>
  <si>
    <t>Horas laborables diarias FAB</t>
  </si>
  <si>
    <t>Horas laborables diarias ADM</t>
  </si>
  <si>
    <t>Tipo de Cambio: u$s 1 =</t>
  </si>
  <si>
    <t>Inflación</t>
  </si>
  <si>
    <t>IVA</t>
  </si>
  <si>
    <t>Impuesto a las Ganancias</t>
  </si>
  <si>
    <t>Cargas Sociales</t>
  </si>
  <si>
    <t>Celdas con Formulas no editables</t>
  </si>
  <si>
    <t>Celdas editables</t>
  </si>
  <si>
    <t>Mercado</t>
  </si>
  <si>
    <t>Participación</t>
  </si>
  <si>
    <t>Mix</t>
  </si>
  <si>
    <t>Mercado Meta</t>
  </si>
  <si>
    <t>Habitantes</t>
  </si>
  <si>
    <t>Mercado 
Gastronómico
Oriental</t>
  </si>
  <si>
    <t>Penetración</t>
  </si>
  <si>
    <t>Producto</t>
  </si>
  <si>
    <t>Precio al Público</t>
  </si>
  <si>
    <t>Precio Mayorista</t>
  </si>
  <si>
    <t>Vida Util</t>
  </si>
  <si>
    <t>Precio</t>
  </si>
  <si>
    <t>Pronostico</t>
  </si>
  <si>
    <t>Cantidad Vendida</t>
  </si>
  <si>
    <t>Argentina</t>
  </si>
  <si>
    <t>palillos </t>
  </si>
  <si>
    <t>Capacidad</t>
  </si>
  <si>
    <t>Instalada</t>
  </si>
  <si>
    <t>Prom</t>
  </si>
  <si>
    <t>Costo Variables Fabricación</t>
  </si>
  <si>
    <t>Mano de Obra Directa</t>
  </si>
  <si>
    <t>Materia Prima</t>
  </si>
  <si>
    <t>Puesto</t>
  </si>
  <si>
    <t>Sueldo Mesual</t>
  </si>
  <si>
    <t>Cantidad de personal</t>
  </si>
  <si>
    <t>Total</t>
  </si>
  <si>
    <t>Detalle Materia Prima</t>
  </si>
  <si>
    <t>Precio</t>
  </si>
  <si>
    <t>Oficial Multiple</t>
  </si>
  <si>
    <t>Tronco de madera</t>
  </si>
  <si>
    <t>Medio Ofical</t>
  </si>
  <si>
    <t>Operario Industrial</t>
  </si>
  <si>
    <t>Total Mensual</t>
  </si>
  <si>
    <t>Total Sueldo Fabril Anual</t>
  </si>
  <si>
    <t>Producto</t>
  </si>
  <si>
    <t>Consumo</t>
  </si>
  <si>
    <t>Precio</t>
  </si>
  <si>
    <t>Costo</t>
  </si>
  <si>
    <t>Total Aguinaldo Anual</t>
  </si>
  <si>
    <t>Total de cargas sociales del empleador</t>
  </si>
  <si>
    <t>Calculo de Viaticos y refrigerio:</t>
  </si>
  <si>
    <t>Costo Viatico y refrigerio x persona y por día</t>
  </si>
  <si>
    <t>Personas</t>
  </si>
  <si>
    <t>Operarios</t>
  </si>
  <si>
    <t>Costo unitario (MP + P)</t>
  </si>
  <si>
    <t>Dias por mes</t>
  </si>
  <si>
    <t>Días / Mes</t>
  </si>
  <si>
    <t>Producción Terminada</t>
  </si>
  <si>
    <t>Meses por año</t>
  </si>
  <si>
    <t>Meses / Año</t>
  </si>
  <si>
    <t>Costo Total Materia Prima</t>
  </si>
  <si>
    <t>Total Anual Viaticos y refrigerios</t>
  </si>
  <si>
    <t>Costo Variable Total de Fabricación</t>
  </si>
  <si>
    <t>COSTO TOTAL MANO DE OBRA DIRECTA</t>
  </si>
  <si>
    <t>Costo Variable Unitario de Fabricación</t>
  </si>
  <si>
    <t>COSTO UNITARIO MANO DE OBRA DIRECTA</t>
  </si>
  <si>
    <t>$ / Unidad</t>
  </si>
  <si>
    <t>Incidencia del costo sobre el precio de venta</t>
  </si>
  <si>
    <t>Costo Fijos Fabricación</t>
  </si>
  <si>
    <t>Mano de Obra Indirecta</t>
  </si>
  <si>
    <t>Consumo Energetico fabril</t>
  </si>
  <si>
    <t>Puesto</t>
  </si>
  <si>
    <t>Sueldo Mesual</t>
  </si>
  <si>
    <t>Cantidad de personal</t>
  </si>
  <si>
    <t>Total</t>
  </si>
  <si>
    <t>Horas laborables diarias</t>
  </si>
  <si>
    <t>Supervisor de Planta</t>
  </si>
  <si>
    <t>Cantidad de Maquinas</t>
  </si>
  <si>
    <t>KW HORA x Maquina</t>
  </si>
  <si>
    <t>Costo KW-HR</t>
  </si>
  <si>
    <t>TOTAL</t>
  </si>
  <si>
    <t>Jefe de Mantenimiento</t>
  </si>
  <si>
    <t>Experto en Maquinaria</t>
  </si>
  <si>
    <t>Ayudante Mantenimiento</t>
  </si>
  <si>
    <t>Consumo de Energia Total Anual:</t>
  </si>
  <si>
    <t>Total Mensual</t>
  </si>
  <si>
    <t>Total Sueldo Fabril Anual</t>
  </si>
  <si>
    <t>Otros Gastos de Fabricación</t>
  </si>
  <si>
    <t>Detalle</t>
  </si>
  <si>
    <t>Costo</t>
  </si>
  <si>
    <t>Total Aguinaldo Anual</t>
  </si>
  <si>
    <t>Papelería</t>
  </si>
  <si>
    <t>Limpieza</t>
  </si>
  <si>
    <t>Total de cargas sociales del empleador</t>
  </si>
  <si>
    <t>Seguridad</t>
  </si>
  <si>
    <t>Repuestos y Lubricantes</t>
  </si>
  <si>
    <t>Calculo de Viaticos y refrigerio:</t>
  </si>
  <si>
    <t>Otros Gastos de Fabricación</t>
  </si>
  <si>
    <t>Costo Viatico y refrigerio x persona y por día</t>
  </si>
  <si>
    <t>Personas</t>
  </si>
  <si>
    <t>Gastos Fabricación Fijos</t>
  </si>
  <si>
    <t>Dias por mes</t>
  </si>
  <si>
    <t>Meses por año</t>
  </si>
  <si>
    <t>Total Anual Viaticos y refrigerios</t>
  </si>
  <si>
    <t>Costo Total Mano de Obra indirecta</t>
  </si>
  <si>
    <t>Gastos Comercialización</t>
  </si>
  <si>
    <t>Gastos Comercialización Fijos</t>
  </si>
  <si>
    <t>Gastos Comercialización Variables</t>
  </si>
  <si>
    <t>Puesto</t>
  </si>
  <si>
    <t>Sueldo Mesual</t>
  </si>
  <si>
    <t>Cantidad de personal</t>
  </si>
  <si>
    <t>Total</t>
  </si>
  <si>
    <t>Local</t>
  </si>
  <si>
    <t>Vendedores</t>
  </si>
  <si>
    <t>Viajante</t>
  </si>
  <si>
    <t>Gastos Comerciales</t>
  </si>
  <si>
    <t>Total Mensual</t>
  </si>
  <si>
    <t>Año 1</t>
  </si>
  <si>
    <t>Ingresos Brutos</t>
  </si>
  <si>
    <t>Comisión Vendedor</t>
  </si>
  <si>
    <t>Variables Unitarios</t>
  </si>
  <si>
    <t>Total Sueldo Comercial Anual</t>
  </si>
  <si>
    <t>Precio al publico</t>
  </si>
  <si>
    <t>Precio x mayor</t>
  </si>
  <si>
    <t>Total Aguinaldo Anual</t>
  </si>
  <si>
    <t>Precio Promedio Ponderado (PPP)</t>
  </si>
  <si>
    <t>Total de cargas sociales del empleador</t>
  </si>
  <si>
    <t>Año 2</t>
  </si>
  <si>
    <t>Precio al publico</t>
  </si>
  <si>
    <t>Calculo de Viaticos y refrigerio:</t>
  </si>
  <si>
    <t>Precio x mayor</t>
  </si>
  <si>
    <t>Costo Viatico y refrigerio x persona y día</t>
  </si>
  <si>
    <t>Precio Promedio Ponderado (PPP)</t>
  </si>
  <si>
    <t>Días por mes</t>
  </si>
  <si>
    <t>Meses por año</t>
  </si>
  <si>
    <t>Año 3</t>
  </si>
  <si>
    <t>Total Anual Viatico y refrigerios</t>
  </si>
  <si>
    <t>Precio al publico</t>
  </si>
  <si>
    <t>Precio x mayor</t>
  </si>
  <si>
    <t>Total Sueldo comercial</t>
  </si>
  <si>
    <t>Precio Promedio Ponderado (PPP)</t>
  </si>
  <si>
    <t>Consumo energetico area comercial</t>
  </si>
  <si>
    <t>Año 4</t>
  </si>
  <si>
    <t>Horas laborables diarias</t>
  </si>
  <si>
    <t>Precio al publico</t>
  </si>
  <si>
    <t>Cantidad de locales comerciales</t>
  </si>
  <si>
    <t>KW por local</t>
  </si>
  <si>
    <t>Costo KWHR</t>
  </si>
  <si>
    <t>Total</t>
  </si>
  <si>
    <t>Precio x mayor</t>
  </si>
  <si>
    <t>Precio Promedio Ponderado (PPP)</t>
  </si>
  <si>
    <t>Consumo de Energia Total Anual:</t>
  </si>
  <si>
    <t>Año 5</t>
  </si>
  <si>
    <t>Puesto</t>
  </si>
  <si>
    <t>Sueldo Mensual</t>
  </si>
  <si>
    <t>Cantidad de personal</t>
  </si>
  <si>
    <t>Total</t>
  </si>
  <si>
    <t>Precio al publico</t>
  </si>
  <si>
    <t>Chofer de reparto</t>
  </si>
  <si>
    <t>Precio x mayor</t>
  </si>
  <si>
    <t>Total Sueldo Transporte</t>
  </si>
  <si>
    <t>Precio Promedio Ponderado (PPP)</t>
  </si>
  <si>
    <t>Total Aguinaldo Anual</t>
  </si>
  <si>
    <t>Otros Gastos Comerciales</t>
  </si>
  <si>
    <t>Total de cargas sociales del empleador</t>
  </si>
  <si>
    <t>Detalle</t>
  </si>
  <si>
    <t>Costo</t>
  </si>
  <si>
    <t>Papelería</t>
  </si>
  <si>
    <t>Calculo de Viaticos y refrigerio:</t>
  </si>
  <si>
    <t>Publicidad</t>
  </si>
  <si>
    <t>Costo Viatico y refrigerio x persona y día</t>
  </si>
  <si>
    <t>Seguridad</t>
  </si>
  <si>
    <t>Días por mes</t>
  </si>
  <si>
    <t>Mantenimiento</t>
  </si>
  <si>
    <t>Meses por año</t>
  </si>
  <si>
    <t>Otros Gastos Comerciales</t>
  </si>
  <si>
    <t>Total Anual Viatico y refrigerios</t>
  </si>
  <si>
    <t>Gasto de Combustible y Mantenimiento Annual</t>
  </si>
  <si>
    <t>Gastos Comercialización Fijos</t>
  </si>
  <si>
    <t>Total transporte</t>
  </si>
  <si>
    <t>Gastos Administrativos Fijos</t>
  </si>
  <si>
    <t>Puesto</t>
  </si>
  <si>
    <t>Sueldo Mesual</t>
  </si>
  <si>
    <t>Cantidad de personal</t>
  </si>
  <si>
    <t>Total</t>
  </si>
  <si>
    <t>administrativos para sector Compras</t>
  </si>
  <si>
    <t>administrativos para sector Tesorería</t>
  </si>
  <si>
    <t>administrativos para sector Contabilidad</t>
  </si>
  <si>
    <t>administrativos para sector de Personal</t>
  </si>
  <si>
    <t>administrativos para sector de Ventas</t>
  </si>
  <si>
    <t>administrativo para  Gerencia</t>
  </si>
  <si>
    <t>secretaria para Gerencia</t>
  </si>
  <si>
    <t>Jefe Sección</t>
  </si>
  <si>
    <t>Gerente General</t>
  </si>
  <si>
    <t>Total Mensual</t>
  </si>
  <si>
    <t>Total Sueldo Adm. Anual</t>
  </si>
  <si>
    <t>Total Aguinaldo Anual</t>
  </si>
  <si>
    <t>Total de cargas sociales del empleador</t>
  </si>
  <si>
    <t>Calculo de Viaticos y refrigerio:</t>
  </si>
  <si>
    <t>Costo Viatico y refrigerio x persona y día</t>
  </si>
  <si>
    <t>Días por mes</t>
  </si>
  <si>
    <t>Meses por año</t>
  </si>
  <si>
    <t>Total Anual Viatico y refrigerios</t>
  </si>
  <si>
    <t>Total Sueldo administrativo</t>
  </si>
  <si>
    <t>Otros gastos administrativos</t>
  </si>
  <si>
    <t>Gastos Administrativos Fijos</t>
  </si>
  <si>
    <t>Amortización Edificio</t>
  </si>
  <si>
    <t>Valor inicial</t>
  </si>
  <si>
    <t>Vida Util : 33 Años</t>
  </si>
  <si>
    <t>Valor Final</t>
  </si>
  <si>
    <t>Suma Cuotas</t>
  </si>
  <si>
    <t>Valor amortizable</t>
  </si>
  <si>
    <t>Cuota Número</t>
  </si>
  <si>
    <t>Valor Amortizable</t>
  </si>
  <si>
    <t>Amortización Creciente</t>
  </si>
  <si>
    <t>Valor Cuota</t>
  </si>
  <si>
    <t>Valor Residual por Cuota</t>
  </si>
  <si>
    <t> Valor Amortizable </t>
  </si>
  <si>
    <t>Amortización Muebles y Utiles</t>
  </si>
  <si>
    <t> Valor inicial </t>
  </si>
  <si>
    <t>Vida Util : 5 Años</t>
  </si>
  <si>
    <t>Tipo de máquina</t>
  </si>
  <si>
    <t>Valor incial</t>
  </si>
  <si>
    <t>Valor final</t>
  </si>
  <si>
    <t> Valor amortizable </t>
  </si>
  <si>
    <t>Suma Cuotas</t>
  </si>
  <si>
    <t>Escritorio gerencial</t>
  </si>
  <si>
    <t> Valor Final </t>
  </si>
  <si>
    <t>Sillones ejecutivos</t>
  </si>
  <si>
    <t>Mesa de reunión</t>
  </si>
  <si>
    <t>Cuota Número</t>
  </si>
  <si>
    <t>Valor Amortizable</t>
  </si>
  <si>
    <t>Amortización Creciente</t>
  </si>
  <si>
    <t>Valor Cuota</t>
  </si>
  <si>
    <t>Valor Residual por Cuota</t>
  </si>
  <si>
    <t>Sillas de oficina</t>
  </si>
  <si>
    <t>Puestos trabajo en ´L´</t>
  </si>
  <si>
    <t>Aire acondicionado surrey</t>
  </si>
  <si>
    <t> Valor Amortizable </t>
  </si>
  <si>
    <t>Amortización Rodados</t>
  </si>
  <si>
    <t> Valor inicial </t>
  </si>
  <si>
    <t>Vida Util : 5 Años</t>
  </si>
  <si>
    <t> Valor amortizable </t>
  </si>
  <si>
    <t>Suma Cuotas</t>
  </si>
  <si>
    <t> Valor Final </t>
  </si>
  <si>
    <t>Cuota Número</t>
  </si>
  <si>
    <t>Valor Amortizable</t>
  </si>
  <si>
    <t>Amortización Creciente</t>
  </si>
  <si>
    <t>Valor Cuota</t>
  </si>
  <si>
    <t>Valor Residual por Cuota</t>
  </si>
  <si>
    <t> Valor Amortizable </t>
  </si>
  <si>
    <t>Amortización Informática</t>
  </si>
  <si>
    <t> Valor inicial </t>
  </si>
  <si>
    <t>Vida Util : 3 Años</t>
  </si>
  <si>
    <t>Tipo de máquina</t>
  </si>
  <si>
    <t>Valor incial</t>
  </si>
  <si>
    <t>Valor final</t>
  </si>
  <si>
    <t> Valor amortizable </t>
  </si>
  <si>
    <t>Suma Cuotas</t>
  </si>
  <si>
    <t>Equipos informáticos</t>
  </si>
  <si>
    <t> Valor Final </t>
  </si>
  <si>
    <t>Cuota Número</t>
  </si>
  <si>
    <t>Valor Amortizable</t>
  </si>
  <si>
    <t>Amortización Creciente</t>
  </si>
  <si>
    <t>Valor Cuota</t>
  </si>
  <si>
    <t>Valor Residual por Cuota</t>
  </si>
  <si>
    <t> Valor Amortizable </t>
  </si>
  <si>
    <t>Amortización Máquinas</t>
  </si>
  <si>
    <t>Tipo de máquina</t>
  </si>
  <si>
    <t>Valor incial</t>
  </si>
  <si>
    <t>Valor Final</t>
  </si>
  <si>
    <t> Valor inicial </t>
  </si>
  <si>
    <t>Vida Util : 5 Años</t>
  </si>
  <si>
    <t>SW-656</t>
  </si>
  <si>
    <t> Valor amortizable </t>
  </si>
  <si>
    <t>Suma Cuotas</t>
  </si>
  <si>
    <t>SW-105</t>
  </si>
  <si>
    <t> Valor final </t>
  </si>
  <si>
    <t>SW-218</t>
  </si>
  <si>
    <t>SW-107</t>
  </si>
  <si>
    <t>Cuota Número</t>
  </si>
  <si>
    <t>Valor Amortizable</t>
  </si>
  <si>
    <t>Amortización Creciente</t>
  </si>
  <si>
    <t>Valor Cuota</t>
  </si>
  <si>
    <t>Valor Residual por Cuota</t>
  </si>
  <si>
    <t>SW-106</t>
  </si>
  <si>
    <t>SW-109</t>
  </si>
  <si>
    <t>SW-112</t>
  </si>
  <si>
    <t>Montacarga</t>
  </si>
  <si>
    <t>Cinta de transporte</t>
  </si>
  <si>
    <t>Pañol de herramientas</t>
  </si>
  <si>
    <t> Valor Amortizable </t>
  </si>
  <si>
    <t>Activo no Corriente</t>
  </si>
  <si>
    <t>Valores Inciales</t>
  </si>
  <si>
    <t>Año 0</t>
  </si>
  <si>
    <t>Año 1</t>
  </si>
  <si>
    <t>Año 2</t>
  </si>
  <si>
    <t>Año 3</t>
  </si>
  <si>
    <t>Año 4</t>
  </si>
  <si>
    <t>Año 5</t>
  </si>
  <si>
    <t>Edificio</t>
  </si>
  <si>
    <t>Muebles y utiles</t>
  </si>
  <si>
    <t>Rodados</t>
  </si>
  <si>
    <t>Informática</t>
  </si>
  <si>
    <t>Máquinas</t>
  </si>
  <si>
    <t> Inversión Activo Fijo </t>
  </si>
  <si>
    <t> IVA Crédito Fiscal </t>
  </si>
  <si>
    <t>Cuotas</t>
  </si>
  <si>
    <t>Año 0</t>
  </si>
  <si>
    <t>Año 1</t>
  </si>
  <si>
    <t>Año 2</t>
  </si>
  <si>
    <t>Año 3</t>
  </si>
  <si>
    <t>Año 4</t>
  </si>
  <si>
    <t>Año 5</t>
  </si>
  <si>
    <t>Edificio</t>
  </si>
  <si>
    <t>Muebles y utiles</t>
  </si>
  <si>
    <t>Rodados</t>
  </si>
  <si>
    <t>Informática</t>
  </si>
  <si>
    <t>Máquinas</t>
  </si>
  <si>
    <t> AMORTIZACIÓN </t>
  </si>
  <si>
    <t>Fuentes y Usos</t>
  </si>
  <si>
    <t>USOS</t>
  </si>
  <si>
    <t>Importe</t>
  </si>
  <si>
    <t>FUENTES</t>
  </si>
  <si>
    <t>Importe</t>
  </si>
  <si>
    <t>Indice Endeudamiento</t>
  </si>
  <si>
    <t>Caja y Bancos</t>
  </si>
  <si>
    <t>Préstamo</t>
  </si>
  <si>
    <t>Crédito Fiscal</t>
  </si>
  <si>
    <t>Capital Social</t>
  </si>
  <si>
    <t>Activo no Corriente</t>
  </si>
  <si>
    <t>Total</t>
  </si>
  <si>
    <t>Tasa de interés</t>
  </si>
  <si>
    <t>Ponderación</t>
  </si>
  <si>
    <t>Tasa de impuesto a las ganancias</t>
  </si>
  <si>
    <t>Ponderación ajustada</t>
  </si>
  <si>
    <t>Tasa de dividendos</t>
  </si>
  <si>
    <t>WACC =</t>
  </si>
  <si>
    <t>Tasa Nominal Anual</t>
  </si>
  <si>
    <t>Meses = </t>
  </si>
  <si>
    <t>Tasa Efectiva Anual</t>
  </si>
  <si>
    <t>Punto de Equilibrio Económico</t>
  </si>
  <si>
    <t>Cf</t>
  </si>
  <si>
    <t>Pu</t>
  </si>
  <si>
    <t>Cvu TOTAL=</t>
  </si>
  <si>
    <t>$/u</t>
  </si>
  <si>
    <t>Cvu fab.</t>
  </si>
  <si>
    <t>GCVu</t>
  </si>
  <si>
    <t>Qo=</t>
  </si>
  <si>
    <t>UNIDADES</t>
  </si>
  <si>
    <t>Io=</t>
  </si>
  <si>
    <t>PESOS</t>
  </si>
  <si>
    <t>Q</t>
  </si>
  <si>
    <t>Ingreso Total</t>
  </si>
  <si>
    <t>Costo Fijo</t>
  </si>
  <si>
    <t>Costo Variable</t>
  </si>
  <si>
    <t>Costo Total</t>
  </si>
  <si>
    <t>Beneficio Total</t>
  </si>
  <si>
    <t>Qo=</t>
  </si>
  <si>
    <t>Qmáx.=</t>
  </si>
  <si>
    <t>Qo/Qmáx.=</t>
  </si>
  <si>
    <t>AÑO</t>
  </si>
  <si>
    <t>MESES</t>
  </si>
  <si>
    <t>DÍAS</t>
  </si>
  <si>
    <t>Punto de Equilibrio Financiero</t>
  </si>
  <si>
    <t>Cf Erogable</t>
  </si>
  <si>
    <t>Pu=</t>
  </si>
  <si>
    <t>Cvu TOTAL=</t>
  </si>
  <si>
    <t>$/u</t>
  </si>
  <si>
    <t>Cvu fab.</t>
  </si>
  <si>
    <t>GCVu</t>
  </si>
  <si>
    <t>Qof=</t>
  </si>
  <si>
    <t>UNIDADES</t>
  </si>
  <si>
    <t>Io=</t>
  </si>
  <si>
    <t>PESOS</t>
  </si>
  <si>
    <t>Q</t>
  </si>
  <si>
    <t>Ingreso Total</t>
  </si>
  <si>
    <t>Costo Fijo</t>
  </si>
  <si>
    <t>Costo Variable</t>
  </si>
  <si>
    <t>Costo Total</t>
  </si>
  <si>
    <t>Beneficio Total</t>
  </si>
  <si>
    <t>Qof=</t>
  </si>
  <si>
    <t>Qmáx.=</t>
  </si>
  <si>
    <t>Qof/Qmáx.=</t>
  </si>
  <si>
    <t>AÑO</t>
  </si>
  <si>
    <t>MESES</t>
  </si>
  <si>
    <t>DÍAS</t>
  </si>
  <si>
    <t>Estado de Resultados Proyectados y Balance Proforma</t>
  </si>
  <si>
    <t>Estado de Resultados Proyectados</t>
  </si>
  <si>
    <t>Unidades</t>
  </si>
  <si>
    <t>$ unitario</t>
  </si>
  <si>
    <t>Total Año 1</t>
  </si>
  <si>
    <t>Unidades</t>
  </si>
  <si>
    <t>$ unitario</t>
  </si>
  <si>
    <t>Total Año 2</t>
  </si>
  <si>
    <t>Unidades</t>
  </si>
  <si>
    <t>$ unitario</t>
  </si>
  <si>
    <t>Total Año 3</t>
  </si>
  <si>
    <t>Unidades</t>
  </si>
  <si>
    <t>$ unitario</t>
  </si>
  <si>
    <t>Total Año 4</t>
  </si>
  <si>
    <t>Unidades</t>
  </si>
  <si>
    <t>$ unitario</t>
  </si>
  <si>
    <t>Total Año 5</t>
  </si>
  <si>
    <t>Ingresos por ventas</t>
  </si>
  <si>
    <t>Costo de ventas</t>
  </si>
  <si>
    <t>Costos variables comercialización</t>
  </si>
  <si>
    <t>Contribución Marginal</t>
  </si>
  <si>
    <t>Gastos de fabricación (fijos)</t>
  </si>
  <si>
    <t>Gastos de comercialización (fijos)</t>
  </si>
  <si>
    <t>Gastos administrativos (fijos)</t>
  </si>
  <si>
    <t>Utilidades antes de amortizaciones, honorarios intereses e impuesto a las ganancias (EBITDA)</t>
  </si>
  <si>
    <t>Cuota de amortización</t>
  </si>
  <si>
    <t>Utilidad antes de honorarios, intereses e impuesto a las ganancias</t>
  </si>
  <si>
    <t>Honorarios</t>
  </si>
  <si>
    <t>Utilidad antes de intereses (BAII o EBIT)</t>
  </si>
  <si>
    <t>Intereses perdidos</t>
  </si>
  <si>
    <t>Intereses ganados</t>
  </si>
  <si>
    <t>Resultado antes de impuestos (BAI)</t>
  </si>
  <si>
    <t>Impuesto a las ganancias</t>
  </si>
  <si>
    <t>Resultado operativo (BN)</t>
  </si>
  <si>
    <t>Balance General Pro Forma</t>
  </si>
  <si>
    <t>Año 0</t>
  </si>
  <si>
    <t>Año 1</t>
  </si>
  <si>
    <t>Año 2</t>
  </si>
  <si>
    <t>Año 3</t>
  </si>
  <si>
    <t>Año 4</t>
  </si>
  <si>
    <t>Año 5</t>
  </si>
  <si>
    <t>Cajas y bancos</t>
  </si>
  <si>
    <t>días de ventas</t>
  </si>
  <si>
    <t>Inversiones financieras</t>
  </si>
  <si>
    <t>Cuentas por cobrar</t>
  </si>
  <si>
    <t>días de ventas</t>
  </si>
  <si>
    <t>Crédito Fiscal IVA</t>
  </si>
  <si>
    <t>Inventarios</t>
  </si>
  <si>
    <t>días de ventas</t>
  </si>
  <si>
    <t>Activo corriente</t>
  </si>
  <si>
    <t>Bienes de uso</t>
  </si>
  <si>
    <t>Activo No Corriente</t>
  </si>
  <si>
    <t>Total Activo</t>
  </si>
  <si>
    <t>Cuentas por pagar</t>
  </si>
  <si>
    <t> días de ventas </t>
  </si>
  <si>
    <t>Impuestos por pagar</t>
  </si>
  <si>
    <t> Pasivo Corriente </t>
  </si>
  <si>
    <t>Prestamos Bancarios</t>
  </si>
  <si>
    <t> Pasivo No Corriente </t>
  </si>
  <si>
    <t>Total Pasivo</t>
  </si>
  <si>
    <t>Capital</t>
  </si>
  <si>
    <t>Resultados no asignados</t>
  </si>
  <si>
    <t>Resultados de ejercicio</t>
  </si>
  <si>
    <t> Total Patrimonio Neto </t>
  </si>
  <si>
    <t>Pasivo + Patrimonio Neto</t>
  </si>
  <si>
    <t>Prueba Cero</t>
  </si>
  <si>
    <t>Tasa de dividendos</t>
  </si>
  <si>
    <t>Dividendos</t>
  </si>
  <si>
    <t>Dividendos</t>
  </si>
  <si>
    <t>Dividendos</t>
  </si>
  <si>
    <t>Dividendos</t>
  </si>
  <si>
    <t>Dividendos</t>
  </si>
  <si>
    <t>Tasa de interés</t>
  </si>
  <si>
    <t>Prestamo</t>
  </si>
  <si>
    <t>Devolución</t>
  </si>
  <si>
    <t>Capital residual</t>
  </si>
  <si>
    <t>Intereses perdidos</t>
  </si>
  <si>
    <t>Variaciones del flujo de caja (cash flow)</t>
  </si>
  <si>
    <t> Variaciones activo no corriente </t>
  </si>
  <si>
    <t> Variaciones Pasivo no corriente </t>
  </si>
  <si>
    <t> Variaciones Pasivo corriente </t>
  </si>
  <si>
    <t> Variaciones Patrimonio Neto </t>
  </si>
  <si>
    <t>Variaciones Activo corriente</t>
  </si>
  <si>
    <t> Variaciones Créditos </t>
  </si>
  <si>
    <t> Variaciones stocks </t>
  </si>
  <si>
    <t> Variaciones IVA crédito fiscal </t>
  </si>
  <si>
    <t> Inversiones financieras </t>
  </si>
  <si>
    <t>Variaciones Caja y Bancos</t>
  </si>
  <si>
    <t>Patrimonio Neto Promedio (PNi+PNf)/2</t>
  </si>
  <si>
    <t>Activo Promedio (Ai + Af)/2</t>
  </si>
  <si>
    <t>APALANCAMIENTO (Activo promedio / Patrimonio Neto Promedio)</t>
  </si>
  <si>
    <t>ROTACIÓN DEL ACTIVO (Ventas / Activo Promedio)</t>
  </si>
  <si>
    <t>Margen sobre ventas (BN/VENTAS)</t>
  </si>
  <si>
    <t>ROE</t>
  </si>
  <si>
    <t>Rotación del Patrimonio Neto Promedio</t>
  </si>
  <si>
    <t>veces/año</t>
  </si>
  <si>
    <t>veces/año</t>
  </si>
  <si>
    <t>veces/año</t>
  </si>
  <si>
    <t>veces/año</t>
  </si>
  <si>
    <t>veces/año</t>
  </si>
  <si>
    <t>ROE</t>
  </si>
  <si>
    <t>Beneficio Neto + Intereses*(1-T)</t>
  </si>
  <si>
    <t>ROA</t>
  </si>
  <si>
    <t>EFECTO PALANCA</t>
  </si>
  <si>
    <t>Rotación del activo corriente</t>
  </si>
  <si>
    <t>veces/año</t>
  </si>
  <si>
    <t>veces/año</t>
  </si>
  <si>
    <t>veces/año</t>
  </si>
  <si>
    <t>veces/año</t>
  </si>
  <si>
    <t>veces/año</t>
  </si>
  <si>
    <t>Rotación de créditos al cliente</t>
  </si>
  <si>
    <t>veces/año</t>
  </si>
  <si>
    <t>veces/año</t>
  </si>
  <si>
    <t>veces/año</t>
  </si>
  <si>
    <t>veces/año</t>
  </si>
  <si>
    <t>veces/año</t>
  </si>
  <si>
    <t>Rotación de existencias</t>
  </si>
  <si>
    <t>veces/año</t>
  </si>
  <si>
    <t>veces/año</t>
  </si>
  <si>
    <t>veces/año</t>
  </si>
  <si>
    <t>veces/año</t>
  </si>
  <si>
    <t>veces/año</t>
  </si>
  <si>
    <t>Flujo de Caja</t>
  </si>
  <si>
    <t>TIR Pura</t>
  </si>
  <si>
    <t>Año</t>
  </si>
  <si>
    <t>Inversion en Activo Fijo</t>
  </si>
  <si>
    <t>Inversion en activo de trabajo</t>
  </si>
  <si>
    <t>Credito Fiscal</t>
  </si>
  <si>
    <t>Impuesto a las ganancias</t>
  </si>
  <si>
    <t>Honorarios</t>
  </si>
  <si>
    <t>Total de Egresos</t>
  </si>
  <si>
    <t>Utilidades antes de I&amp;H&amp;I</t>
  </si>
  <si>
    <t>Amortizacion del Capital Fijo</t>
  </si>
  <si>
    <t>Recuperacion de Credito Fiscal</t>
  </si>
  <si>
    <t>Total de Ingresos</t>
  </si>
  <si>
    <t>Ingesos menos Egresos</t>
  </si>
  <si>
    <t>Ingresos menos Egresos Acumulados</t>
  </si>
  <si>
    <t>Aux</t>
  </si>
  <si>
    <t>Total</t>
  </si>
  <si>
    <t>Impuesto a las ganancias</t>
  </si>
  <si>
    <t>Beneficio del Proyecto</t>
  </si>
  <si>
    <t>PRP</t>
  </si>
  <si>
    <t>Años</t>
  </si>
  <si>
    <t>Meses</t>
  </si>
  <si>
    <t>TIR</t>
  </si>
  <si>
    <t>VAN (0%)</t>
  </si>
  <si>
    <t>Tasa VAN</t>
  </si>
  <si>
    <t>TIR Modificada</t>
  </si>
  <si>
    <t>Año</t>
  </si>
  <si>
    <t>Inversion en Activo Fijo</t>
  </si>
  <si>
    <t>Inversion en activo de trabajo</t>
  </si>
  <si>
    <t>Credito Fiscal</t>
  </si>
  <si>
    <t>Impuesto a las ganancias</t>
  </si>
  <si>
    <t>Honorarios</t>
  </si>
  <si>
    <t>Total de Egresos</t>
  </si>
  <si>
    <t>Utilidades antes de I&amp;H&amp;I</t>
  </si>
  <si>
    <t>Amortizacion del Capital Fijo</t>
  </si>
  <si>
    <t>Recuperacion de Credito Fiscal</t>
  </si>
  <si>
    <t>Total de Ingresos</t>
  </si>
  <si>
    <t>Intereses Ganados</t>
  </si>
  <si>
    <t>Intereses Pérdidos</t>
  </si>
  <si>
    <t>Intereses</t>
  </si>
  <si>
    <t>Ingesos menos Egresos</t>
  </si>
  <si>
    <t>Ingresos menos Egresos Acumulados</t>
  </si>
  <si>
    <t>Aux</t>
  </si>
  <si>
    <t>Total</t>
  </si>
  <si>
    <t> Impuesto a las ganancias </t>
  </si>
  <si>
    <t> Intereses </t>
  </si>
  <si>
    <t> Beneficio del proyecto </t>
  </si>
  <si>
    <t>PRP</t>
  </si>
  <si>
    <t>Años</t>
  </si>
  <si>
    <t>Meses</t>
  </si>
  <si>
    <t>TIR modificada</t>
  </si>
  <si>
    <t>VAN (0%)</t>
  </si>
  <si>
    <t>Tasa VAN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</si>
</sst>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5">
    <numFmt numFmtId="164" formatCode="[$-2C0A]General"/>
    <numFmt numFmtId="165" formatCode="#,##0&quot; &quot;;&quot;-&quot;#,##0&quot; &quot;"/>
    <numFmt numFmtId="166" formatCode="_ &quot;$&quot;\ * #,##0.00_ ;_ &quot;$&quot;\ * \-#,##0.00_ ;_ &quot;$&quot;\ * &quot;-&quot;??_ ;_ @_ "/>
    <numFmt numFmtId="167" formatCode="_ * #,##0_ ;_ * \-#,##0_ ;_ * &quot;-&quot;??_ ;_ @_ "/>
    <numFmt numFmtId="168" formatCode="#,###"/>
    <numFmt numFmtId="169" formatCode="\ \$\ #,##0.00\ ;\ \$\ \-#,##0.00\ ;\ \$\ \-#\ "/>
    <numFmt numFmtId="170" formatCode="0.0000"/>
    <numFmt numFmtId="171" formatCode="#,##0\ ;\-#,##0\ "/>
    <numFmt numFmtId="172" formatCode="_ * #,##0.00_ ;_ * \-#,##0.00_ ;_ * &quot;-&quot;??_ ;_ @_ "/>
    <numFmt numFmtId="173" formatCode="&quot;$&quot;#,##0.00;[Red]\(&quot;$&quot;#,##0.00\)"/>
    <numFmt numFmtId="174" formatCode="[$$]#,##0.00"/>
    <numFmt numFmtId="175" formatCode="\$\ #,##0.00;[Red]\$\ \-#,##0.00"/>
    <numFmt numFmtId="176" formatCode="#,##0\ ;[Red]\-#,##0\ "/>
    <numFmt numFmtId="177" formatCode="#,##0.00\ [$€-1]"/>
    <numFmt numFmtId="178" formatCode="#,##0.0000000000\ ;[Red]\-#,##0.0000000000\ "/>
  </numFmts>
  <fonts count="30">
    <font>
      <sz val="10.0"/>
      <name val="Arial"/>
    </font>
    <font>
      <b/>
      <i/>
      <sz val="10.0"/>
      <name val="Calibri"/>
    </font>
    <font>
      <b/>
      <i/>
      <sz val="11.0"/>
      <name val="Calibri"/>
    </font>
    <font>
      <b/>
      <i/>
      <sz val="25.0"/>
      <name val="Calibri"/>
    </font>
    <font>
      <b/>
      <i/>
      <sz val="26.0"/>
      <name val="Calibri"/>
    </font>
    <font>
      <b/>
      <i/>
      <sz val="19.0"/>
      <color rgb="FFFFFFFF"/>
      <name val="Calibri"/>
    </font>
    <font>
      <b/>
      <i/>
      <u/>
      <sz val="17.0"/>
      <name val="Calibri"/>
    </font>
    <font>
      <b/>
      <i/>
      <sz val="17.0"/>
      <name val="Calibri"/>
    </font>
    <font>
      <sz val="10.0"/>
      <name val="Calibri"/>
    </font>
    <font>
      <b/>
      <i/>
      <u/>
      <sz val="14.0"/>
      <name val="Calibri"/>
    </font>
    <font>
      <sz val="10.0"/>
      <color rgb="FF000000"/>
      <name val="Calibri"/>
    </font>
    <font>
      <b/>
      <i/>
      <u/>
      <sz val="14.0"/>
      <color rgb="FF000000"/>
      <name val="Calibri"/>
    </font>
    <font>
      <b/>
      <sz val="11.0"/>
      <color rgb="FF000000"/>
      <name val="Calibri"/>
    </font>
    <font>
      <sz val="12.0"/>
      <color rgb="FF000000"/>
      <name val="Calibri"/>
    </font>
    <font>
      <b/>
      <sz val="10.0"/>
      <color rgb="FF000000"/>
      <name val="Calibri"/>
    </font>
    <font>
      <sz val="10.0"/>
      <color rgb="FFFF0000"/>
    </font>
    <font>
      <b/>
      <sz val="10.0"/>
      <color rgb="FFFF0000"/>
      <name val="Calibri"/>
    </font>
    <font>
      <b/>
      <sz val="10.0"/>
      <name val="Calibri"/>
    </font>
    <font>
      <i/>
      <sz val="10.0"/>
      <color rgb="FF000000"/>
      <name val="Calibri"/>
    </font>
    <font>
      <sz val="9.0"/>
      <color rgb="FF000000"/>
      <name val="Calibri"/>
    </font>
    <font>
      <u/>
      <sz val="10.0"/>
      <color rgb="FF000000"/>
      <name val="Calibri"/>
    </font>
    <font>
      <b/>
      <u/>
      <sz val="12.0"/>
      <color rgb="FF000000"/>
      <name val="Calibri"/>
    </font>
    <font>
      <b/>
      <u/>
      <sz val="10.0"/>
      <color rgb="FF000000"/>
      <name val="Calibri"/>
    </font>
    <font>
      <sz val="11.0"/>
      <color rgb="FF000000"/>
      <name val="Calibri"/>
    </font>
    <font>
      <sz val="10.0"/>
    </font>
    <font/>
    <font>
      <b/>
      <u/>
      <sz val="14.0"/>
      <color rgb="FF000000"/>
      <name val="Calibri"/>
    </font>
    <font>
      <b/>
      <u/>
      <sz val="11.0"/>
      <color rgb="FF000000"/>
      <name val="Calibri"/>
    </font>
    <font>
      <b/>
      <strike/>
      <sz val="10.0"/>
      <color rgb="FF000000"/>
      <name val="Calibri"/>
    </font>
    <font>
      <sz val="10.0"/>
      <color rgb="FFFF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DDD9C3"/>
        <bgColor rgb="FFDDD9C3"/>
      </patternFill>
    </fill>
    <fill>
      <patternFill patternType="solid">
        <fgColor rgb="FFFABF8F"/>
        <bgColor rgb="FFFABF8F"/>
      </patternFill>
    </fill>
    <fill>
      <patternFill patternType="solid">
        <fgColor rgb="FFBFBFBF"/>
        <bgColor rgb="FFBFBFBF"/>
      </patternFill>
    </fill>
    <fill>
      <patternFill patternType="solid">
        <fgColor rgb="FFE5B8B7"/>
        <bgColor rgb="FFE5B8B7"/>
      </patternFill>
    </fill>
    <fill>
      <patternFill patternType="solid">
        <fgColor rgb="FFB2A1C7"/>
        <bgColor rgb="FFB2A1C7"/>
      </patternFill>
    </fill>
    <fill>
      <patternFill patternType="solid">
        <fgColor rgb="FFFFFFFF"/>
        <bgColor rgb="FFFFFFFF"/>
      </patternFill>
    </fill>
    <fill>
      <patternFill patternType="solid">
        <fgColor rgb="FFFBD4B4"/>
        <bgColor rgb="FFFBD4B4"/>
      </patternFill>
    </fill>
    <fill>
      <patternFill patternType="solid">
        <fgColor rgb="FFCCC0D9"/>
        <bgColor rgb="FFCCC0D9"/>
      </patternFill>
    </fill>
    <fill>
      <patternFill patternType="solid">
        <fgColor rgb="FFC4BD97"/>
        <bgColor rgb="FFC4BD97"/>
      </patternFill>
    </fill>
  </fills>
  <borders count="20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411">
    <xf fillId="0" numFmtId="0" borderId="0" fontId="0"/>
    <xf fillId="0" xfId="0" numFmtId="0" borderId="1" applyFont="1" fontId="1"/>
    <xf applyBorder="1" fillId="0" xfId="0" numFmtId="0" borderId="2" applyFont="1" fontId="1"/>
    <xf applyBorder="1" fillId="0" xfId="0" numFmtId="0" borderId="3" applyFont="1" fontId="1"/>
    <xf applyBorder="1" fillId="0" xfId="0" numFmtId="0" borderId="4" applyFont="1" fontId="1"/>
    <xf applyBorder="1" fillId="0" xfId="0" numFmtId="0" borderId="5" applyFont="1" fontId="1"/>
    <xf applyBorder="1" fillId="0" xfId="0" numFmtId="0" borderId="6" applyFont="1" fontId="1"/>
    <xf applyAlignment="1" fillId="0" xfId="0" numFmtId="0" borderId="1" applyFont="1" fontId="2">
      <alignment vertical="center"/>
    </xf>
    <xf applyAlignment="1" fillId="0" xfId="0" numFmtId="0" borderId="1" applyFont="1" fontId="3">
      <alignment vertical="center" horizontal="center"/>
    </xf>
    <xf applyAlignment="1" fillId="0" xfId="0" numFmtId="0" borderId="1" applyFont="1" fontId="4">
      <alignment vertical="center" horizontal="center"/>
    </xf>
    <xf applyAlignment="1" fillId="0" xfId="0" numFmtId="0" borderId="1" applyFont="1" fontId="5">
      <alignment vertical="center" horizontal="left"/>
    </xf>
    <xf applyAlignment="1" fillId="0" xfId="0" numFmtId="0" borderId="1" applyFont="1" fontId="6">
      <alignment vertical="center"/>
    </xf>
    <xf applyBorder="1" applyAlignment="1" fillId="0" xfId="0" numFmtId="0" borderId="5" applyFont="1" fontId="7">
      <alignment vertical="center" horizontal="center" wrapText="1"/>
    </xf>
    <xf applyAlignment="1" fillId="0" xfId="0" numFmtId="0" borderId="1" applyFont="1" fontId="7">
      <alignment vertical="center" horizontal="center" wrapText="1"/>
    </xf>
    <xf applyBorder="1" fillId="0" xfId="0" numFmtId="0" borderId="7" applyFont="1" fontId="1"/>
    <xf applyBorder="1" applyAlignment="1" fillId="0" xfId="0" numFmtId="0" borderId="7" applyFont="1" fontId="1">
      <alignment/>
    </xf>
    <xf applyBorder="1" applyAlignment="1" fillId="0" xfId="0" numFmtId="0" borderId="8" applyFont="1" fontId="1">
      <alignment/>
    </xf>
    <xf applyBorder="1" applyAlignment="1" fillId="0" xfId="0" numFmtId="0" borderId="9" applyFont="1" fontId="1">
      <alignment/>
    </xf>
    <xf applyBorder="1" applyAlignment="1" fillId="0" xfId="0" numFmtId="0" borderId="7" applyFont="1" fontId="7">
      <alignment vertical="center"/>
    </xf>
    <xf applyBorder="1" applyAlignment="1" fillId="0" xfId="0" numFmtId="0" borderId="7" applyFont="1" fontId="1">
      <alignment horizontal="center"/>
    </xf>
    <xf applyBorder="1" applyAlignment="1" fillId="0" xfId="0" numFmtId="0" borderId="8" applyFont="1" fontId="7">
      <alignment vertical="center"/>
    </xf>
    <xf applyBorder="1" applyAlignment="1" fillId="0" xfId="0" numFmtId="0" borderId="8" applyFont="1" fontId="1">
      <alignment horizontal="center"/>
    </xf>
    <xf applyBorder="1" applyAlignment="1" fillId="0" xfId="0" numFmtId="0" borderId="9" applyFont="1" fontId="1">
      <alignment horizontal="center"/>
    </xf>
    <xf applyBorder="1" applyAlignment="1" fillId="0" xfId="0" numFmtId="0" borderId="9" applyFont="1" fontId="7">
      <alignment vertical="center"/>
    </xf>
    <xf applyBorder="1" fillId="0" xfId="0" numFmtId="0" borderId="10" applyFont="1" fontId="1"/>
    <xf applyBorder="1" fillId="0" xfId="0" numFmtId="0" borderId="11" applyFont="1" fontId="1"/>
    <xf applyBorder="1" fillId="0" xfId="0" numFmtId="0" borderId="12" applyFont="1" fontId="1"/>
    <xf applyBorder="1" fillId="2" xfId="0" numFmtId="0" borderId="1" applyFont="1" fontId="8" applyFill="1"/>
    <xf fillId="0" xfId="0" numFmtId="0" borderId="1" applyFont="1" fontId="8"/>
    <xf fillId="0" xfId="0" numFmtId="0" borderId="1" applyFont="1" fontId="9"/>
    <xf applyBorder="1" fillId="3" xfId="0" numFmtId="164" borderId="13" applyFont="1" fontId="10" applyNumberFormat="1" applyFill="1"/>
    <xf applyBorder="1" applyAlignment="1" fillId="0" xfId="0" numFmtId="165" borderId="14" applyFont="1" fontId="10" applyNumberFormat="1">
      <alignment/>
    </xf>
    <xf applyBorder="1" fillId="3" xfId="0" numFmtId="165" borderId="14" applyFont="1" fontId="10" applyNumberFormat="1"/>
    <xf applyBorder="1" fillId="3" xfId="0" numFmtId="0" borderId="14" applyFont="1" fontId="8"/>
    <xf applyBorder="1" fillId="3" xfId="0" numFmtId="0" borderId="14" applyFont="1" fontId="10"/>
    <xf applyBorder="1" applyAlignment="1" fillId="0" xfId="0" numFmtId="166" borderId="14" applyFont="1" fontId="10" applyNumberFormat="1">
      <alignment/>
    </xf>
    <xf applyBorder="1" applyAlignment="1" fillId="0" xfId="0" numFmtId="9" borderId="14" applyFont="1" fontId="10" applyNumberFormat="1">
      <alignment/>
    </xf>
    <xf applyBorder="1" fillId="3" xfId="0" numFmtId="9" borderId="14" applyFont="1" fontId="10" applyNumberFormat="1"/>
    <xf applyBorder="1" applyAlignment="1" fillId="3" xfId="0" numFmtId="9" borderId="14" applyFont="1" fontId="10" applyNumberFormat="1">
      <alignment/>
    </xf>
    <xf fillId="0" xfId="0" numFmtId="0" borderId="1" applyFont="1" fontId="10"/>
    <xf fillId="0" xfId="0" numFmtId="167" borderId="1" applyFont="1" fontId="10" applyNumberFormat="1"/>
    <xf applyBorder="1" fillId="0" xfId="0" numFmtId="0" borderId="14" applyFont="1" fontId="10"/>
    <xf applyBorder="1" applyAlignment="1" fillId="3" xfId="0" numFmtId="0" borderId="14" applyFont="1" fontId="8">
      <alignment vertical="center" horizontal="left" wrapText="1"/>
    </xf>
    <xf applyBorder="1" applyAlignment="1" fillId="4" xfId="0" numFmtId="0" borderId="14" applyFont="1" fontId="8" applyFill="1">
      <alignment vertical="center" horizontal="center" wrapText="1"/>
    </xf>
    <xf applyBorder="1" applyAlignment="1" fillId="0" xfId="0" numFmtId="10" borderId="14" applyFont="1" fontId="8" applyNumberFormat="1">
      <alignment/>
    </xf>
    <xf applyBorder="1" applyAlignment="1" fillId="0" xfId="0" numFmtId="9" borderId="15" applyFont="1" fontId="8" applyNumberFormat="1">
      <alignment/>
    </xf>
    <xf applyBorder="1" fillId="0" xfId="0" numFmtId="0" borderId="10" applyFont="1" fontId="8"/>
    <xf applyBorder="1" fillId="0" xfId="0" numFmtId="0" borderId="11" applyFont="1" fontId="8"/>
    <xf applyBorder="1" applyAlignment="1" fillId="2" xfId="0" numFmtId="0" borderId="1" applyFont="1" fontId="8">
      <alignment wrapText="1"/>
    </xf>
    <xf applyAlignment="1" fillId="0" xfId="0" numFmtId="0" borderId="1" applyFont="1" fontId="8">
      <alignment wrapText="1"/>
    </xf>
    <xf applyBorder="1" applyAlignment="1" fillId="0" xfId="0" numFmtId="0" borderId="14" applyFont="1" fontId="8">
      <alignment vertical="center" horizontal="center" wrapText="1"/>
    </xf>
    <xf applyBorder="1" applyAlignment="1" fillId="4" xfId="0" numFmtId="0" borderId="14" applyFont="1" fontId="8">
      <alignment vertical="center" horizontal="center" wrapText="1"/>
    </xf>
    <xf applyBorder="1" applyAlignment="1" fillId="4" xfId="0" numFmtId="0" borderId="13" applyFont="1" fontId="8">
      <alignment vertical="center" horizontal="center" wrapText="1"/>
    </xf>
    <xf applyBorder="1" applyAlignment="1" fillId="0" xfId="0" numFmtId="0" borderId="14" applyFont="1" fontId="8">
      <alignment horizontal="center"/>
    </xf>
    <xf applyBorder="1" applyAlignment="1" fillId="0" xfId="0" numFmtId="3" borderId="14" applyFont="1" fontId="8" applyNumberFormat="1">
      <alignment/>
    </xf>
    <xf applyBorder="1" fillId="3" xfId="0" numFmtId="3" borderId="13" applyFont="1" fontId="8" applyNumberFormat="1"/>
    <xf applyBorder="1" fillId="3" xfId="0" numFmtId="3" borderId="14" applyFont="1" fontId="8" applyNumberFormat="1"/>
    <xf applyBorder="1" applyAlignment="1" fillId="0" xfId="0" numFmtId="0" borderId="12" applyFont="1" fontId="8">
      <alignment horizontal="center"/>
    </xf>
    <xf applyBorder="1" applyAlignment="1" fillId="0" xfId="0" numFmtId="166" borderId="14" applyFont="1" fontId="8" applyNumberFormat="1">
      <alignment/>
    </xf>
    <xf applyBorder="1" applyAlignment="1" fillId="3" xfId="0" numFmtId="0" borderId="14" applyFont="1" fontId="8">
      <alignment vertical="center" horizontal="center" wrapText="1"/>
    </xf>
    <xf applyBorder="1" fillId="3" xfId="0" numFmtId="166" borderId="14" applyFont="1" fontId="8" applyNumberFormat="1"/>
    <xf applyBorder="1" fillId="3" xfId="0" numFmtId="10" borderId="13" applyFont="1" fontId="8" applyNumberFormat="1"/>
    <xf applyBorder="1" fillId="3" xfId="0" numFmtId="167" borderId="14" applyFont="1" fontId="8" applyNumberFormat="1"/>
    <xf applyBorder="1" applyAlignment="1" fillId="3" xfId="0" numFmtId="0" borderId="16" applyFont="1" fontId="8">
      <alignment horizontal="center"/>
    </xf>
    <xf applyBorder="1" fillId="3" xfId="0" numFmtId="166" borderId="14" applyFont="1" fontId="10" applyNumberFormat="1"/>
    <xf applyBorder="1" fillId="3" xfId="0" numFmtId="10" borderId="14" applyFont="1" fontId="8" applyNumberFormat="1"/>
    <xf applyBorder="1" fillId="3" xfId="0" numFmtId="167" borderId="10" applyFont="1" fontId="8" applyNumberFormat="1"/>
    <xf applyBorder="1" fillId="3" xfId="0" numFmtId="9" borderId="14" applyFont="1" fontId="8" applyNumberFormat="1"/>
    <xf applyBorder="1" applyAlignment="1" fillId="3" xfId="0" numFmtId="0" borderId="17" applyFont="1" fontId="8">
      <alignment horizontal="center"/>
    </xf>
    <xf applyBorder="1" fillId="3" xfId="0" numFmtId="10" borderId="15" applyFont="1" fontId="8" applyNumberFormat="1"/>
    <xf applyBorder="1" applyAlignment="1" fillId="3" xfId="0" numFmtId="10" borderId="14" applyFont="1" fontId="8" applyNumberFormat="1">
      <alignment horizontal="right"/>
    </xf>
    <xf applyBorder="1" fillId="3" xfId="0" numFmtId="167" borderId="18" applyFont="1" fontId="8" applyNumberFormat="1"/>
    <xf applyBorder="1" fillId="5" xfId="0" numFmtId="0" borderId="1" applyFont="1" fontId="8" applyFill="1"/>
    <xf fillId="0" xfId="0" numFmtId="164" borderId="1" applyFont="1" fontId="11" applyNumberFormat="1"/>
    <xf fillId="0" xfId="0" numFmtId="0" borderId="1" applyFont="1" fontId="12"/>
    <xf fillId="0" xfId="0" numFmtId="164" borderId="1" applyFont="1" fontId="13" applyNumberFormat="1"/>
    <xf applyBorder="1" applyAlignment="1" fillId="4" xfId="0" numFmtId="0" borderId="14" applyFont="1" fontId="8">
      <alignment vertical="center" horizontal="left" wrapText="1"/>
    </xf>
    <xf applyBorder="1" applyAlignment="1" fillId="0" xfId="0" numFmtId="0" borderId="14" applyFont="1" fontId="10">
      <alignment horizontal="left"/>
    </xf>
    <xf applyBorder="1" applyAlignment="1" fillId="0" xfId="0" numFmtId="166" borderId="14" applyFont="1" fontId="10" applyNumberFormat="1">
      <alignment horizontal="center"/>
    </xf>
    <xf applyBorder="1" applyAlignment="1" fillId="0" xfId="0" numFmtId="0" borderId="14" applyFont="1" fontId="10">
      <alignment/>
    </xf>
    <xf applyBorder="1" applyAlignment="1" fillId="3" xfId="0" numFmtId="166" borderId="14" applyFont="1" fontId="10" applyNumberFormat="1">
      <alignment horizontal="center"/>
    </xf>
    <xf applyBorder="1" applyAlignment="1" fillId="0" xfId="0" numFmtId="166" borderId="14" applyFont="1" fontId="10" applyNumberFormat="1">
      <alignment horizontal="right"/>
    </xf>
    <xf applyAlignment="1" fillId="0" xfId="0" numFmtId="0" borderId="1" applyFont="1" fontId="10">
      <alignment horizontal="left"/>
    </xf>
    <xf applyAlignment="1" fillId="0" xfId="0" numFmtId="166" borderId="1" applyFont="1" fontId="10" applyNumberFormat="1">
      <alignment horizontal="right"/>
    </xf>
    <xf applyAlignment="1" fillId="0" xfId="0" numFmtId="0" borderId="1" applyFont="1" fontId="14">
      <alignment horizontal="center"/>
    </xf>
    <xf applyBorder="1" applyAlignment="1" fillId="0" xfId="0" numFmtId="168" borderId="14" applyFont="1" fontId="15" applyNumberFormat="1">
      <alignment/>
    </xf>
    <xf applyBorder="1" applyAlignment="1" fillId="0" xfId="0" numFmtId="166" borderId="14" applyFont="1" fontId="10" applyNumberFormat="1">
      <alignment horizontal="right"/>
    </xf>
    <xf applyAlignment="1" fillId="0" xfId="0" numFmtId="0" borderId="1" applyFont="1" fontId="10">
      <alignment horizontal="center"/>
    </xf>
    <xf applyAlignment="1" fillId="0" xfId="0" numFmtId="169" borderId="1" applyFont="1" fontId="10" applyNumberFormat="1">
      <alignment horizontal="center"/>
    </xf>
    <xf applyBorder="1" applyAlignment="1" fillId="0" xfId="0" numFmtId="0" borderId="14" applyFont="1" fontId="10">
      <alignment horizontal="left"/>
    </xf>
    <xf applyAlignment="1" fillId="0" xfId="0" numFmtId="168" borderId="1" applyFont="1" fontId="15" applyNumberFormat="1">
      <alignment/>
    </xf>
    <xf applyAlignment="1" fillId="0" xfId="0" numFmtId="169" borderId="1" applyFont="1" fontId="14" applyNumberFormat="1">
      <alignment horizontal="center"/>
    </xf>
    <xf applyBorder="1" applyAlignment="1" fillId="0" xfId="0" numFmtId="0" borderId="15" applyFont="1" fontId="10">
      <alignment horizontal="left"/>
    </xf>
    <xf applyBorder="1" applyAlignment="1" fillId="0" xfId="0" numFmtId="166" borderId="14" applyFont="1" fontId="10" applyNumberFormat="1">
      <alignment horizontal="center"/>
    </xf>
    <xf applyBorder="1" applyAlignment="1" fillId="0" xfId="0" numFmtId="166" borderId="4" applyFont="1" fontId="10" applyNumberFormat="1">
      <alignment horizontal="center"/>
    </xf>
    <xf applyBorder="1" fillId="0" xfId="0" numFmtId="0" borderId="15" applyFont="1" fontId="10"/>
    <xf applyBorder="1" applyAlignment="1" fillId="3" xfId="0" numFmtId="166" borderId="15" applyFont="1" fontId="10" applyNumberFormat="1">
      <alignment horizontal="center"/>
    </xf>
    <xf applyBorder="1" fillId="6" xfId="0" numFmtId="0" borderId="13" applyFont="1" fontId="14" applyFill="1"/>
    <xf applyBorder="1" applyAlignment="1" fillId="6" xfId="0" numFmtId="0" borderId="18" applyFont="1" fontId="16">
      <alignment horizontal="right"/>
    </xf>
    <xf applyBorder="1" fillId="6" xfId="0" numFmtId="0" borderId="14" applyFont="1" fontId="17"/>
    <xf applyBorder="1" applyAlignment="1" fillId="6" xfId="0" numFmtId="166" borderId="14" applyFont="1" fontId="17" applyNumberFormat="1">
      <alignment horizontal="center"/>
    </xf>
    <xf applyBorder="1" fillId="6" xfId="0" numFmtId="0" borderId="19" applyFont="1" fontId="14"/>
    <xf applyBorder="1" fillId="6" xfId="0" numFmtId="0" borderId="18" applyFont="1" fontId="14"/>
    <xf applyBorder="1" applyAlignment="1" fillId="6" xfId="0" numFmtId="166" borderId="14" applyFont="1" fontId="14" applyNumberFormat="1">
      <alignment horizontal="center"/>
    </xf>
    <xf applyBorder="1" applyAlignment="1" fillId="3" xfId="0" numFmtId="0" borderId="14" applyFont="1" fontId="10">
      <alignment horizontal="left"/>
    </xf>
    <xf applyBorder="1" fillId="3" xfId="0" numFmtId="166" borderId="17" applyFont="1" fontId="10" applyNumberFormat="1"/>
    <xf applyBorder="1" applyAlignment="1" fillId="3" xfId="0" numFmtId="0" borderId="17" applyFont="1" fontId="10">
      <alignment horizontal="left"/>
    </xf>
    <xf applyBorder="1" fillId="0" xfId="0" numFmtId="170" borderId="14" applyFont="1" fontId="10" applyNumberFormat="1"/>
    <xf applyBorder="1" fillId="3" xfId="0" numFmtId="0" borderId="13" applyFont="1" fontId="10"/>
    <xf applyBorder="1" fillId="3" xfId="0" numFmtId="0" borderId="19" applyFont="1" fontId="10"/>
    <xf applyBorder="1" fillId="3" xfId="0" numFmtId="0" borderId="18" applyFont="1" fontId="10"/>
    <xf applyBorder="1" fillId="3" xfId="0" numFmtId="171" borderId="14" applyFont="1" fontId="10" applyNumberFormat="1"/>
    <xf fillId="0" xfId="0" numFmtId="0" borderId="1" applyFont="1" fontId="18"/>
    <xf applyBorder="1" applyAlignment="1" fillId="6" xfId="0" numFmtId="0" borderId="18" applyFont="1" fontId="14">
      <alignment horizontal="center"/>
    </xf>
    <xf applyBorder="1" applyAlignment="1" fillId="6" xfId="0" numFmtId="172" borderId="14" applyFont="1" fontId="14" applyNumberFormat="1">
      <alignment horizontal="center"/>
    </xf>
    <xf fillId="0" xfId="0" numFmtId="0" borderId="1" applyFont="1" fontId="14"/>
    <xf applyBorder="1" fillId="7" xfId="0" numFmtId="0" borderId="13" applyFont="1" fontId="14" applyFill="1"/>
    <xf applyBorder="1" fillId="7" xfId="0" numFmtId="0" borderId="19" applyFont="1" fontId="14"/>
    <xf applyBorder="1" fillId="7" xfId="0" numFmtId="0" borderId="18" applyFont="1" fontId="14"/>
    <xf applyBorder="1" applyAlignment="1" fillId="7" xfId="0" numFmtId="166" borderId="14" applyFont="1" fontId="14" applyNumberFormat="1">
      <alignment horizontal="center"/>
    </xf>
    <xf applyBorder="1" fillId="7" xfId="0" numFmtId="10" borderId="14" applyFont="1" fontId="14" applyNumberFormat="1"/>
    <xf applyBorder="1" applyAlignment="1" fillId="3" xfId="0" numFmtId="0" borderId="14" applyFont="1" fontId="19">
      <alignment vertical="center" horizontal="center"/>
    </xf>
    <xf applyBorder="1" applyAlignment="1" fillId="3" xfId="0" numFmtId="0" borderId="14" applyFont="1" fontId="10">
      <alignment vertical="center" horizontal="center"/>
    </xf>
    <xf applyBorder="1" applyAlignment="1" fillId="0" xfId="0" numFmtId="167" borderId="14" applyFont="1" fontId="10" applyNumberFormat="1">
      <alignment/>
    </xf>
    <xf applyBorder="1" applyAlignment="1" fillId="0" xfId="0" numFmtId="0" borderId="14" applyFont="1" fontId="10">
      <alignment horizontal="center"/>
    </xf>
    <xf applyBorder="1" applyAlignment="1" fillId="3" xfId="0" numFmtId="0" borderId="14" applyFont="1" fontId="10">
      <alignment horizontal="center"/>
    </xf>
    <xf applyBorder="1" applyAlignment="1" fillId="3" xfId="0" numFmtId="0" borderId="14" applyFont="1" fontId="10">
      <alignment/>
    </xf>
    <xf applyBorder="1" fillId="6" xfId="0" numFmtId="0" borderId="13" applyFont="1" fontId="14"/>
    <xf applyBorder="1" fillId="6" xfId="0" numFmtId="0" borderId="19" applyFont="1" fontId="14"/>
    <xf applyBorder="1" fillId="6" xfId="0" numFmtId="0" borderId="18" applyFont="1" fontId="14"/>
    <xf applyBorder="1" fillId="4" xfId="0" numFmtId="0" borderId="13" applyFont="1" fontId="8"/>
    <xf applyBorder="1" fillId="4" xfId="0" numFmtId="0" borderId="19" applyFont="1" fontId="8"/>
    <xf applyBorder="1" fillId="4" xfId="0" numFmtId="0" borderId="18" applyFont="1" fontId="8"/>
    <xf applyBorder="1" fillId="4" xfId="0" numFmtId="0" borderId="14" applyFont="1" fontId="8"/>
    <xf applyBorder="1" applyAlignment="1" fillId="7" xfId="0" numFmtId="0" borderId="13" applyFont="1" fontId="14">
      <alignment vertical="center"/>
    </xf>
    <xf applyAlignment="1" fillId="0" xfId="0" numFmtId="171" borderId="1" applyFont="1" fontId="10" applyNumberFormat="1">
      <alignment horizontal="center"/>
    </xf>
    <xf applyBorder="1" applyAlignment="1" fillId="3" xfId="0" numFmtId="10" borderId="14" applyFont="1" fontId="10" applyNumberFormat="1">
      <alignment vertical="center" horizontal="center"/>
    </xf>
    <xf applyBorder="1" applyAlignment="1" fillId="5" xfId="0" numFmtId="0" borderId="1" applyFont="1" fontId="8">
      <alignment wrapText="1"/>
    </xf>
    <xf applyBorder="1" applyAlignment="1" fillId="3" xfId="0" numFmtId="0" borderId="14" applyFont="1" fontId="10">
      <alignment vertical="center"/>
    </xf>
    <xf applyBorder="1" applyAlignment="1" fillId="3" xfId="0" numFmtId="166" borderId="14" applyFont="1" fontId="10" applyNumberFormat="1">
      <alignment horizontal="right"/>
    </xf>
    <xf applyBorder="1" applyAlignment="1" fillId="3" xfId="0" numFmtId="10" borderId="13" applyFont="1" fontId="10" applyNumberFormat="1">
      <alignment vertical="center" horizontal="center"/>
    </xf>
    <xf applyBorder="1" applyAlignment="1" fillId="6" xfId="0" numFmtId="0" borderId="19" applyFont="1" fontId="16">
      <alignment horizontal="right"/>
    </xf>
    <xf applyBorder="1" fillId="6" xfId="0" numFmtId="0" borderId="18" applyFont="1" fontId="17"/>
    <xf applyBorder="1" applyAlignment="1" fillId="3" xfId="0" numFmtId="0" borderId="14" applyFont="1" fontId="8">
      <alignment horizontal="left"/>
    </xf>
    <xf applyBorder="1" fillId="3" xfId="0" numFmtId="2" borderId="14" applyFont="1" fontId="10" applyNumberFormat="1"/>
    <xf applyBorder="1" fillId="3" xfId="0" numFmtId="2" borderId="17" applyFont="1" fontId="8" applyNumberFormat="1"/>
    <xf applyBorder="1" applyAlignment="1" fillId="0" xfId="0" numFmtId="0" borderId="19" applyFont="1" fontId="14">
      <alignment horizontal="left"/>
    </xf>
    <xf applyBorder="1" applyAlignment="1" fillId="0" xfId="0" numFmtId="169" borderId="19" applyFont="1" fontId="10" applyNumberFormat="1">
      <alignment horizontal="center"/>
    </xf>
    <xf applyBorder="1" applyAlignment="1" fillId="0" xfId="0" numFmtId="0" borderId="19" applyFont="1" fontId="10">
      <alignment horizontal="center"/>
    </xf>
    <xf applyBorder="1" applyAlignment="1" fillId="0" xfId="0" numFmtId="173" borderId="19" applyFont="1" fontId="14" applyNumberFormat="1">
      <alignment horizontal="right"/>
    </xf>
    <xf applyBorder="1" fillId="3" xfId="0" numFmtId="2" borderId="14" applyFont="1" fontId="8" applyNumberFormat="1"/>
    <xf applyBorder="1" applyAlignment="1" fillId="0" xfId="0" numFmtId="0" borderId="19" applyFont="1" fontId="17">
      <alignment horizontal="left"/>
    </xf>
    <xf applyBorder="1" applyAlignment="1" fillId="0" xfId="0" numFmtId="173" borderId="3" applyFont="1" fontId="10" applyNumberFormat="1">
      <alignment horizontal="right"/>
    </xf>
    <xf applyBorder="1" applyAlignment="1" fillId="4" xfId="0" numFmtId="0" borderId="13" applyFont="1" fontId="8">
      <alignment vertical="center" horizontal="left" wrapText="1"/>
    </xf>
    <xf applyBorder="1" applyAlignment="1" fillId="0" xfId="0" numFmtId="173" borderId="10" applyFont="1" fontId="10" applyNumberFormat="1">
      <alignment horizontal="right"/>
    </xf>
    <xf applyBorder="1" applyAlignment="1" fillId="0" xfId="0" numFmtId="0" borderId="3" applyFont="1" fontId="14">
      <alignment horizontal="left"/>
    </xf>
    <xf applyBorder="1" applyAlignment="1" fillId="0" xfId="0" numFmtId="169" borderId="3" applyFont="1" fontId="10" applyNumberFormat="1">
      <alignment horizontal="center"/>
    </xf>
    <xf applyBorder="1" applyAlignment="1" fillId="0" xfId="0" numFmtId="0" borderId="3" applyFont="1" fontId="10">
      <alignment horizontal="center"/>
    </xf>
    <xf applyBorder="1" applyAlignment="1" fillId="0" xfId="0" numFmtId="173" borderId="3" applyFont="1" fontId="14" applyNumberFormat="1">
      <alignment horizontal="right"/>
    </xf>
    <xf applyBorder="1" fillId="3" xfId="0" numFmtId="2" borderId="13" applyFont="1" fontId="10" applyNumberFormat="1"/>
    <xf applyBorder="1" fillId="0" xfId="0" numFmtId="0" borderId="11" applyFont="1" fontId="12"/>
    <xf applyBorder="1" fillId="0" xfId="0" numFmtId="0" borderId="11" applyFont="1" fontId="10"/>
    <xf applyBorder="1" applyAlignment="1" fillId="3" xfId="0" numFmtId="169" borderId="19" applyFont="1" fontId="10" applyNumberFormat="1">
      <alignment horizontal="center"/>
    </xf>
    <xf applyBorder="1" applyAlignment="1" fillId="3" xfId="0" numFmtId="0" borderId="19" applyFont="1" fontId="10">
      <alignment horizontal="center"/>
    </xf>
    <xf applyBorder="1" applyAlignment="1" fillId="3" xfId="0" numFmtId="0" borderId="14" applyFont="1" fontId="10">
      <alignment vertical="center" horizontal="left"/>
    </xf>
    <xf applyBorder="1" applyAlignment="1" fillId="0" xfId="0" numFmtId="0" borderId="17" applyFont="1" fontId="10">
      <alignment horizontal="center"/>
    </xf>
    <xf applyBorder="1" applyAlignment="1" fillId="0" xfId="0" numFmtId="0" borderId="3" applyFont="1" fontId="17">
      <alignment horizontal="left"/>
    </xf>
    <xf applyBorder="1" fillId="3" xfId="0" numFmtId="0" borderId="13" applyFont="1" fontId="8"/>
    <xf applyBorder="1" fillId="3" xfId="0" numFmtId="0" borderId="19" applyFont="1" fontId="8"/>
    <xf applyBorder="1" fillId="3" xfId="0" numFmtId="0" borderId="18" applyFont="1" fontId="8"/>
    <xf applyBorder="1" applyAlignment="1" fillId="3" xfId="0" numFmtId="172" borderId="14" applyFont="1" fontId="10" applyNumberFormat="1">
      <alignment horizontal="right"/>
    </xf>
    <xf applyBorder="1" applyAlignment="1" fillId="0" xfId="0" numFmtId="166" borderId="14" applyFont="1" fontId="10" applyNumberFormat="1">
      <alignment horizontal="left"/>
    </xf>
    <xf applyBorder="1" applyAlignment="1" fillId="6" xfId="0" numFmtId="0" borderId="18" applyFont="1" fontId="17">
      <alignment horizontal="center"/>
    </xf>
    <xf applyBorder="1" fillId="6" xfId="0" numFmtId="0" borderId="2" applyFont="1" fontId="14"/>
    <xf applyBorder="1" applyAlignment="1" fillId="6" xfId="0" numFmtId="0" borderId="3" applyFont="1" fontId="16">
      <alignment horizontal="right"/>
    </xf>
    <xf applyBorder="1" applyAlignment="1" fillId="6" xfId="0" numFmtId="0" borderId="4" applyFont="1" fontId="17">
      <alignment horizontal="center"/>
    </xf>
    <xf applyBorder="1" applyAlignment="1" fillId="6" xfId="0" numFmtId="166" borderId="15" applyFont="1" fontId="17" applyNumberFormat="1">
      <alignment horizontal="center"/>
    </xf>
    <xf applyBorder="1" applyAlignment="1" fillId="0" xfId="0" numFmtId="0" borderId="19" applyFont="1" fontId="10">
      <alignment horizontal="left"/>
    </xf>
    <xf applyBorder="1" applyAlignment="1" fillId="0" xfId="0" numFmtId="0" borderId="3" applyFont="1" fontId="10">
      <alignment horizontal="left"/>
    </xf>
    <xf applyAlignment="1" fillId="0" xfId="0" numFmtId="169" borderId="1" applyFont="1" fontId="20" applyNumberFormat="1">
      <alignment horizontal="center"/>
    </xf>
    <xf applyBorder="1" applyAlignment="1" fillId="3" xfId="0" numFmtId="0" borderId="13" applyFont="1" fontId="10">
      <alignment horizontal="left"/>
    </xf>
    <xf applyBorder="1" applyAlignment="1" fillId="3" xfId="0" numFmtId="0" borderId="18" applyFont="1" fontId="10">
      <alignment horizontal="center"/>
    </xf>
    <xf applyBorder="1" applyAlignment="1" fillId="3" xfId="0" numFmtId="167" borderId="14" applyFont="1" fontId="10" applyNumberFormat="1">
      <alignment horizontal="center"/>
    </xf>
    <xf applyBorder="1" applyAlignment="1" fillId="0" xfId="0" numFmtId="0" borderId="11" applyFont="1" fontId="10">
      <alignment horizontal="left"/>
    </xf>
    <xf applyBorder="1" applyAlignment="1" fillId="0" xfId="0" numFmtId="169" borderId="11" applyFont="1" fontId="10" applyNumberFormat="1">
      <alignment horizontal="center"/>
    </xf>
    <xf applyBorder="1" applyAlignment="1" fillId="0" xfId="0" numFmtId="0" borderId="11" applyFont="1" fontId="10">
      <alignment horizontal="center"/>
    </xf>
    <xf applyBorder="1" applyAlignment="1" fillId="0" xfId="0" numFmtId="166" borderId="14" applyFont="1" fontId="14" applyNumberFormat="1">
      <alignment horizontal="center"/>
    </xf>
    <xf applyAlignment="1" fillId="0" xfId="0" numFmtId="166" borderId="1" applyFont="1" fontId="14" applyNumberFormat="1">
      <alignment horizontal="center"/>
    </xf>
    <xf applyBorder="1" applyAlignment="1" fillId="7" xfId="0" numFmtId="0" borderId="19" applyFont="1" fontId="16">
      <alignment horizontal="right"/>
    </xf>
    <xf applyBorder="1" applyAlignment="1" fillId="7" xfId="0" numFmtId="0" borderId="18" applyFont="1" fontId="17">
      <alignment horizontal="center"/>
    </xf>
    <xf applyBorder="1" applyAlignment="1" fillId="7" xfId="0" numFmtId="166" borderId="14" applyFont="1" fontId="17" applyNumberFormat="1">
      <alignment horizontal="center"/>
    </xf>
    <xf fillId="0" xfId="0" numFmtId="169" borderId="1" applyFont="1" fontId="10" applyNumberFormat="1"/>
    <xf applyBorder="1" fillId="5" xfId="0" numFmtId="0" borderId="1" applyFont="1" fontId="0"/>
    <xf fillId="0" xfId="0" numFmtId="0" borderId="1" applyFont="1" fontId="0"/>
    <xf fillId="0" xfId="0" numFmtId="164" borderId="1" applyFont="1" fontId="10" applyNumberFormat="1"/>
    <xf applyAlignment="1" fillId="0" xfId="0" numFmtId="0" borderId="1" applyFont="1" fontId="10">
      <alignment/>
    </xf>
    <xf applyAlignment="1" fillId="0" xfId="0" numFmtId="164" borderId="1" applyFont="1" fontId="21" applyNumberFormat="1">
      <alignment horizontal="left"/>
    </xf>
    <xf applyBorder="1" fillId="5" xfId="0" numFmtId="0" borderId="1" applyFont="1" fontId="10"/>
    <xf applyAlignment="1" fillId="0" xfId="0" numFmtId="164" borderId="1" applyFont="1" fontId="22" applyNumberFormat="1">
      <alignment horizontal="left"/>
    </xf>
    <xf applyBorder="1" applyAlignment="1" fillId="0" xfId="0" numFmtId="164" borderId="14" applyFont="1" fontId="10" applyNumberFormat="1">
      <alignment vertical="center" horizontal="center"/>
    </xf>
    <xf applyBorder="1" applyAlignment="1" fillId="0" xfId="0" numFmtId="166" borderId="14" applyFont="1" fontId="10" applyNumberFormat="1">
      <alignment vertical="center" horizontal="center"/>
    </xf>
    <xf applyBorder="1" applyAlignment="1" fillId="3" xfId="0" numFmtId="164" borderId="13" applyFont="1" fontId="10" applyNumberFormat="1">
      <alignment vertical="center" horizontal="center"/>
    </xf>
    <xf applyBorder="1" applyAlignment="1" fillId="3" xfId="0" numFmtId="164" borderId="14" applyFont="1" fontId="10" applyNumberFormat="1">
      <alignment vertical="center" horizontal="center"/>
    </xf>
    <xf applyBorder="1" applyAlignment="1" fillId="3" xfId="0" numFmtId="166" borderId="14" applyFont="1" fontId="10" applyNumberFormat="1">
      <alignment vertical="center" horizontal="center"/>
    </xf>
    <xf applyBorder="1" applyAlignment="1" fillId="3" xfId="0" numFmtId="164" borderId="14" applyFont="1" fontId="10" applyNumberFormat="1">
      <alignment horizontal="center"/>
    </xf>
    <xf applyBorder="1" fillId="3" xfId="0" numFmtId="164" borderId="14" applyFont="1" fontId="10" applyNumberFormat="1"/>
    <xf applyAlignment="1" fillId="0" xfId="0" numFmtId="0" borderId="1" applyFont="1" fontId="8">
      <alignment vertical="center" wrapText="1"/>
    </xf>
    <xf applyBorder="1" applyAlignment="1" fillId="3" xfId="0" numFmtId="170" borderId="14" applyFont="1" fontId="10" applyNumberFormat="1">
      <alignment vertical="center" horizontal="right"/>
    </xf>
    <xf applyBorder="1" applyAlignment="1" fillId="3" xfId="0" numFmtId="166" borderId="14" applyFont="1" fontId="10" applyNumberFormat="1">
      <alignment vertical="center" horizontal="right"/>
    </xf>
    <xf applyBorder="1" fillId="3" xfId="0" numFmtId="166" borderId="14" applyFont="1" fontId="17" applyNumberFormat="1"/>
    <xf applyBorder="1" fillId="3" xfId="0" numFmtId="0" borderId="14" applyFont="1" fontId="17"/>
    <xf applyBorder="1" applyAlignment="1" fillId="3" xfId="0" numFmtId="166" borderId="14" applyFont="1" fontId="17" applyNumberFormat="1">
      <alignment horizontal="center"/>
    </xf>
    <xf applyBorder="1" applyAlignment="1" fillId="3" xfId="0" numFmtId="166" borderId="14" applyFont="1" fontId="17" applyNumberFormat="1">
      <alignment horizontal="right"/>
    </xf>
    <xf fillId="0" xfId="0" numFmtId="0" borderId="1" applyFont="1" fontId="16"/>
    <xf applyAlignment="1" fillId="0" xfId="0" numFmtId="173" borderId="1" applyFont="1" fontId="16" applyNumberFormat="1">
      <alignment horizontal="center"/>
    </xf>
    <xf applyAlignment="1" fillId="0" xfId="0" numFmtId="0" borderId="1" applyFont="1" fontId="16">
      <alignment horizontal="right"/>
    </xf>
    <xf fillId="0" xfId="0" numFmtId="164" borderId="1" applyFont="1" fontId="23" applyNumberFormat="1"/>
    <xf applyBorder="1" applyAlignment="1" fillId="0" xfId="0" numFmtId="0" borderId="14" applyFont="1" fontId="24">
      <alignment/>
    </xf>
    <xf applyBorder="1" applyAlignment="1" fillId="0" xfId="0" numFmtId="174" borderId="14" applyFont="1" fontId="24" applyNumberFormat="1">
      <alignment horizontal="right"/>
    </xf>
    <xf applyBorder="1" applyAlignment="1" fillId="0" xfId="0" numFmtId="174" borderId="14" applyFont="1" fontId="25" applyNumberFormat="1">
      <alignment/>
    </xf>
    <xf applyBorder="1" applyAlignment="1" fillId="0" xfId="0" numFmtId="0" borderId="17" applyFont="1" fontId="24">
      <alignment/>
    </xf>
    <xf applyBorder="1" applyAlignment="1" fillId="0" xfId="0" numFmtId="174" borderId="17" applyFont="1" fontId="24" applyNumberFormat="1">
      <alignment horizontal="right"/>
    </xf>
    <xf applyBorder="1" applyAlignment="1" fillId="3" xfId="0" numFmtId="2" borderId="14" applyFont="1" fontId="10" applyNumberFormat="1">
      <alignment vertical="center" horizontal="center"/>
    </xf>
    <xf applyAlignment="1" fillId="0" xfId="0" numFmtId="174" borderId="1" applyFont="1" fontId="24" applyNumberFormat="1">
      <alignment horizontal="right"/>
    </xf>
    <xf applyBorder="1" fillId="0" xfId="0" numFmtId="0" borderId="14" applyFont="1" fontId="25"/>
    <xf applyBorder="1" fillId="0" xfId="0" numFmtId="166" borderId="14" applyFont="1" fontId="10" applyNumberFormat="1"/>
    <xf applyBorder="1" applyAlignment="1" fillId="0" xfId="0" numFmtId="166" borderId="14" applyFont="1" fontId="10" applyNumberFormat="1">
      <alignment vertical="center" horizontal="center"/>
    </xf>
    <xf applyAlignment="1" fillId="0" xfId="0" numFmtId="164" borderId="1" applyFont="1" fontId="26" applyNumberFormat="1">
      <alignment horizontal="left"/>
    </xf>
    <xf applyBorder="1" applyAlignment="1" fillId="0" xfId="0" numFmtId="0" borderId="14" applyFont="1" fontId="25">
      <alignment/>
    </xf>
    <xf applyBorder="1" fillId="0" xfId="0" numFmtId="164" borderId="14" applyFont="1" fontId="10" applyNumberFormat="1"/>
    <xf fillId="0" xfId="0" numFmtId="0" borderId="1" applyFont="1" fontId="0"/>
    <xf applyBorder="1" applyAlignment="1" fillId="0" xfId="0" numFmtId="164" borderId="14" applyFont="1" fontId="24" applyNumberFormat="1">
      <alignment/>
    </xf>
    <xf applyBorder="1" applyAlignment="1" fillId="0" xfId="0" numFmtId="164" borderId="17" applyFont="1" fontId="24" applyNumberFormat="1">
      <alignment/>
    </xf>
    <xf applyBorder="1" applyAlignment="1" fillId="8" xfId="0" numFmtId="0" borderId="14" applyFont="1" fontId="24" applyFill="1">
      <alignment/>
    </xf>
    <xf applyAlignment="1" fillId="0" xfId="0" numFmtId="164" borderId="1" applyFont="1" fontId="27" applyNumberFormat="1">
      <alignment horizontal="left"/>
    </xf>
    <xf applyAlignment="1" fillId="0" xfId="0" numFmtId="0" borderId="1" applyFont="1" fontId="0">
      <alignment wrapText="1"/>
    </xf>
    <xf applyAlignment="1" fillId="0" xfId="0" numFmtId="0" borderId="1" applyFont="1" fontId="8">
      <alignment vertical="center" horizontal="center" wrapText="1"/>
    </xf>
    <xf applyBorder="1" applyAlignment="1" fillId="3" xfId="0" numFmtId="166" borderId="14" applyFont="1" fontId="8" applyNumberFormat="1">
      <alignment horizontal="right"/>
    </xf>
    <xf applyAlignment="1" fillId="0" xfId="0" numFmtId="166" borderId="1" applyFont="1" fontId="8" applyNumberFormat="1">
      <alignment horizontal="right"/>
    </xf>
    <xf applyBorder="1" applyAlignment="1" fillId="3" xfId="0" numFmtId="166" borderId="15" applyFont="1" fontId="8" applyNumberFormat="1">
      <alignment horizontal="right"/>
    </xf>
    <xf applyBorder="1" fillId="7" xfId="0" numFmtId="166" borderId="14" applyFont="1" fontId="17" applyNumberFormat="1"/>
    <xf applyBorder="1" applyAlignment="1" fillId="7" xfId="0" numFmtId="166" borderId="14" applyFont="1" fontId="17" applyNumberFormat="1">
      <alignment horizontal="right"/>
    </xf>
    <xf fillId="0" xfId="0" numFmtId="166" borderId="1" applyFont="1" fontId="16" applyNumberFormat="1"/>
    <xf applyBorder="1" fillId="7" xfId="0" numFmtId="166" borderId="17" applyFont="1" fontId="17" applyNumberFormat="1"/>
    <xf applyBorder="1" applyAlignment="1" fillId="7" xfId="0" numFmtId="166" borderId="17" applyFont="1" fontId="17" applyNumberFormat="1">
      <alignment horizontal="right"/>
    </xf>
    <xf applyBorder="1" fillId="3" xfId="0" numFmtId="10" borderId="17" applyFont="1" fontId="10" applyNumberFormat="1"/>
    <xf fillId="0" xfId="0" numFmtId="172" borderId="1" applyFont="1" fontId="8" applyNumberFormat="1"/>
    <xf applyBorder="1" fillId="0" xfId="0" numFmtId="0" borderId="19" applyFont="1" fontId="10"/>
    <xf applyBorder="1" applyAlignment="1" fillId="0" xfId="0" numFmtId="175" borderId="19" applyFont="1" fontId="10" applyNumberFormat="1">
      <alignment horizontal="center"/>
    </xf>
    <xf applyBorder="1" fillId="0" xfId="0" numFmtId="0" borderId="3" applyFont="1" fontId="10"/>
    <xf applyBorder="1" applyAlignment="1" fillId="0" xfId="0" numFmtId="175" borderId="3" applyFont="1" fontId="10" applyNumberFormat="1">
      <alignment horizontal="center"/>
    </xf>
    <xf applyBorder="1" fillId="3" xfId="0" numFmtId="10" borderId="18" applyFont="1" fontId="10" applyNumberFormat="1"/>
    <xf applyAlignment="1" fillId="0" xfId="0" numFmtId="174" borderId="1" applyFont="1" fontId="10" applyNumberFormat="1">
      <alignment horizontal="center"/>
    </xf>
    <xf applyAlignment="1" fillId="0" xfId="0" numFmtId="175" borderId="1" applyFont="1" fontId="10" applyNumberFormat="1">
      <alignment horizontal="center"/>
    </xf>
    <xf applyBorder="1" fillId="7" xfId="0" numFmtId="0" borderId="14" applyFont="1" fontId="14"/>
    <xf applyBorder="1" fillId="7" xfId="0" numFmtId="166" borderId="14" applyFont="1" fontId="14" applyNumberFormat="1"/>
    <xf applyBorder="1" fillId="7" xfId="0" numFmtId="166" borderId="18" applyFont="1" fontId="14" applyNumberFormat="1"/>
    <xf applyBorder="1" fillId="7" xfId="0" numFmtId="9" borderId="14" applyFont="1" fontId="14" applyNumberFormat="1"/>
    <xf applyBorder="1" applyAlignment="1" fillId="4" xfId="0" numFmtId="0" borderId="15" applyFont="1" fontId="8">
      <alignment vertical="center" horizontal="center" wrapText="1"/>
    </xf>
    <xf applyBorder="1" applyAlignment="1" fillId="0" xfId="0" numFmtId="10" borderId="15" applyFont="1" fontId="10" applyNumberFormat="1">
      <alignment vertical="center" horizontal="center"/>
    </xf>
    <xf applyBorder="1" applyAlignment="1" fillId="3" xfId="0" numFmtId="10" borderId="2" applyFont="1" fontId="10" applyNumberFormat="1">
      <alignment vertical="center" horizontal="center"/>
    </xf>
    <xf applyBorder="1" applyAlignment="1" fillId="3" xfId="0" numFmtId="0" borderId="14" applyFont="1" fontId="10">
      <alignment horizontal="center" wrapText="1"/>
    </xf>
    <xf applyBorder="1" fillId="3" xfId="0" numFmtId="10" borderId="14" applyFont="1" fontId="10" applyNumberFormat="1"/>
    <xf applyBorder="1" applyAlignment="1" fillId="0" xfId="0" numFmtId="10" borderId="14" applyFont="1" fontId="10" applyNumberFormat="1">
      <alignment/>
    </xf>
    <xf applyBorder="1" applyAlignment="1" fillId="3" xfId="0" numFmtId="176" borderId="14" applyFont="1" fontId="14" applyNumberFormat="1">
      <alignment horizontal="center"/>
    </xf>
    <xf applyBorder="1" applyAlignment="1" fillId="3" xfId="0" numFmtId="2" borderId="14" applyFont="1" fontId="14" applyNumberFormat="1">
      <alignment horizontal="center"/>
    </xf>
    <xf applyBorder="1" applyAlignment="1" fillId="3" xfId="0" numFmtId="0" borderId="14" applyFont="1" fontId="14">
      <alignment horizontal="center"/>
    </xf>
    <xf fillId="0" xfId="0" numFmtId="176" borderId="1" applyFont="1" fontId="14" applyNumberFormat="1"/>
    <xf applyBorder="1" applyAlignment="1" fillId="3" xfId="0" numFmtId="172" borderId="14" applyFont="1" fontId="14" applyNumberFormat="1">
      <alignment horizontal="left"/>
    </xf>
    <xf applyBorder="1" fillId="3" xfId="0" numFmtId="0" borderId="14" applyFont="1" fontId="14"/>
    <xf applyBorder="1" fillId="3" xfId="0" numFmtId="166" borderId="14" applyFont="1" fontId="14" applyNumberFormat="1"/>
    <xf fillId="0" xfId="0" numFmtId="166" borderId="1" applyFont="1" fontId="10" applyNumberFormat="1"/>
    <xf applyBorder="1" fillId="3" xfId="0" numFmtId="167" borderId="14" applyFont="1" fontId="10" applyNumberFormat="1"/>
    <xf applyBorder="1" applyAlignment="1" fillId="3" xfId="0" numFmtId="0" borderId="14" applyFont="1" fontId="16">
      <alignment horizontal="center"/>
    </xf>
    <xf applyBorder="1" fillId="3" xfId="0" numFmtId="167" borderId="18" applyFont="1" fontId="16" applyNumberFormat="1"/>
    <xf applyBorder="1" fillId="3" xfId="0" numFmtId="166" borderId="14" applyFont="1" fontId="16" applyNumberFormat="1"/>
    <xf applyBorder="1" applyAlignment="1" fillId="7" xfId="0" numFmtId="0" borderId="14" applyFont="1" fontId="14">
      <alignment horizontal="center"/>
    </xf>
    <xf applyBorder="1" applyAlignment="1" fillId="7" xfId="0" numFmtId="172" borderId="14" applyFont="1" fontId="14" applyNumberFormat="1">
      <alignment horizontal="center"/>
    </xf>
    <xf fillId="0" xfId="0" numFmtId="174" borderId="1" applyFont="1" fontId="10" applyNumberFormat="1"/>
    <xf applyBorder="1" applyAlignment="1" fillId="3" xfId="0" numFmtId="172" borderId="14" applyFont="1" fontId="14" applyNumberFormat="1">
      <alignment horizontal="center"/>
    </xf>
    <xf applyBorder="1" applyAlignment="1" fillId="3" xfId="0" numFmtId="166" borderId="14" applyFont="1" fontId="14" applyNumberFormat="1">
      <alignment horizontal="center"/>
    </xf>
    <xf fillId="0" xfId="0" numFmtId="177" borderId="1" applyFont="1" fontId="10" applyNumberFormat="1"/>
    <xf applyBorder="1" applyAlignment="1" fillId="9" xfId="0" numFmtId="0" borderId="15" applyFont="1" fontId="8" applyFill="1">
      <alignment vertical="center" horizontal="center" wrapText="1"/>
    </xf>
    <xf applyBorder="1" applyAlignment="1" fillId="4" xfId="0" numFmtId="0" borderId="15" applyFont="1" fontId="17">
      <alignment vertical="center" horizontal="center" wrapText="1"/>
    </xf>
    <xf applyBorder="1" applyAlignment="1" fillId="10" xfId="0" numFmtId="0" borderId="13" applyFont="1" fontId="14" applyFill="1">
      <alignment horizontal="left"/>
    </xf>
    <xf applyBorder="1" fillId="10" xfId="0" numFmtId="0" borderId="19" applyFont="1" fontId="14"/>
    <xf applyBorder="1" fillId="10" xfId="0" numFmtId="0" borderId="18" applyFont="1" fontId="14"/>
    <xf applyBorder="1" applyAlignment="1" fillId="10" xfId="0" numFmtId="166" borderId="14" applyFont="1" fontId="14" applyNumberFormat="1">
      <alignment horizontal="right"/>
    </xf>
    <xf applyBorder="1" fillId="10" xfId="0" numFmtId="0" borderId="13" applyFont="1" fontId="14"/>
    <xf applyBorder="1" fillId="0" xfId="0" numFmtId="0" borderId="3" applyFont="1" fontId="14"/>
    <xf applyBorder="1" applyAlignment="1" fillId="0" xfId="0" numFmtId="166" borderId="3" applyFont="1" fontId="14" applyNumberFormat="1">
      <alignment horizontal="right"/>
    </xf>
    <xf applyBorder="1" fillId="3" xfId="0" numFmtId="167" borderId="19" applyFont="1" fontId="10" applyNumberFormat="1"/>
    <xf applyBorder="1" applyAlignment="1" fillId="3" xfId="0" numFmtId="166" borderId="19" applyFont="1" fontId="10" applyNumberFormat="1">
      <alignment horizontal="center"/>
    </xf>
    <xf applyBorder="1" applyAlignment="1" fillId="3" xfId="0" numFmtId="166" borderId="19" applyFont="1" fontId="10" applyNumberFormat="1">
      <alignment horizontal="right"/>
    </xf>
    <xf applyBorder="1" applyAlignment="1" fillId="3" xfId="0" numFmtId="166" borderId="18" applyFont="1" fontId="10" applyNumberFormat="1">
      <alignment horizontal="right"/>
    </xf>
    <xf applyBorder="1" applyAlignment="1" fillId="5" xfId="0" numFmtId="0" borderId="1" applyFont="1" fontId="8">
      <alignment vertical="center"/>
    </xf>
    <xf applyAlignment="1" fillId="0" xfId="0" numFmtId="0" borderId="1" applyFont="1" fontId="8">
      <alignment vertical="center"/>
    </xf>
    <xf applyBorder="1" applyAlignment="1" fillId="10" xfId="0" numFmtId="0" borderId="13" applyFont="1" fontId="14">
      <alignment vertical="center" horizontal="left" wrapText="1"/>
    </xf>
    <xf applyBorder="1" applyAlignment="1" fillId="10" xfId="0" numFmtId="0" borderId="19" applyFont="1" fontId="14">
      <alignment vertical="center"/>
    </xf>
    <xf applyBorder="1" applyAlignment="1" fillId="10" xfId="0" numFmtId="166" borderId="19" applyFont="1" fontId="14" applyNumberFormat="1">
      <alignment vertical="center" horizontal="right"/>
    </xf>
    <xf applyBorder="1" applyAlignment="1" fillId="10" xfId="0" numFmtId="166" borderId="18" applyFont="1" fontId="14" applyNumberFormat="1">
      <alignment vertical="center" horizontal="right"/>
    </xf>
    <xf applyAlignment="1" fillId="0" xfId="0" numFmtId="0" borderId="1" applyFont="1" fontId="10">
      <alignment vertical="center"/>
    </xf>
    <xf applyAlignment="1" fillId="0" xfId="0" numFmtId="0" borderId="1" applyFont="1" fontId="14">
      <alignment horizontal="left"/>
    </xf>
    <xf applyAlignment="1" fillId="0" xfId="0" numFmtId="166" borderId="1" applyFont="1" fontId="14" applyNumberFormat="1">
      <alignment horizontal="right"/>
    </xf>
    <xf applyBorder="1" applyAlignment="1" fillId="3" xfId="0" numFmtId="167" borderId="19" applyFont="1" fontId="10" applyNumberFormat="1">
      <alignment horizontal="center"/>
    </xf>
    <xf applyBorder="1" applyAlignment="1" fillId="3" xfId="0" numFmtId="9" borderId="19" applyFont="1" fontId="10" applyNumberFormat="1">
      <alignment horizontal="center"/>
    </xf>
    <xf applyBorder="1" applyAlignment="1" fillId="3" xfId="0" numFmtId="166" borderId="19" applyFont="1" fontId="10" applyNumberFormat="1">
      <alignment horizontal="right"/>
    </xf>
    <xf applyBorder="1" applyAlignment="1" fillId="3" xfId="0" numFmtId="166" borderId="18" applyFont="1" fontId="10" applyNumberFormat="1">
      <alignment horizontal="right"/>
    </xf>
    <xf applyBorder="1" applyAlignment="1" fillId="7" xfId="0" numFmtId="0" borderId="13" applyFont="1" fontId="14">
      <alignment vertical="center" horizontal="left" wrapText="1"/>
    </xf>
    <xf applyBorder="1" applyAlignment="1" fillId="7" xfId="0" numFmtId="0" borderId="19" applyFont="1" fontId="14">
      <alignment vertical="center"/>
    </xf>
    <xf applyBorder="1" applyAlignment="1" fillId="7" xfId="0" numFmtId="166" borderId="19" applyFont="1" fontId="14" applyNumberFormat="1">
      <alignment vertical="center" horizontal="right"/>
    </xf>
    <xf applyBorder="1" applyAlignment="1" fillId="7" xfId="0" numFmtId="166" borderId="18" applyFont="1" fontId="14" applyNumberFormat="1">
      <alignment vertical="center" horizontal="right"/>
    </xf>
    <xf applyAlignment="1" fillId="0" xfId="0" numFmtId="0" borderId="1" applyFont="1" fontId="14">
      <alignment vertical="center" horizontal="left" wrapText="1"/>
    </xf>
    <xf applyAlignment="1" fillId="0" xfId="0" numFmtId="0" borderId="1" applyFont="1" fontId="14">
      <alignment vertical="center"/>
    </xf>
    <xf applyAlignment="1" fillId="0" xfId="0" numFmtId="166" borderId="1" applyFont="1" fontId="14" applyNumberFormat="1">
      <alignment vertical="center" horizontal="right"/>
    </xf>
    <xf applyAlignment="1" fillId="0" xfId="0" numFmtId="0" borderId="1" applyFont="1" fontId="28">
      <alignment horizontal="center"/>
    </xf>
    <xf applyBorder="1" fillId="3" xfId="0" numFmtId="166" borderId="13" applyFont="1" fontId="10" applyNumberFormat="1"/>
    <xf applyBorder="1" applyAlignment="1" fillId="3" xfId="0" numFmtId="10" borderId="3" applyFont="1" fontId="14" applyNumberFormat="1">
      <alignment horizontal="right"/>
    </xf>
    <xf applyBorder="1" fillId="3" xfId="0" numFmtId="2" borderId="3" applyFont="1" fontId="10" applyNumberFormat="1"/>
    <xf applyBorder="1" applyAlignment="1" fillId="3" xfId="0" numFmtId="10" borderId="18" applyFont="1" fontId="14" applyNumberFormat="1">
      <alignment horizontal="right"/>
    </xf>
    <xf applyBorder="1" fillId="3" xfId="0" numFmtId="175" borderId="18" applyFont="1" fontId="10" applyNumberFormat="1"/>
    <xf applyBorder="1" applyAlignment="1" fillId="0" xfId="0" numFmtId="166" borderId="13" applyFont="1" fontId="10" applyNumberFormat="1">
      <alignment/>
    </xf>
    <xf applyBorder="1" fillId="0" xfId="0" numFmtId="166" borderId="13" applyFont="1" fontId="10" applyNumberFormat="1"/>
    <xf applyBorder="1" fillId="3" xfId="0" numFmtId="175" borderId="19" applyFont="1" fontId="10" applyNumberFormat="1"/>
    <xf applyBorder="1" fillId="0" xfId="0" numFmtId="175" borderId="5" applyFont="1" fontId="14" applyNumberFormat="1"/>
    <xf fillId="0" xfId="0" numFmtId="175" borderId="1" applyFont="1" fontId="14" applyNumberFormat="1"/>
    <xf applyBorder="1" applyAlignment="1" fillId="0" xfId="0" numFmtId="0" borderId="19" applyFont="1" fontId="10">
      <alignment/>
    </xf>
    <xf applyBorder="1" fillId="3" xfId="0" numFmtId="175" borderId="1" applyFont="1" fontId="10" applyNumberFormat="1"/>
    <xf applyBorder="1" applyAlignment="1" fillId="10" xfId="0" numFmtId="166" borderId="13" applyFont="1" fontId="14" applyNumberFormat="1">
      <alignment vertical="center" horizontal="left" wrapText="1"/>
    </xf>
    <xf applyBorder="1" applyAlignment="1" fillId="10" xfId="0" numFmtId="0" borderId="19" applyFont="1" fontId="14">
      <alignment vertical="center" horizontal="left" wrapText="1"/>
    </xf>
    <xf applyBorder="1" applyAlignment="1" fillId="10" xfId="0" numFmtId="166" borderId="18" applyFont="1" fontId="14" applyNumberFormat="1">
      <alignment vertical="center" horizontal="left" wrapText="1"/>
    </xf>
    <xf applyAlignment="1" fillId="0" xfId="0" numFmtId="166" borderId="1" applyFont="1" fontId="14" applyNumberFormat="1">
      <alignment vertical="center" horizontal="left" wrapText="1"/>
    </xf>
    <xf applyBorder="1" applyAlignment="1" fillId="0" xfId="0" numFmtId="166" borderId="19" applyFont="1" fontId="14" applyNumberFormat="1">
      <alignment vertical="center" horizontal="left" wrapText="1"/>
    </xf>
    <xf applyBorder="1" fillId="0" xfId="0" numFmtId="166" borderId="19" applyFont="1" fontId="14" applyNumberFormat="1"/>
    <xf applyBorder="1" fillId="3" xfId="0" numFmtId="175" borderId="13" applyFont="1" fontId="10" applyNumberFormat="1"/>
    <xf applyBorder="1" fillId="3" xfId="0" numFmtId="175" borderId="14" applyFont="1" fontId="10" applyNumberFormat="1"/>
    <xf applyBorder="1" applyAlignment="1" fillId="10" xfId="0" numFmtId="0" borderId="18" applyFont="1" fontId="14">
      <alignment horizontal="right"/>
    </xf>
    <xf applyBorder="1" applyAlignment="1" fillId="10" xfId="0" numFmtId="0" borderId="13" applyFont="1" fontId="14">
      <alignment horizontal="right"/>
    </xf>
    <xf applyBorder="1" applyAlignment="1" fillId="7" xfId="0" numFmtId="166" borderId="13" applyFont="1" fontId="14" applyNumberFormat="1">
      <alignment vertical="center" horizontal="left" wrapText="1"/>
    </xf>
    <xf applyBorder="1" applyAlignment="1" fillId="7" xfId="0" numFmtId="10" borderId="18" applyFont="1" fontId="14" applyNumberFormat="1">
      <alignment horizontal="right"/>
    </xf>
    <xf applyBorder="1" applyAlignment="1" fillId="7" xfId="0" numFmtId="166" borderId="13" applyFont="1" fontId="14" applyNumberFormat="1">
      <alignment vertical="center" horizontal="right" wrapText="1"/>
    </xf>
    <xf applyBorder="1" applyAlignment="1" fillId="7" xfId="0" numFmtId="10" borderId="13" applyFont="1" fontId="14" applyNumberFormat="1">
      <alignment horizontal="right"/>
    </xf>
    <xf applyBorder="1" fillId="0" xfId="0" numFmtId="166" borderId="19" applyFont="1" fontId="10" applyNumberFormat="1"/>
    <xf applyBorder="1" fillId="0" xfId="0" numFmtId="10" borderId="19" applyFont="1" fontId="10" applyNumberFormat="1"/>
    <xf applyBorder="1" fillId="3" xfId="0" numFmtId="0" borderId="17" applyFont="1" fontId="10"/>
    <xf applyBorder="1" applyAlignment="1" fillId="0" xfId="0" numFmtId="166" borderId="17" applyFont="1" fontId="10" applyNumberFormat="1">
      <alignment/>
    </xf>
    <xf applyBorder="1" fillId="3" xfId="0" numFmtId="10" borderId="1" applyFont="1" fontId="14" applyNumberFormat="1"/>
    <xf applyBorder="1" fillId="3" xfId="0" numFmtId="10" borderId="17" applyFont="1" fontId="14" applyNumberFormat="1"/>
    <xf applyBorder="1" fillId="3" xfId="0" numFmtId="10" borderId="3" applyFont="1" fontId="14" applyNumberFormat="1"/>
    <xf applyBorder="1" fillId="3" xfId="0" numFmtId="10" borderId="14" applyFont="1" fontId="14" applyNumberFormat="1"/>
    <xf applyBorder="1" fillId="3" xfId="0" numFmtId="0" borderId="15" applyFont="1" fontId="10"/>
    <xf applyBorder="1" applyAlignment="1" fillId="10" xfId="0" numFmtId="166" borderId="14" applyFont="1" fontId="14" applyNumberFormat="1">
      <alignment vertical="center" horizontal="left" wrapText="1"/>
    </xf>
    <xf applyBorder="1" applyAlignment="1" fillId="7" xfId="0" numFmtId="10" borderId="14" applyFont="1" fontId="14" applyNumberFormat="1">
      <alignment horizontal="right"/>
    </xf>
    <xf applyBorder="1" fillId="3" xfId="0" numFmtId="173" borderId="3" applyFont="1" fontId="10" applyNumberFormat="1"/>
    <xf applyBorder="1" fillId="3" xfId="0" numFmtId="10" borderId="4" applyFont="1" fontId="14" applyNumberFormat="1"/>
    <xf applyBorder="1" fillId="3" xfId="0" numFmtId="10" borderId="18" applyFont="1" fontId="14" applyNumberFormat="1"/>
    <xf applyBorder="1" fillId="3" xfId="0" numFmtId="173" borderId="2" applyFont="1" fontId="10" applyNumberFormat="1"/>
    <xf applyBorder="1" fillId="3" xfId="0" numFmtId="173" borderId="13" applyFont="1" fontId="10" applyNumberFormat="1"/>
    <xf applyBorder="1" fillId="3" xfId="0" numFmtId="173" borderId="18" applyFont="1" fontId="10" applyNumberFormat="1"/>
    <xf applyBorder="1" fillId="3" xfId="0" numFmtId="173" borderId="14" applyFont="1" fontId="10" applyNumberFormat="1"/>
    <xf applyBorder="1" fillId="3" xfId="0" numFmtId="173" borderId="1" applyFont="1" fontId="10" applyNumberFormat="1"/>
    <xf applyBorder="1" fillId="3" xfId="0" numFmtId="173" borderId="10" applyFont="1" fontId="10" applyNumberFormat="1"/>
    <xf applyBorder="1" applyAlignment="1" fillId="10" xfId="0" numFmtId="166" borderId="19" applyFont="1" fontId="14" applyNumberFormat="1">
      <alignment vertical="center" horizontal="left" wrapText="1"/>
    </xf>
    <xf applyBorder="1" applyAlignment="1" fillId="10" xfId="0" numFmtId="166" borderId="10" applyFont="1" fontId="14" applyNumberFormat="1">
      <alignment vertical="center" horizontal="left" wrapText="1"/>
    </xf>
    <xf applyBorder="1" applyAlignment="1" fillId="10" xfId="0" numFmtId="166" borderId="12" applyFont="1" fontId="14" applyNumberFormat="1">
      <alignment vertical="center" horizontal="left" wrapText="1"/>
    </xf>
    <xf applyBorder="1" fillId="3" xfId="0" numFmtId="166" borderId="15" applyFont="1" fontId="10" applyNumberFormat="1"/>
    <xf applyBorder="1" fillId="3" xfId="0" numFmtId="10" borderId="1" applyFont="1" fontId="10" applyNumberFormat="1"/>
    <xf applyBorder="1" fillId="0" xfId="0" numFmtId="0" borderId="2" applyFont="1" fontId="10"/>
    <xf applyBorder="1" fillId="0" xfId="0" numFmtId="10" borderId="3" applyFont="1" fontId="10" applyNumberFormat="1"/>
    <xf fillId="0" xfId="0" numFmtId="10" borderId="1" applyFont="1" fontId="10" applyNumberFormat="1"/>
    <xf applyBorder="1" fillId="0" xfId="0" numFmtId="0" borderId="10" applyFont="1" fontId="10"/>
    <xf applyBorder="1" fillId="0" xfId="0" numFmtId="10" borderId="11" applyFont="1" fontId="10" applyNumberFormat="1"/>
    <xf applyBorder="1" fillId="3" xfId="0" numFmtId="166" borderId="19" applyFont="1" fontId="10" applyNumberFormat="1"/>
    <xf applyBorder="1" fillId="3" xfId="0" numFmtId="2" borderId="19" applyFont="1" fontId="10" applyNumberFormat="1"/>
    <xf applyBorder="1" fillId="3" xfId="0" numFmtId="166" borderId="18" applyFont="1" fontId="10" applyNumberFormat="1"/>
    <xf fillId="0" xfId="0" numFmtId="2" borderId="1" applyFont="1" fontId="10" applyNumberFormat="1"/>
    <xf fillId="0" xfId="0" numFmtId="173" borderId="1" applyFont="1" fontId="10" applyNumberFormat="1"/>
    <xf applyBorder="1" applyAlignment="1" fillId="7" xfId="0" numFmtId="0" borderId="19" applyFont="1" fontId="14">
      <alignment vertical="center" horizontal="left" wrapText="1"/>
    </xf>
    <xf applyBorder="1" applyAlignment="1" fillId="7" xfId="0" numFmtId="166" borderId="19" applyFont="1" fontId="14" applyNumberFormat="1">
      <alignment vertical="center" horizontal="left" wrapText="1"/>
    </xf>
    <xf applyBorder="1" applyAlignment="1" fillId="7" xfId="0" numFmtId="166" borderId="18" applyFont="1" fontId="14" applyNumberFormat="1">
      <alignment vertical="center" horizontal="left" wrapText="1"/>
    </xf>
    <xf fillId="0" xfId="0" numFmtId="3" borderId="1" applyFont="1" fontId="14" applyNumberFormat="1"/>
    <xf fillId="0" xfId="0" numFmtId="173" borderId="1" applyFont="1" fontId="14" applyNumberFormat="1"/>
    <xf applyBorder="1" fillId="3" xfId="0" numFmtId="3" borderId="19" applyFont="1" fontId="10" applyNumberFormat="1"/>
    <xf applyBorder="1" fillId="3" xfId="0" numFmtId="173" borderId="19" applyFont="1" fontId="10" applyNumberFormat="1"/>
    <xf applyBorder="1" applyAlignment="1" fillId="3" xfId="0" numFmtId="0" borderId="13" applyFont="1" fontId="10">
      <alignment wrapText="1"/>
    </xf>
    <xf applyBorder="1" fillId="3" xfId="0" numFmtId="4" borderId="19" applyFont="1" fontId="10" applyNumberFormat="1"/>
    <xf applyBorder="1" fillId="3" xfId="0" numFmtId="4" borderId="18" applyFont="1" fontId="10" applyNumberFormat="1"/>
    <xf applyBorder="1" fillId="3" xfId="0" numFmtId="10" borderId="19" applyFont="1" fontId="10" applyNumberFormat="1"/>
    <xf fillId="0" xfId="0" numFmtId="4" borderId="1" applyFont="1" fontId="14" applyNumberFormat="1"/>
    <xf applyAlignment="1" fillId="0" xfId="0" numFmtId="0" borderId="1" applyFont="1" fontId="10">
      <alignment wrapText="1"/>
    </xf>
    <xf applyBorder="1" applyAlignment="1" fillId="3" xfId="0" numFmtId="166" borderId="14" applyFont="1" fontId="10" applyNumberFormat="1">
      <alignment horizontal="center"/>
    </xf>
    <xf applyBorder="1" applyAlignment="1" fillId="3" xfId="0" numFmtId="166" borderId="14" applyFont="1" fontId="8" applyNumberFormat="1">
      <alignment horizontal="center"/>
    </xf>
    <xf applyBorder="1" applyAlignment="1" fillId="3" xfId="0" numFmtId="166" borderId="13" applyFont="1" fontId="8" applyNumberFormat="1">
      <alignment horizontal="center"/>
    </xf>
    <xf applyBorder="1" applyAlignment="1" fillId="3" xfId="0" numFmtId="166" borderId="17" applyFont="1" fontId="8" applyNumberFormat="1">
      <alignment horizontal="center"/>
    </xf>
    <xf fillId="0" xfId="0" numFmtId="166" borderId="1" applyFont="1" fontId="8" applyNumberFormat="1"/>
    <xf applyBorder="1" applyAlignment="1" fillId="7" xfId="0" numFmtId="166" borderId="15" applyFont="1" fontId="14" applyNumberFormat="1">
      <alignment horizontal="center"/>
    </xf>
    <xf applyBorder="1" applyAlignment="1" fillId="0" xfId="0" numFmtId="166" borderId="2" applyFont="1" fontId="10" applyNumberFormat="1">
      <alignment horizontal="center"/>
    </xf>
    <xf applyBorder="1" applyAlignment="1" fillId="3" xfId="0" numFmtId="0" borderId="14" applyFont="1" fontId="10">
      <alignment wrapText="1"/>
    </xf>
    <xf fillId="0" xfId="0" numFmtId="175" borderId="1" applyFont="1" fontId="10" applyNumberFormat="1"/>
    <xf fillId="0" xfId="0" numFmtId="9" borderId="1" applyFont="1" fontId="10" applyNumberFormat="1"/>
    <xf applyAlignment="1" fillId="0" xfId="0" numFmtId="175" borderId="1" applyFont="1" fontId="29" applyNumberFormat="1">
      <alignment horizontal="center"/>
    </xf>
    <xf applyBorder="1" applyAlignment="1" fillId="7" xfId="0" numFmtId="3" borderId="14" applyFont="1" fontId="17" applyNumberFormat="1">
      <alignment horizontal="center"/>
    </xf>
    <xf applyBorder="1" applyAlignment="1" fillId="7" xfId="0" numFmtId="10" borderId="14" applyFont="1" fontId="14" applyNumberFormat="1">
      <alignment horizontal="center"/>
    </xf>
    <xf applyBorder="1" applyAlignment="1" fillId="0" xfId="0" numFmtId="0" borderId="14" applyFont="1" fontId="10">
      <alignment horizontal="center"/>
    </xf>
    <xf applyBorder="1" applyAlignment="1" fillId="0" xfId="0" numFmtId="9" borderId="14" applyFont="1" fontId="10" applyNumberFormat="1">
      <alignment horizontal="center"/>
    </xf>
    <xf applyBorder="1" applyAlignment="1" fillId="11" xfId="0" numFmtId="0" borderId="14" applyFont="1" fontId="14" applyFill="1">
      <alignment horizontal="center"/>
    </xf>
    <xf applyBorder="1" fillId="11" xfId="0" numFmtId="166" borderId="14" applyFont="1" fontId="14" applyNumberFormat="1"/>
    <xf fillId="0" xfId="0" numFmtId="178" borderId="1" applyFont="1" fontId="10" applyNumberFormat="1"/>
    <xf applyBorder="1" applyAlignment="1" fillId="3" xfId="0" numFmtId="0" borderId="14" applyFont="1" fontId="8">
      <alignment horizontal="center"/>
    </xf>
    <xf applyBorder="1" applyAlignment="1" fillId="3" xfId="0" numFmtId="166" borderId="14" applyFont="1" fontId="8" applyNumberFormat="1">
      <alignment horizontal="center"/>
    </xf>
    <xf applyBorder="1" applyAlignment="1" fillId="3" xfId="0" numFmtId="9" borderId="14" applyFont="1" fontId="10" applyNumberFormat="1">
      <alignment horizont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worksheets/sheet17.xml" Type="http://schemas.openxmlformats.org/officeDocument/2006/relationships/worksheet" Id="rId19"/><Relationship Target="worksheets/sheet16.xml" Type="http://schemas.openxmlformats.org/officeDocument/2006/relationships/worksheet" Id="rId18"/><Relationship Target="worksheets/sheet15.xml" Type="http://schemas.openxmlformats.org/officeDocument/2006/relationships/worksheet" Id="rId17"/><Relationship Target="worksheets/sheet14.xml" Type="http://schemas.openxmlformats.org/officeDocument/2006/relationships/worksheet" Id="rId16"/><Relationship Target="worksheets/sheet13.xml" Type="http://schemas.openxmlformats.org/officeDocument/2006/relationships/worksheet" Id="rId15"/><Relationship Target="worksheets/sheet12.xml" Type="http://schemas.openxmlformats.org/officeDocument/2006/relationships/worksheet" Id="rId14"/><Relationship Target="sharedStrings.xml" Type="http://schemas.openxmlformats.org/officeDocument/2006/relationships/sharedStrings" Id="rId2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8.xml" Type="http://schemas.openxmlformats.org/officeDocument/2006/relationships/worksheet" Id="rId10"/><Relationship Target="worksheets/sheet1.xml" Type="http://schemas.openxmlformats.org/officeDocument/2006/relationships/worksheet" Id="rId3"/><Relationship Target="worksheets/sheet9.xml" Type="http://schemas.openxmlformats.org/officeDocument/2006/relationships/worksheet" Id="rId11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/>
            </a:pPr>
            <a:r>
              <a:t>Mercado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684EE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"/>
            <c:spPr>
              <a:solidFill>
                <a:srgbClr val="DC3912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"/>
            <c:spPr>
              <a:solidFill>
                <a:srgbClr val="FF9900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3"/>
            <c:spPr>
              <a:solidFill>
                <a:srgbClr val="008000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4"/>
            <c:spPr>
              <a:solidFill>
                <a:srgbClr val="666666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5"/>
            <c:spPr>
              <a:solidFill>
                <a:srgbClr val="4942CC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6"/>
            <c:spPr>
              <a:solidFill>
                <a:srgbClr val="CB4AC5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7"/>
            <c:spPr>
              <a:solidFill>
                <a:srgbClr val="D6AE00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8"/>
            <c:spPr>
              <a:solidFill>
                <a:srgbClr val="336699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9"/>
            <c:spPr>
              <a:solidFill>
                <a:srgbClr val="DD4477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0"/>
            <c:spPr>
              <a:solidFill>
                <a:srgbClr val="AAAA11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1"/>
            <c:spPr>
              <a:solidFill>
                <a:srgbClr val="66AA00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2"/>
            <c:spPr>
              <a:solidFill>
                <a:srgbClr val="888888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3"/>
            <c:spPr>
              <a:solidFill>
                <a:srgbClr val="994499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4"/>
            <c:spPr>
              <a:solidFill>
                <a:srgbClr val="DD5511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5"/>
            <c:spPr>
              <a:solidFill>
                <a:srgbClr val="22AA99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6"/>
            <c:spPr>
              <a:solidFill>
                <a:srgbClr val="999999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7"/>
            <c:spPr>
              <a:solidFill>
                <a:srgbClr val="705770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8"/>
            <c:spPr>
              <a:solidFill>
                <a:srgbClr val="109618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9"/>
            <c:spPr>
              <a:solidFill>
                <a:srgbClr val="A32929"/>
              </a:solidFill>
              <a:ln w="25400" cmpd="sng">
                <a:solidFill>
                  <a:srgbClr val="FFFFFF"/>
                </a:solidFill>
              </a:ln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Mercado!$D$6:$F$6</c:f>
            </c:strRef>
          </c:cat>
          <c:val>
            <c:numRef>
              <c:f>Mercado!$D$7:$F$7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b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/>
            </a:pPr>
            <a:r>
              <a:t>Punto de Equilibrio Económico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'Puntos de Equilibrio'!$F$13</c:f>
            </c:strRef>
          </c:tx>
          <c:spPr>
            <a:ln w="25400" cmpd="sng">
              <a:solidFill>
                <a:srgbClr val="8064A2"/>
              </a:solidFill>
            </a:ln>
          </c:spPr>
          <c:marker>
            <c:symbol val="none"/>
          </c:marker>
          <c:cat>
            <c:strRef>
              <c:f>'Puntos de Equilibrio'!$D$14:$D$23</c:f>
            </c:strRef>
          </c:cat>
          <c:val>
            <c:numRef>
              <c:f>'Puntos de Equilibrio'!$F$14:$F$23</c:f>
            </c:numRef>
          </c:val>
          <c:smooth val="0"/>
        </c:ser>
        <c:ser>
          <c:idx val="1"/>
          <c:order val="1"/>
          <c:tx>
            <c:strRef>
              <c:f>'Puntos de Equilibrio'!$E$13</c:f>
            </c:strRef>
          </c:tx>
          <c:spPr>
            <a:ln w="25400" cmpd="sng">
              <a:solidFill>
                <a:srgbClr val="4BACC6"/>
              </a:solidFill>
            </a:ln>
          </c:spPr>
          <c:marker>
            <c:symbol val="none"/>
          </c:marker>
          <c:cat>
            <c:strRef>
              <c:f>'Puntos de Equilibrio'!$D$14:$D$23</c:f>
            </c:strRef>
          </c:cat>
          <c:val>
            <c:numRef>
              <c:f>'Puntos de Equilibrio'!$E$14:$E$23</c:f>
            </c:numRef>
          </c:val>
          <c:smooth val="0"/>
        </c:ser>
        <c:ser>
          <c:idx val="2"/>
          <c:order val="2"/>
          <c:tx>
            <c:strRef>
              <c:f>'Puntos de Equilibrio'!$H$13</c:f>
            </c:strRef>
          </c:tx>
          <c:spPr>
            <a:ln w="25400" cmpd="sng">
              <a:solidFill>
                <a:srgbClr val="F79646"/>
              </a:solidFill>
            </a:ln>
          </c:spPr>
          <c:marker>
            <c:symbol val="none"/>
          </c:marker>
          <c:cat>
            <c:strRef>
              <c:f>'Puntos de Equilibrio'!$D$14:$D$23</c:f>
            </c:strRef>
          </c:cat>
          <c:val>
            <c:numRef>
              <c:f>'Puntos de Equilibrio'!$H$14:$H$23</c:f>
            </c:numRef>
          </c:val>
          <c:smooth val="0"/>
        </c:ser>
        <c:ser>
          <c:idx val="3"/>
          <c:order val="3"/>
          <c:tx>
            <c:strRef>
              <c:f>'Puntos de Equilibrio'!$F$13</c:f>
            </c:strRef>
          </c:tx>
          <c:spPr>
            <a:ln w="25400"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'Puntos de Equilibrio'!$D$14:$D$23</c:f>
            </c:strRef>
          </c:cat>
          <c:val>
            <c:numRef>
              <c:f>'Puntos de Equilibrio'!$F$14:$F$23</c:f>
            </c:numRef>
          </c:val>
          <c:smooth val="0"/>
        </c:ser>
        <c:ser>
          <c:idx val="4"/>
          <c:order val="4"/>
          <c:tx>
            <c:strRef>
              <c:f>'Puntos de Equilibrio'!$E$13</c:f>
            </c:strRef>
          </c:tx>
          <c:spPr>
            <a:ln w="25400" cmpd="sng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'Puntos de Equilibrio'!$D$14:$D$23</c:f>
            </c:strRef>
          </c:cat>
          <c:val>
            <c:numRef>
              <c:f>'Puntos de Equilibrio'!$E$14:$E$23</c:f>
            </c:numRef>
          </c:val>
          <c:smooth val="0"/>
        </c:ser>
        <c:ser>
          <c:idx val="5"/>
          <c:order val="5"/>
          <c:tx>
            <c:strRef>
              <c:f>'Puntos de Equilibrio'!$H$13</c:f>
            </c:strRef>
          </c:tx>
          <c:spPr>
            <a:ln w="25400" cmpd="sng">
              <a:solidFill>
                <a:srgbClr val="9BBB59"/>
              </a:solidFill>
            </a:ln>
          </c:spPr>
          <c:marker>
            <c:symbol val="none"/>
          </c:marker>
          <c:cat>
            <c:strRef>
              <c:f>'Puntos de Equilibrio'!$D$14:$D$23</c:f>
            </c:strRef>
          </c:cat>
          <c:val>
            <c:numRef>
              <c:f>'Puntos de Equilibrio'!$H$14:$H$23</c:f>
            </c:numRef>
          </c:val>
          <c:smooth val="0"/>
        </c:ser>
        <c:axId val="81091700"/>
        <c:axId val="1292999255"/>
      </c:lineChart>
      <c:catAx>
        <c:axId val="810917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Cantidad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1292999255"/>
      </c:catAx>
      <c:valAx>
        <c:axId val="12929992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Ingresos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81091700"/>
      </c:valAx>
    </c:plotArea>
    <c:legend>
      <c:legendPos val="b"/>
      <c:overlay val="0"/>
    </c:legend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/>
            </a:pPr>
            <a:r>
              <a:t>Punto de Equilibrio Financiero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'Puntos de Equilibrio'!$F$39</c:f>
            </c:strRef>
          </c:tx>
          <c:spPr>
            <a:ln w="25400" cmpd="sng">
              <a:solidFill>
                <a:srgbClr val="8064A2"/>
              </a:solidFill>
            </a:ln>
          </c:spPr>
          <c:marker>
            <c:symbol val="none"/>
          </c:marker>
          <c:cat>
            <c:strRef>
              <c:f>'Puntos de Equilibrio'!$D$14:$D$23</c:f>
            </c:strRef>
          </c:cat>
          <c:val>
            <c:numRef>
              <c:f>'Puntos de Equilibrio'!$F$40:$F$49</c:f>
            </c:numRef>
          </c:val>
          <c:smooth val="0"/>
        </c:ser>
        <c:ser>
          <c:idx val="1"/>
          <c:order val="1"/>
          <c:tx>
            <c:strRef>
              <c:f>'Puntos de Equilibrio'!$E$39</c:f>
            </c:strRef>
          </c:tx>
          <c:spPr>
            <a:ln w="25400" cmpd="sng">
              <a:solidFill>
                <a:srgbClr val="4BACC6"/>
              </a:solidFill>
            </a:ln>
          </c:spPr>
          <c:marker>
            <c:symbol val="none"/>
          </c:marker>
          <c:cat>
            <c:strRef>
              <c:f>'Puntos de Equilibrio'!$D$14:$D$23</c:f>
            </c:strRef>
          </c:cat>
          <c:val>
            <c:numRef>
              <c:f>'Puntos de Equilibrio'!$E$40:$E$49</c:f>
            </c:numRef>
          </c:val>
          <c:smooth val="0"/>
        </c:ser>
        <c:ser>
          <c:idx val="2"/>
          <c:order val="2"/>
          <c:tx>
            <c:strRef>
              <c:f>'Puntos de Equilibrio'!$F$39</c:f>
            </c:strRef>
          </c:tx>
          <c:spPr>
            <a:ln w="25400"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'Puntos de Equilibrio'!$D$14:$D$23</c:f>
            </c:strRef>
          </c:cat>
          <c:val>
            <c:numRef>
              <c:f>'Puntos de Equilibrio'!$F$40:$F$49</c:f>
            </c:numRef>
          </c:val>
          <c:smooth val="0"/>
        </c:ser>
        <c:ser>
          <c:idx val="3"/>
          <c:order val="3"/>
          <c:tx>
            <c:strRef>
              <c:f>'Puntos de Equilibrio'!$E$39</c:f>
            </c:strRef>
          </c:tx>
          <c:spPr>
            <a:ln w="25400" cmpd="sng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'Puntos de Equilibrio'!$D$14:$D$23</c:f>
            </c:strRef>
          </c:cat>
          <c:val>
            <c:numRef>
              <c:f>'Puntos de Equilibrio'!$E$40:$E$49</c:f>
            </c:numRef>
          </c:val>
          <c:smooth val="0"/>
        </c:ser>
        <c:ser>
          <c:idx val="4"/>
          <c:order val="4"/>
          <c:tx>
            <c:strRef>
              <c:f>'Puntos de Equilibrio'!$H$39</c:f>
            </c:strRef>
          </c:tx>
          <c:spPr>
            <a:ln w="25400" cmpd="sng">
              <a:solidFill>
                <a:srgbClr val="9BBB59"/>
              </a:solidFill>
            </a:ln>
          </c:spPr>
          <c:marker>
            <c:symbol val="none"/>
          </c:marker>
          <c:cat>
            <c:strRef>
              <c:f>'Puntos de Equilibrio'!$D$14:$D$23</c:f>
            </c:strRef>
          </c:cat>
          <c:val>
            <c:numRef>
              <c:f>'Puntos de Equilibrio'!$H$40:$H$49</c:f>
            </c:numRef>
          </c:val>
          <c:smooth val="0"/>
        </c:ser>
        <c:axId val="894716434"/>
        <c:axId val="1721988393"/>
      </c:lineChart>
      <c:catAx>
        <c:axId val="8947164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Cantidad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1721988393"/>
      </c:catAx>
      <c:valAx>
        <c:axId val="17219883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Ingresos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894716434"/>
      </c:valAx>
    </c:plotArea>
    <c:legend>
      <c:legendPos val="b"/>
      <c:overlay val="0"/>
    </c:legend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Target="../media/image00.png" Type="http://schemas.openxmlformats.org/officeDocument/2006/relationships/image" Id="rId1"/></Relationships>
</file>

<file path=xl/drawings/_rels/drawing3.xml.rels><?xml version="1.0" encoding="UTF-8" standalone="yes"?><Relationships xmlns="http://schemas.openxmlformats.org/package/2006/relationships"><Relationship Target="../charts/chart1.xml" Type="http://schemas.openxmlformats.org/officeDocument/2006/relationships/chart" Id="rId1"/></Relationships>
</file>

<file path=xl/drawings/_rels/drawing15.xml.rels><?xml version="1.0" encoding="UTF-8" standalone="yes"?><Relationships xmlns="http://schemas.openxmlformats.org/package/2006/relationships"><Relationship Target="../charts/chart3.xml" Type="http://schemas.openxmlformats.org/officeDocument/2006/relationships/chart" Id="rId2"/><Relationship Target="../charts/chart2.xml" Type="http://schemas.openxmlformats.org/officeDocument/2006/relationships/chart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y="257175" x="876300"/>
    <xdr:ext cy="790575" cx="2247900"/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y="790575" cx="2247900"/>
        </a:xfrm>
        <a:prstGeom prst="rect">
          <a:avLst/>
        </a:prstGeom>
        <a:noFill/>
      </xdr:spPr>
    </xdr:pic>
    <xdr:clientData fLock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y="2362200" x="2133600"/>
    <xdr:ext cy="3400425" cx="5695950"/>
    <xdr:graphicFrame>
      <xdr:nvGraphicFramePr>
        <xdr:cNvPr id="1" name="Chart 1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y="1104900" x="9010650"/>
    <xdr:ext cy="3276600" cx="5772150"/>
    <xdr:graphicFrame>
      <xdr:nvGraphicFramePr>
        <xdr:cNvPr id="2" name="Chart 2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  <xdr:absoluteAnchor>
    <xdr:pos y="5553075" x="9039225"/>
    <xdr:ext cy="3200400" cx="5743575"/>
    <xdr:graphicFrame>
      <xdr:nvGraphicFramePr>
        <xdr:cNvPr id="3" name="Chart 3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2"/>
        </a:graphicData>
      </a:graphic>
    </xdr:graphicFrame>
    <xdr:clientData fLocksWithSheet="0"/>
  </xdr:absolute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2"/><Relationship Target="../comments1.xml" Type="http://schemas.openxmlformats.org/officeDocument/2006/relationships/comments" Id="rId1"/><Relationship Target="../drawings/vmlDrawing1.vml" Type="http://schemas.openxmlformats.org/officeDocument/2006/relationships/vmlDrawing" Id="rId3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2"/><Relationship Target="../comments2.xml" Type="http://schemas.openxmlformats.org/officeDocument/2006/relationships/comments" Id="rId1"/><Relationship Target="../drawings/vmlDrawing2.vml" Type="http://schemas.openxmlformats.org/officeDocument/2006/relationships/vmlDrawing" Id="rId3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2"/><Relationship Target="../comments3.xml" Type="http://schemas.openxmlformats.org/officeDocument/2006/relationships/comments" Id="rId1"/><Relationship Target="../drawings/vmlDrawing3.vml" Type="http://schemas.openxmlformats.org/officeDocument/2006/relationships/vmlDrawing" Id="rId3"/></Relationships>
</file>

<file path=xl/worksheets/_rels/sheet7.xml.rels><?xml version="1.0" encoding="UTF-8" standalone="yes"?><Relationships xmlns="http://schemas.openxmlformats.org/package/2006/relationships"><Relationship Target="../drawings/drawing7.xml" Type="http://schemas.openxmlformats.org/officeDocument/2006/relationships/drawing" Id="rId2"/><Relationship Target="../comments4.xml" Type="http://schemas.openxmlformats.org/officeDocument/2006/relationships/comments" Id="rId1"/><Relationship Target="../drawings/vmlDrawing4.vml" Type="http://schemas.openxmlformats.org/officeDocument/2006/relationships/vmlDrawing" Id="rId3"/></Relationships>
</file>

<file path=xl/worksheets/_rels/sheet8.xml.rels><?xml version="1.0" encoding="UTF-8" standalone="yes"?><Relationships xmlns="http://schemas.openxmlformats.org/package/2006/relationships"><Relationship Target="../drawings/drawing8.xml" Type="http://schemas.openxmlformats.org/officeDocument/2006/relationships/drawing" Id="rId1"/></Relationships>
</file>

<file path=xl/worksheets/_rels/sheet9.xml.rels><?xml version="1.0" encoding="UTF-8" standalone="yes"?><Relationships xmlns="http://schemas.openxmlformats.org/package/2006/relationships"><Relationship Target="../drawings/drawing9.xml" Type="http://schemas.openxmlformats.org/officeDocument/2006/relationships/drawing" Id="rId1"/></Relationships>
</file>

<file path=xl/worksheets/_rels/sheet10.xml.rels><?xml version="1.0" encoding="UTF-8" standalone="yes"?><Relationships xmlns="http://schemas.openxmlformats.org/package/2006/relationships"><Relationship Target="../drawings/drawing10.xml" Type="http://schemas.openxmlformats.org/officeDocument/2006/relationships/drawing" Id="rId1"/></Relationships>
</file>

<file path=xl/worksheets/_rels/sheet11.xml.rels><?xml version="1.0" encoding="UTF-8" standalone="yes"?><Relationships xmlns="http://schemas.openxmlformats.org/package/2006/relationships"><Relationship Target="../drawings/drawing11.xml" Type="http://schemas.openxmlformats.org/officeDocument/2006/relationships/drawing" Id="rId1"/></Relationships>
</file>

<file path=xl/worksheets/_rels/sheet12.xml.rels><?xml version="1.0" encoding="UTF-8" standalone="yes"?><Relationships xmlns="http://schemas.openxmlformats.org/package/2006/relationships"><Relationship Target="../drawings/drawing12.xml" Type="http://schemas.openxmlformats.org/officeDocument/2006/relationships/drawing" Id="rId1"/></Relationships>
</file>

<file path=xl/worksheets/_rels/sheet13.xml.rels><?xml version="1.0" encoding="UTF-8" standalone="yes"?><Relationships xmlns="http://schemas.openxmlformats.org/package/2006/relationships"><Relationship Target="../drawings/drawing13.xml" Type="http://schemas.openxmlformats.org/officeDocument/2006/relationships/drawing" Id="rId1"/></Relationships>
</file>

<file path=xl/worksheets/_rels/sheet14.xml.rels><?xml version="1.0" encoding="UTF-8" standalone="yes"?><Relationships xmlns="http://schemas.openxmlformats.org/package/2006/relationships"><Relationship Target="../drawings/drawing14.xml" Type="http://schemas.openxmlformats.org/officeDocument/2006/relationships/drawing" Id="rId2"/><Relationship Target="../comments5.xml" Type="http://schemas.openxmlformats.org/officeDocument/2006/relationships/comments" Id="rId1"/><Relationship Target="../drawings/vmlDrawing5.vml" Type="http://schemas.openxmlformats.org/officeDocument/2006/relationships/vmlDrawing" Id="rId3"/></Relationships>
</file>

<file path=xl/worksheets/_rels/sheet15.xml.rels><?xml version="1.0" encoding="UTF-8" standalone="yes"?><Relationships xmlns="http://schemas.openxmlformats.org/package/2006/relationships"><Relationship Target="../drawings/drawing15.xml" Type="http://schemas.openxmlformats.org/officeDocument/2006/relationships/drawing" Id="rId1"/></Relationships>
</file>

<file path=xl/worksheets/_rels/sheet16.xml.rels><?xml version="1.0" encoding="UTF-8" standalone="yes"?><Relationships xmlns="http://schemas.openxmlformats.org/package/2006/relationships"><Relationship Target="../drawings/drawing16.xml" Type="http://schemas.openxmlformats.org/officeDocument/2006/relationships/drawing" Id="rId2"/><Relationship Target="../comments6.xml" Type="http://schemas.openxmlformats.org/officeDocument/2006/relationships/comments" Id="rId1"/><Relationship Target="../drawings/vmlDrawing6.vml" Type="http://schemas.openxmlformats.org/officeDocument/2006/relationships/vmlDrawing" Id="rId3"/></Relationships>
</file>

<file path=xl/worksheets/_rels/sheet17.xml.rels><?xml version="1.0" encoding="UTF-8" standalone="yes"?><Relationships xmlns="http://schemas.openxmlformats.org/package/2006/relationships"><Relationship Target="../drawings/drawing17.xml" Type="http://schemas.openxmlformats.org/officeDocument/2006/relationships/drawing" Id="rId2"/><Relationship Target="../comments7.xml" Type="http://schemas.openxmlformats.org/officeDocument/2006/relationships/comments" Id="rId1"/><Relationship Target="../drawings/vmlDrawing7.vml" Type="http://schemas.openxmlformats.org/officeDocument/2006/relationships/vmlDrawing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75"/>
  <cols>
    <col min="1" customWidth="1" max="1" width="2.29"/>
    <col min="2" customWidth="1" max="2" width="11.43"/>
    <col min="3" customWidth="1" max="3" width="2.29"/>
    <col min="4" customWidth="1" max="4" width="24.71"/>
    <col min="5" customWidth="1" max="5" width="43.14"/>
    <col min="6" customWidth="1" max="6" width="35.0"/>
    <col min="7" customWidth="1" max="8" width="11.43"/>
  </cols>
  <sheetData>
    <row customHeight="1" r="1" ht="12.75">
      <c s="1" r="A1"/>
      <c s="1" r="B1"/>
      <c s="1" r="C1"/>
      <c s="1" r="D1"/>
      <c s="1" r="E1"/>
      <c s="1" r="F1"/>
      <c s="1" r="G1"/>
      <c s="1" r="H1"/>
    </row>
    <row customHeight="1" r="2" ht="12.75">
      <c s="1" r="A2"/>
      <c s="2" r="B2"/>
      <c s="3" r="C2"/>
      <c s="3" r="D2"/>
      <c s="3" r="E2"/>
      <c s="3" r="F2"/>
      <c s="3" r="G2"/>
      <c s="4" r="H2"/>
    </row>
    <row customHeight="1" r="3" ht="12.75">
      <c s="1" r="A3"/>
      <c s="5" r="B3"/>
      <c s="1" r="C3"/>
      <c s="1" r="D3"/>
      <c s="1" r="E3"/>
      <c s="1" r="F3"/>
      <c s="1" r="G3"/>
      <c s="6" r="H3"/>
    </row>
    <row customHeight="1" r="4" ht="12.75">
      <c s="1" r="A4"/>
      <c s="5" r="B4"/>
      <c s="1" r="C4"/>
      <c s="1" r="D4"/>
      <c s="1" r="E4"/>
      <c s="1" r="F4"/>
      <c s="1" r="G4"/>
      <c s="6" r="H4"/>
    </row>
    <row customHeight="1" r="5" ht="12.75">
      <c s="1" r="A5"/>
      <c s="5" r="B5"/>
      <c s="1" r="C5"/>
      <c s="1" r="D5"/>
      <c s="1" r="E5"/>
      <c s="1" r="F5"/>
      <c s="1" r="G5"/>
      <c s="6" r="H5"/>
    </row>
    <row customHeight="1" r="6" ht="12.75">
      <c s="1" r="A6"/>
      <c s="5" r="B6"/>
      <c s="1" r="C6"/>
      <c s="1" r="D6"/>
      <c s="1" r="E6"/>
      <c s="1" r="F6"/>
      <c s="1" r="G6"/>
      <c s="6" r="H6"/>
    </row>
    <row customHeight="1" r="7" ht="12.75">
      <c s="1" r="A7"/>
      <c s="5" r="B7"/>
      <c s="1" r="C7"/>
      <c s="1" r="D7"/>
      <c s="1" r="E7"/>
      <c s="1" r="F7"/>
      <c s="1" r="G7"/>
      <c s="6" r="H7"/>
    </row>
    <row customHeight="1" r="8" ht="15.0">
      <c s="1" r="A8"/>
      <c s="5" r="B8"/>
      <c s="1" r="C8"/>
      <c t="s" s="7" r="D8">
        <v>0</v>
      </c>
      <c s="1" r="E8"/>
      <c s="1" r="F8"/>
      <c s="1" r="G8"/>
      <c s="6" r="H8"/>
    </row>
    <row customHeight="1" r="9" ht="12.75">
      <c s="1" r="A9"/>
      <c s="5" r="B9"/>
      <c s="1" r="C9"/>
      <c s="1" r="D9"/>
      <c s="1" r="E9"/>
      <c s="1" r="F9"/>
      <c s="1" r="G9"/>
      <c s="6" r="H9"/>
    </row>
    <row customHeight="1" r="10" ht="33.75">
      <c s="1" r="A10"/>
      <c s="5" r="B10"/>
      <c s="1" r="C10"/>
      <c t="s" s="8" r="D10">
        <v>1</v>
      </c>
      <c s="6" r="H10"/>
    </row>
    <row customHeight="1" r="11" ht="33.75">
      <c s="1" r="A11"/>
      <c s="5" r="B11"/>
      <c s="1" r="C11"/>
      <c t="s" s="9" r="D11">
        <v>2</v>
      </c>
      <c s="6" r="H11"/>
    </row>
    <row customHeight="1" r="12" ht="25.5">
      <c s="1" r="A12"/>
      <c s="5" r="B12"/>
      <c s="1" r="C12"/>
      <c t="s" s="10" r="D12">
        <v>3</v>
      </c>
      <c s="6" r="H12"/>
    </row>
    <row customHeight="1" r="13" ht="25.5">
      <c s="1" r="A13"/>
      <c s="5" r="B13"/>
      <c s="1" r="C13"/>
      <c s="10" r="D13"/>
      <c s="10" r="E13"/>
      <c s="10" r="F13"/>
      <c s="10" r="G13"/>
      <c s="6" r="H13"/>
    </row>
    <row customHeight="1" r="14" ht="22.5">
      <c s="1" r="A14"/>
      <c s="5" r="B14"/>
      <c s="1" r="C14"/>
      <c t="s" s="11" r="D14">
        <v>4</v>
      </c>
      <c t="s" s="11" r="E14">
        <v>5</v>
      </c>
      <c t="s" s="11" r="F14">
        <v>6</v>
      </c>
      <c s="1" r="G14"/>
      <c s="6" r="H14"/>
    </row>
    <row customHeight="1" r="15" ht="22.5">
      <c s="1" r="A15"/>
      <c s="12" r="B15"/>
      <c s="1" r="C15"/>
      <c s="1" r="D15"/>
      <c s="1" r="E15"/>
      <c s="13" r="F15"/>
      <c s="13" r="G15"/>
      <c s="6" r="H15"/>
    </row>
    <row customHeight="1" r="16" ht="22.5">
      <c s="1" r="A16"/>
      <c s="12" r="B16"/>
      <c s="1" r="C16"/>
      <c t="s" s="14" r="D16">
        <v>7</v>
      </c>
      <c t="s" s="14" r="E16">
        <v>8</v>
      </c>
      <c t="s" s="15" r="F16">
        <v>9</v>
      </c>
      <c s="13" r="G16"/>
      <c s="6" r="H16"/>
    </row>
    <row customHeight="1" r="17" ht="22.5">
      <c s="1" r="A17"/>
      <c s="12" r="B17"/>
      <c s="1" r="C17"/>
      <c t="s" s="16" r="D17">
        <v>10</v>
      </c>
      <c t="s" s="16" r="E17">
        <v>11</v>
      </c>
      <c t="s" s="16" r="F17">
        <v>12</v>
      </c>
      <c s="13" r="G17"/>
      <c s="6" r="H17"/>
    </row>
    <row customHeight="1" r="18" ht="22.5">
      <c s="1" r="A18"/>
      <c s="12" r="B18"/>
      <c s="1" r="C18"/>
      <c t="s" s="16" r="D18">
        <v>13</v>
      </c>
      <c t="s" s="16" r="E18">
        <v>14</v>
      </c>
      <c t="s" s="16" r="F18">
        <v>15</v>
      </c>
      <c s="13" r="G18"/>
      <c s="6" r="H18"/>
    </row>
    <row customHeight="1" r="19" ht="22.5">
      <c s="1" r="A19"/>
      <c s="12" r="B19"/>
      <c s="1" r="C19"/>
      <c t="s" s="16" r="D19">
        <v>16</v>
      </c>
      <c t="s" s="16" r="E19">
        <v>17</v>
      </c>
      <c t="s" s="16" r="F19">
        <v>18</v>
      </c>
      <c s="13" r="G19"/>
      <c s="6" r="H19"/>
    </row>
    <row customHeight="1" r="20" ht="22.5">
      <c s="1" r="A20"/>
      <c s="12" r="B20"/>
      <c s="1" r="C20"/>
      <c t="s" s="16" r="D20">
        <v>19</v>
      </c>
      <c t="s" s="16" r="E20">
        <v>20</v>
      </c>
      <c t="s" s="16" r="F20">
        <v>21</v>
      </c>
      <c s="13" r="G20"/>
      <c s="6" r="H20"/>
    </row>
    <row customHeight="1" r="21" ht="22.5">
      <c s="1" r="A21"/>
      <c s="12" r="B21"/>
      <c s="1" r="C21"/>
      <c t="s" s="16" r="D21">
        <v>22</v>
      </c>
      <c t="s" s="16" r="E21">
        <v>23</v>
      </c>
      <c t="s" s="16" r="F21">
        <v>24</v>
      </c>
      <c s="13" r="G21"/>
      <c s="6" r="H21"/>
    </row>
    <row customHeight="1" r="22" ht="22.5">
      <c s="1" r="A22"/>
      <c s="12" r="B22"/>
      <c s="1" r="C22"/>
      <c t="s" s="16" r="D22">
        <v>25</v>
      </c>
      <c t="s" s="16" r="E22">
        <v>26</v>
      </c>
      <c t="s" s="16" r="F22">
        <v>27</v>
      </c>
      <c s="13" r="G22"/>
      <c s="6" r="H22"/>
    </row>
    <row customHeight="1" r="23" ht="22.5">
      <c s="1" r="A23"/>
      <c s="12" r="B23"/>
      <c s="1" r="C23"/>
      <c t="s" s="16" r="D23">
        <v>28</v>
      </c>
      <c t="s" s="16" r="E23">
        <v>29</v>
      </c>
      <c t="s" s="16" r="F23">
        <v>30</v>
      </c>
      <c s="13" r="G23"/>
      <c s="6" r="H23"/>
    </row>
    <row customHeight="1" r="24" ht="22.5">
      <c s="1" r="A24"/>
      <c s="12" r="B24"/>
      <c s="1" r="C24"/>
      <c t="s" s="17" r="D24">
        <v>31</v>
      </c>
      <c t="s" s="17" r="E24">
        <v>32</v>
      </c>
      <c t="s" s="17" r="F24">
        <v>33</v>
      </c>
      <c s="13" r="G24"/>
      <c s="6" r="H24"/>
    </row>
    <row customHeight="1" r="25" ht="22.5">
      <c s="1" r="A25"/>
      <c s="12" r="B25"/>
      <c s="1" r="C25"/>
      <c s="1" r="D25"/>
      <c s="1" r="E25"/>
      <c s="1" r="F25"/>
      <c s="13" r="G25"/>
      <c s="6" r="H25"/>
    </row>
    <row customHeight="1" r="26" ht="22.5">
      <c s="1" r="A26"/>
      <c s="5" r="B26"/>
      <c s="1" r="C26"/>
      <c t="s" s="18" r="D26">
        <v>34</v>
      </c>
      <c s="19" r="E26">
        <v>3.0</v>
      </c>
      <c s="1" r="F26"/>
      <c s="1" r="G26"/>
      <c s="6" r="H26"/>
    </row>
    <row customHeight="1" r="27" ht="22.5">
      <c s="1" r="A27"/>
      <c s="5" r="B27"/>
      <c s="1" r="C27"/>
      <c t="s" s="20" r="D27">
        <v>35</v>
      </c>
      <c t="s" s="21" r="E27">
        <v>36</v>
      </c>
      <c s="1" r="F27"/>
      <c s="1" r="G27"/>
      <c s="6" r="H27"/>
    </row>
    <row customHeight="1" r="28" ht="22.5">
      <c s="1" r="A28"/>
      <c s="5" r="B28"/>
      <c s="1" r="C28"/>
      <c t="s" s="20" r="D28">
        <v>37</v>
      </c>
      <c t="s" s="21" r="E28">
        <v>38</v>
      </c>
      <c s="1" r="F28"/>
      <c s="1" r="G28"/>
      <c s="6" r="H28"/>
    </row>
    <row customHeight="1" r="29" ht="22.5">
      <c s="1" r="A29"/>
      <c s="5" r="B29"/>
      <c s="1" r="C29"/>
      <c t="s" s="20" r="D29">
        <v>39</v>
      </c>
      <c t="s" s="22" r="E29">
        <v>40</v>
      </c>
      <c s="1" r="F29"/>
      <c s="1" r="G29"/>
      <c s="6" r="H29"/>
    </row>
    <row customHeight="1" r="30" ht="22.5">
      <c s="1" r="A30"/>
      <c s="5" r="B30"/>
      <c s="1" r="C30"/>
      <c t="s" s="23" r="D30">
        <v>41</v>
      </c>
      <c s="22" r="E30">
        <v>2014.0</v>
      </c>
      <c s="1" r="F30"/>
      <c s="1" r="G30"/>
      <c s="6" r="H30"/>
    </row>
    <row customHeight="1" r="31" ht="12.75">
      <c s="1" r="A31"/>
      <c s="5" r="B31"/>
      <c s="1" r="C31"/>
      <c s="1" r="D31"/>
      <c s="1" r="E31"/>
      <c s="1" r="F31"/>
      <c s="1" r="G31"/>
      <c s="6" r="H31"/>
    </row>
    <row customHeight="1" r="32" ht="12.75">
      <c s="1" r="A32"/>
      <c s="24" r="B32"/>
      <c s="25" r="C32"/>
      <c s="25" r="D32"/>
      <c s="25" r="E32"/>
      <c s="25" r="F32"/>
      <c s="25" r="G32"/>
      <c s="26" r="H32"/>
    </row>
  </sheetData>
  <mergeCells count="3">
    <mergeCell ref="D11:G11"/>
    <mergeCell ref="D10:G10"/>
    <mergeCell ref="D12:G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75"/>
  <cols>
    <col min="1" customWidth="1" max="1" width="11.43"/>
    <col min="2" customWidth="1" max="2" width="10.86"/>
    <col min="3" customWidth="1" max="3" width="32.57"/>
    <col min="4" customWidth="1" max="4" width="7.71"/>
    <col min="5" customWidth="1" max="6" width="11.43"/>
  </cols>
  <sheetData>
    <row customHeight="1" r="1" ht="12.75">
      <c s="27" r="A1"/>
      <c s="27" r="B1"/>
      <c s="27" r="C1"/>
      <c s="27" r="D1"/>
      <c s="27" r="E1"/>
      <c s="27" r="F1"/>
    </row>
    <row customHeight="1" r="2" ht="12.75">
      <c s="27" r="A2"/>
      <c s="28" r="B2"/>
      <c s="28" r="C2"/>
      <c s="28" r="D2"/>
      <c s="28" r="E2"/>
      <c s="27" r="F2"/>
    </row>
    <row customHeight="1" r="3" ht="18.75">
      <c s="27" r="A3"/>
      <c s="28" r="B3"/>
      <c t="s" s="29" r="C3">
        <v>42</v>
      </c>
      <c s="28" r="D3"/>
      <c s="28" r="E3"/>
      <c s="27" r="F3"/>
    </row>
    <row customHeight="1" r="4" ht="12.75">
      <c s="27" r="A4"/>
      <c s="28" r="B4"/>
      <c s="28" r="C4"/>
      <c s="28" r="D4"/>
      <c s="28" r="E4"/>
      <c s="27" r="F4"/>
    </row>
    <row customHeight="1" r="5" ht="12.75">
      <c s="27" r="A5"/>
      <c s="28" r="B5"/>
      <c t="s" s="30" r="C5">
        <v>43</v>
      </c>
      <c s="31" r="D5">
        <v>20.0</v>
      </c>
      <c s="28" r="E5"/>
      <c s="27" r="F5"/>
    </row>
    <row customHeight="1" r="6" ht="12.75">
      <c s="27" r="A6"/>
      <c s="28" r="B6"/>
      <c t="s" s="30" r="C6">
        <v>44</v>
      </c>
      <c s="31" r="D6">
        <v>20.0</v>
      </c>
      <c s="28" r="E6"/>
      <c s="27" r="F6"/>
    </row>
    <row customHeight="1" r="7" ht="12.75">
      <c s="27" r="A7"/>
      <c s="28" r="B7"/>
      <c t="s" s="30" r="C7">
        <v>45</v>
      </c>
      <c s="32" r="D7">
        <v>12.0</v>
      </c>
      <c s="28" r="E7"/>
      <c s="27" r="F7"/>
    </row>
    <row customHeight="1" r="8" ht="12.75">
      <c s="27" r="A8"/>
      <c s="28" r="B8"/>
      <c t="s" s="30" r="C8">
        <v>46</v>
      </c>
      <c s="32" r="D8">
        <v>365.0</v>
      </c>
      <c s="28" r="E8"/>
      <c s="27" r="F8"/>
    </row>
    <row customHeight="1" r="9" ht="12.75">
      <c s="27" r="A9"/>
      <c s="28" r="B9"/>
      <c t="s" s="33" r="C9">
        <v>47</v>
      </c>
      <c s="31" r="D9">
        <v>16.0</v>
      </c>
      <c s="28" r="E9"/>
      <c s="27" r="F9"/>
    </row>
    <row customHeight="1" r="10" ht="12.75">
      <c s="27" r="A10"/>
      <c s="28" r="B10"/>
      <c t="s" s="33" r="C10">
        <v>48</v>
      </c>
      <c s="31" r="D10">
        <v>8.0</v>
      </c>
      <c s="28" r="E10"/>
      <c s="27" r="F10"/>
    </row>
    <row customHeight="1" r="11" ht="12.75">
      <c s="27" r="A11"/>
      <c s="28" r="B11"/>
      <c t="s" s="34" r="C11">
        <v>49</v>
      </c>
      <c s="35" r="D11">
        <v>8.43</v>
      </c>
      <c s="28" r="E11"/>
      <c s="27" r="F11"/>
    </row>
    <row customHeight="1" r="12" ht="12.75">
      <c s="27" r="A12"/>
      <c s="28" r="B12"/>
      <c t="s" s="34" r="C12">
        <v>50</v>
      </c>
      <c s="36" r="D12">
        <v>0.23</v>
      </c>
      <c s="28" r="E12"/>
      <c s="27" r="F12"/>
    </row>
    <row customHeight="1" r="13" ht="12.75">
      <c s="27" r="A13"/>
      <c s="28" r="B13"/>
      <c t="s" s="34" r="C13">
        <v>51</v>
      </c>
      <c s="37" r="D13">
        <v>0.21</v>
      </c>
      <c s="28" r="E13"/>
      <c s="27" r="F13"/>
    </row>
    <row customHeight="1" r="14" ht="12.75">
      <c s="27" r="A14"/>
      <c s="28" r="B14"/>
      <c t="s" s="34" r="C14">
        <v>52</v>
      </c>
      <c s="37" r="D14">
        <v>0.35</v>
      </c>
      <c s="28" r="E14"/>
      <c s="27" r="F14"/>
    </row>
    <row customHeight="1" r="15" ht="12.75">
      <c s="27" r="A15"/>
      <c s="28" r="B15"/>
      <c t="s" s="34" r="C15">
        <v>53</v>
      </c>
      <c s="38" r="D15">
        <v>0.3</v>
      </c>
      <c s="28" r="E15"/>
      <c s="27" r="F15"/>
    </row>
    <row customHeight="1" r="16" ht="12.75">
      <c s="27" r="A16"/>
      <c s="28" r="B16"/>
      <c s="39" r="C16"/>
      <c s="40" r="D16"/>
      <c s="28" r="E16"/>
      <c s="27" r="F16"/>
    </row>
    <row customHeight="1" r="17" ht="12.75">
      <c s="27" r="A17"/>
      <c s="28" r="B17"/>
      <c s="39" r="C17"/>
      <c s="39" r="D17"/>
      <c s="28" r="E17"/>
      <c s="27" r="F17"/>
    </row>
    <row customHeight="1" r="18" ht="12.75">
      <c s="27" r="A18"/>
      <c s="28" r="B18"/>
      <c t="s" s="41" r="C18">
        <v>54</v>
      </c>
      <c s="42" r="D18"/>
      <c s="28" r="E18"/>
      <c s="27" r="F18"/>
    </row>
    <row customHeight="1" r="19" ht="12.75">
      <c s="27" r="A19"/>
      <c s="28" r="B19"/>
      <c t="s" s="41" r="C19">
        <v>55</v>
      </c>
      <c s="41" r="D19"/>
      <c s="28" r="E19"/>
      <c s="27" r="F19"/>
    </row>
    <row customHeight="1" r="20" ht="12.75">
      <c s="27" r="A20"/>
      <c s="28" r="B20"/>
      <c s="28" r="C20"/>
      <c s="28" r="D20"/>
      <c s="28" r="E20"/>
      <c s="27" r="F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75"/>
  <cols>
    <col min="1" customWidth="1" max="1" width="17.29"/>
    <col min="2" customWidth="1" max="2" width="2.57"/>
    <col min="3" customWidth="1" max="3" width="12.43"/>
    <col min="4" customWidth="1" max="4" width="12.86"/>
    <col min="5" customWidth="1" max="5" width="13.71"/>
    <col min="6" customWidth="1" max="6" width="11.71"/>
    <col min="7" customWidth="1" max="7" width="9.0"/>
    <col min="8" customWidth="1" max="8" width="8.71"/>
    <col min="9" customWidth="1" max="9" width="10.57"/>
    <col min="10" customWidth="1" max="10" width="7.0"/>
    <col min="11" customWidth="1" max="11" width="8.71"/>
    <col min="12" customWidth="1" max="12" width="10.86"/>
    <col min="13" customWidth="1" max="13" width="9.71"/>
    <col min="14" customWidth="1" max="14" width="5.29"/>
    <col min="15" customWidth="1" max="15" width="17.29"/>
  </cols>
  <sheetData>
    <row customHeight="1" r="1" ht="15.75">
      <c s="27" r="A1"/>
      <c s="27" r="B1"/>
      <c s="27" r="C1"/>
      <c s="27" r="D1"/>
      <c s="27" r="E1"/>
      <c s="27" r="F1"/>
      <c s="27" r="G1"/>
      <c s="27" r="H1"/>
      <c s="27" r="I1"/>
      <c s="27" r="J1"/>
      <c s="27" r="K1"/>
      <c s="27" r="L1"/>
      <c s="27" r="M1"/>
      <c s="27" r="N1"/>
      <c s="27" r="O1"/>
    </row>
    <row customHeight="1" r="2" ht="15.75">
      <c s="27" r="A2"/>
      <c s="28" r="B2"/>
      <c s="28" r="C2"/>
      <c s="28" r="D2"/>
      <c s="28" r="E2"/>
      <c s="28" r="F2"/>
      <c s="28" r="G2"/>
      <c s="28" r="H2"/>
      <c s="28" r="I2"/>
      <c s="28" r="J2"/>
      <c s="28" r="K2"/>
      <c s="28" r="L2"/>
      <c s="28" r="M2"/>
      <c s="28" r="N2"/>
      <c s="28" r="O2"/>
    </row>
    <row customHeight="1" r="3" ht="15.75">
      <c s="27" r="A3"/>
      <c s="28" r="B3"/>
      <c t="s" s="29" r="C3">
        <v>56</v>
      </c>
      <c s="28" r="D3"/>
      <c s="28" r="E3"/>
      <c s="28" r="F3"/>
      <c s="28" r="G3"/>
      <c s="28" r="H3"/>
      <c s="28" r="I3"/>
      <c s="28" r="J3"/>
      <c s="28" r="K3"/>
      <c s="28" r="L3"/>
      <c s="28" r="M3"/>
      <c s="28" r="N3"/>
      <c s="28" r="O3"/>
    </row>
    <row customHeight="1" r="4" ht="15.75">
      <c s="27" r="A4"/>
      <c s="28" r="B4"/>
      <c s="28" r="C4"/>
      <c s="28" r="D4"/>
      <c s="28" r="E4"/>
      <c s="28" r="F4"/>
      <c s="28" r="G4"/>
      <c s="28" r="H4"/>
      <c s="28" r="I4"/>
      <c s="28" r="J4"/>
      <c s="28" r="K4"/>
      <c s="28" r="L4"/>
      <c s="28" r="M4"/>
      <c s="28" r="N4"/>
      <c s="28" r="O4"/>
    </row>
    <row customHeight="1" r="5" ht="12.75">
      <c s="27" r="A5"/>
      <c s="28" r="B5"/>
      <c s="28" r="C5"/>
      <c t="s" s="43" r="D5">
        <v>57</v>
      </c>
      <c s="44" r="E5">
        <v>0.9</v>
      </c>
      <c s="45" r="F5">
        <v>0.45</v>
      </c>
      <c s="28" r="G5"/>
      <c s="44" r="H5">
        <v>0.07</v>
      </c>
      <c s="44" r="I5">
        <v>0.93</v>
      </c>
      <c t="s" s="43" r="J5">
        <v>58</v>
      </c>
      <c s="46" r="K5"/>
      <c s="47" r="L5"/>
      <c s="47" r="M5"/>
      <c s="28" r="N5"/>
      <c s="28" r="O5"/>
    </row>
    <row customHeight="1" r="6" ht="27.75">
      <c s="48" r="A6"/>
      <c s="49" r="B6"/>
      <c t="s" s="43" r="C6">
        <v>59</v>
      </c>
      <c t="s" s="43" r="D6">
        <v>60</v>
      </c>
      <c t="s" s="50" r="E6">
        <v>61</v>
      </c>
      <c t="s" s="43" r="F6">
        <v>62</v>
      </c>
      <c t="s" s="51" r="G6">
        <v>63</v>
      </c>
      <c t="s" s="43" r="H6">
        <v>64</v>
      </c>
      <c t="s" s="43" r="I6">
        <v>65</v>
      </c>
      <c t="s" s="43" r="J6">
        <v>66</v>
      </c>
      <c t="s" s="43" r="K6">
        <v>67</v>
      </c>
      <c t="s" s="52" r="L6">
        <v>68</v>
      </c>
      <c t="s" s="43" r="M6">
        <v>69</v>
      </c>
      <c s="49" r="N6"/>
      <c s="49" r="O6"/>
    </row>
    <row customHeight="1" r="7" ht="12.75">
      <c s="27" r="A7"/>
      <c s="28" r="B7"/>
      <c t="s" s="53" r="C7">
        <v>70</v>
      </c>
      <c s="54" r="D7">
        <v>4.0E7</v>
      </c>
      <c t="str" s="55" r="E7">
        <f>+E5*D7</f>
        <v>36.000.000</v>
      </c>
      <c t="str" s="56" r="F7">
        <f>+E7*F5</f>
        <v>16.200.000</v>
      </c>
      <c t="s" s="57" r="G7">
        <v>71</v>
      </c>
      <c s="58" r="H7">
        <v>0.8</v>
      </c>
      <c s="58" r="I7">
        <v>0.7</v>
      </c>
      <c s="59" r="J7">
        <v>1.0</v>
      </c>
      <c t="str" s="60" r="K7">
        <f>+H7*$H$5+$I$5*I7</f>
        <v> $  0,71 </v>
      </c>
      <c s="61" r="L7">
        <v>0.79</v>
      </c>
      <c t="str" s="62" r="M7">
        <f>+L7*$F$7</f>
        <v>  12.798.000 </v>
      </c>
      <c s="28" r="N7"/>
      <c s="28" r="O7"/>
    </row>
    <row customHeight="1" r="8" ht="12.75">
      <c s="27" r="A8"/>
      <c s="28" r="B8"/>
      <c s="28" r="C8"/>
      <c s="28" r="D8"/>
      <c s="28" r="E8"/>
      <c t="s" s="63" r="F8">
        <v>72</v>
      </c>
      <c s="28" r="G8"/>
      <c t="str" s="64" r="H8">
        <f>+H7+H7*Consideraciones!$D$12</f>
        <v> $  0,98 </v>
      </c>
      <c t="str" s="64" r="I8">
        <f>+I7+I7*Consideraciones!$D$12</f>
        <v> $  0,86 </v>
      </c>
      <c s="59" r="J8">
        <v>2.0</v>
      </c>
      <c t="str" s="60" r="K8">
        <f>+H8*$H$5+$I$5*I8</f>
        <v> $  0,87 </v>
      </c>
      <c s="65" r="L8">
        <v>0.83</v>
      </c>
      <c t="str" s="66" r="M8">
        <f>+L8*$F$7</f>
        <v>  13.446.000 </v>
      </c>
      <c t="str" s="67" r="N8">
        <f>+K8/K7-1</f>
        <v>23%</v>
      </c>
      <c s="28" r="O8"/>
    </row>
    <row customHeight="1" r="9" ht="12.75">
      <c s="27" r="A9"/>
      <c s="28" r="B9"/>
      <c s="28" r="C9"/>
      <c s="28" r="D9"/>
      <c s="28" r="E9"/>
      <c t="s" s="68" r="F9">
        <v>73</v>
      </c>
      <c s="28" r="G9"/>
      <c t="str" s="64" r="H9">
        <f>+H8+H8*Consideraciones!$D$12</f>
        <v> $  1,21 </v>
      </c>
      <c t="str" s="64" r="I9">
        <f>+I8+I8*Consideraciones!$D$12</f>
        <v> $  1,06 </v>
      </c>
      <c s="59" r="J9">
        <v>3.0</v>
      </c>
      <c t="str" s="60" r="K9">
        <f>+H9*$H$5+$I$5*I9</f>
        <v> $  1,07 </v>
      </c>
      <c s="65" r="L9">
        <v>0.85</v>
      </c>
      <c t="str" s="62" r="M9">
        <f>+L9*$F$7</f>
        <v>  13.770.000 </v>
      </c>
      <c t="str" s="67" r="N9">
        <f>+K9/K8-1</f>
        <v>23%</v>
      </c>
      <c s="28" r="O9"/>
    </row>
    <row customHeight="1" r="10" ht="12.75">
      <c s="27" r="A10"/>
      <c s="28" r="B10"/>
      <c s="28" r="C10"/>
      <c s="28" r="D10"/>
      <c s="28" r="E10"/>
      <c s="28" r="F10"/>
      <c s="28" r="G10"/>
      <c t="str" s="64" r="H10">
        <f>+H9+H9*Consideraciones!$D$12</f>
        <v> $  1,49 </v>
      </c>
      <c t="str" s="64" r="I10">
        <f>+I9+I9*Consideraciones!$D$12</f>
        <v> $  1,30 </v>
      </c>
      <c s="59" r="J10">
        <v>4.0</v>
      </c>
      <c t="str" s="60" r="K10">
        <f>+H10*$H$5+$I$5*I10</f>
        <v> $  1,32 </v>
      </c>
      <c s="65" r="L10">
        <v>0.86</v>
      </c>
      <c t="str" s="62" r="M10">
        <f>+L10*$F$7</f>
        <v>  13.932.000 </v>
      </c>
      <c t="str" s="67" r="N10">
        <f>+K10/K9-1</f>
        <v>23%</v>
      </c>
      <c s="28" r="O10"/>
    </row>
    <row customHeight="1" r="11" ht="12.75">
      <c s="27" r="A11"/>
      <c s="28" r="B11"/>
      <c s="28" r="C11"/>
      <c s="28" r="D11"/>
      <c s="28" r="E11"/>
      <c s="28" r="F11"/>
      <c s="28" r="G11"/>
      <c t="str" s="64" r="H11">
        <f>+H10+H10*Consideraciones!$D$12</f>
        <v> $  1,83 </v>
      </c>
      <c t="str" s="64" r="I11">
        <f>+I10+I10*Consideraciones!$D$12</f>
        <v> $  1,60 </v>
      </c>
      <c s="59" r="J11">
        <v>5.0</v>
      </c>
      <c t="str" s="60" r="K11">
        <f>+H11*$H$5+$I$5*I11</f>
        <v> $  1,62 </v>
      </c>
      <c s="69" r="L11">
        <v>0.87</v>
      </c>
      <c t="str" s="62" r="M11">
        <f>+L11*$F$7</f>
        <v>  14.094.000 </v>
      </c>
      <c t="str" s="67" r="N11">
        <f>+K11/K10-1</f>
        <v>23%</v>
      </c>
      <c s="28" r="O11"/>
    </row>
    <row customHeight="1" r="12" ht="12.75">
      <c s="27" r="A12"/>
      <c s="28" r="B12"/>
      <c s="28" r="C12"/>
      <c s="28" r="D12"/>
      <c s="28" r="E12"/>
      <c s="28" r="F12"/>
      <c s="28" r="G12"/>
      <c s="28" r="H12"/>
      <c s="28" r="I12"/>
      <c s="28" r="J12"/>
      <c s="28" r="K12"/>
      <c t="s" s="70" r="L12">
        <v>74</v>
      </c>
      <c t="str" s="71" r="M12">
        <f>+AVERAGE(M7:M11)</f>
        <v>  13.608.000 </v>
      </c>
      <c s="28" r="N12"/>
      <c s="28" r="O12"/>
    </row>
    <row customHeight="1" r="13" ht="12.75">
      <c s="27" r="A13"/>
      <c s="28" r="B13"/>
      <c s="28" r="C13"/>
      <c s="28" r="D13"/>
      <c s="28" r="E13"/>
      <c s="28" r="F13"/>
      <c s="28" r="G13"/>
      <c s="28" r="H13"/>
      <c s="28" r="I13"/>
      <c s="28" r="J13"/>
      <c s="28" r="K13"/>
      <c s="28" r="L13"/>
      <c s="28" r="M13"/>
      <c s="28" r="N13"/>
      <c s="28" r="O13"/>
    </row>
    <row customHeight="1" r="14" ht="18.0">
      <c s="27" r="A14"/>
      <c s="28" r="B14"/>
      <c s="28" r="C14"/>
      <c s="28" r="D14"/>
      <c s="28" r="E14"/>
      <c s="28" r="F14"/>
      <c s="28" r="G14"/>
      <c s="28" r="H14"/>
      <c s="28" r="I14"/>
      <c s="28" r="J14"/>
      <c s="28" r="K14"/>
      <c s="28" r="L14"/>
      <c s="28" r="M14"/>
      <c s="28" r="N14"/>
      <c s="28" r="O14"/>
    </row>
    <row customHeight="1" r="15" ht="18.0">
      <c s="27" r="A15"/>
      <c s="28" r="B15"/>
      <c s="28" r="C15"/>
      <c s="28" r="D15"/>
      <c s="28" r="E15"/>
      <c s="28" r="F15"/>
      <c s="28" r="G15"/>
      <c s="28" r="H15"/>
      <c s="28" r="I15"/>
      <c s="28" r="J15"/>
      <c s="28" r="K15"/>
      <c s="28" r="L15"/>
      <c s="28" r="M15"/>
      <c s="28" r="N15"/>
      <c s="28" r="O15"/>
    </row>
    <row customHeight="1" r="16" ht="18.0">
      <c s="27" r="A16"/>
      <c s="28" r="B16"/>
      <c s="28" r="C16"/>
      <c s="28" r="D16"/>
      <c s="28" r="E16"/>
      <c s="28" r="F16"/>
      <c s="28" r="G16"/>
      <c s="28" r="H16"/>
      <c s="28" r="I16"/>
      <c s="28" r="J16"/>
      <c s="28" r="K16"/>
      <c s="28" r="L16"/>
      <c s="28" r="M16"/>
      <c s="28" r="N16"/>
      <c s="28" r="O16"/>
    </row>
    <row customHeight="1" r="17" ht="18.0">
      <c s="27" r="A17"/>
      <c s="28" r="B17"/>
      <c s="28" r="C17"/>
      <c s="28" r="D17"/>
      <c s="28" r="E17"/>
      <c s="28" r="F17"/>
      <c s="28" r="G17"/>
      <c s="28" r="H17"/>
      <c s="28" r="I17"/>
      <c s="28" r="J17"/>
      <c s="28" r="K17"/>
      <c s="28" r="L17"/>
      <c s="28" r="M17"/>
      <c s="28" r="N17"/>
      <c s="28" r="O17"/>
    </row>
    <row customHeight="1" r="18" ht="18.0">
      <c s="27" r="A18"/>
      <c s="28" r="B18"/>
      <c s="28" r="C18"/>
      <c s="28" r="D18"/>
      <c s="28" r="E18"/>
      <c s="28" r="F18"/>
      <c s="28" r="G18"/>
      <c s="28" r="H18"/>
      <c s="28" r="I18"/>
      <c s="28" r="J18"/>
      <c s="28" r="K18"/>
      <c s="28" r="L18"/>
      <c s="28" r="M18"/>
      <c s="28" r="N18"/>
      <c s="28" r="O18"/>
    </row>
    <row customHeight="1" r="19" ht="18.0">
      <c s="27" r="A19"/>
      <c s="28" r="B19"/>
      <c s="28" r="C19"/>
      <c s="28" r="D19"/>
      <c s="28" r="E19"/>
      <c s="28" r="F19"/>
      <c s="28" r="G19"/>
      <c s="28" r="H19"/>
      <c s="28" r="I19"/>
      <c s="28" r="J19"/>
      <c s="28" r="K19"/>
      <c s="28" r="L19"/>
      <c s="28" r="M19"/>
      <c s="28" r="N19"/>
      <c s="28" r="O19"/>
    </row>
    <row customHeight="1" r="20" ht="18.0">
      <c s="27" r="A20"/>
      <c s="28" r="B20"/>
      <c s="28" r="C20"/>
      <c s="28" r="D20"/>
      <c s="28" r="E20"/>
      <c s="28" r="F20"/>
      <c s="28" r="G20"/>
      <c s="28" r="H20"/>
      <c s="28" r="I20"/>
      <c s="28" r="J20"/>
      <c s="28" r="K20"/>
      <c s="28" r="L20"/>
      <c s="28" r="M20"/>
      <c s="28" r="N20"/>
      <c s="28" r="O20"/>
    </row>
    <row customHeight="1" r="21" ht="18.0">
      <c s="27" r="A21"/>
      <c s="28" r="B21"/>
      <c s="28" r="C21"/>
      <c s="28" r="D21"/>
      <c s="28" r="E21"/>
      <c s="28" r="F21"/>
      <c s="28" r="G21"/>
      <c s="28" r="H21"/>
      <c s="28" r="I21"/>
      <c s="28" r="J21"/>
      <c s="28" r="K21"/>
      <c s="28" r="L21"/>
      <c s="28" r="M21"/>
      <c s="28" r="N21"/>
      <c s="28" r="O21"/>
    </row>
    <row customHeight="1" r="22" ht="18.0">
      <c s="27" r="A22"/>
      <c s="28" r="B22"/>
      <c s="28" r="C22"/>
      <c s="28" r="D22"/>
      <c s="28" r="E22"/>
      <c s="28" r="F22"/>
      <c s="28" r="G22"/>
      <c s="28" r="H22"/>
      <c s="28" r="I22"/>
      <c s="28" r="J22"/>
      <c s="28" r="K22"/>
      <c s="28" r="L22"/>
      <c s="28" r="M22"/>
      <c s="28" r="N22"/>
      <c s="28" r="O22"/>
    </row>
    <row customHeight="1" r="23" ht="15.75">
      <c s="27" r="A23"/>
      <c s="28" r="B23"/>
      <c s="28" r="C23"/>
      <c s="28" r="D23"/>
      <c s="28" r="E23"/>
      <c s="28" r="F23"/>
      <c s="28" r="G23"/>
      <c s="28" r="H23"/>
      <c s="28" r="I23"/>
      <c s="28" r="J23"/>
      <c s="28" r="K23"/>
      <c s="28" r="L23"/>
      <c s="28" r="M23"/>
      <c s="28" r="N23"/>
      <c s="28" r="O23"/>
    </row>
    <row customHeight="1" r="24" ht="15.75">
      <c s="27" r="A24"/>
      <c s="28" r="B24"/>
      <c s="28" r="C24"/>
      <c s="28" r="D24"/>
      <c s="28" r="E24"/>
      <c s="28" r="F24"/>
      <c s="28" r="G24"/>
      <c s="28" r="H24"/>
      <c s="28" r="I24"/>
      <c s="28" r="J24"/>
      <c s="28" r="K24"/>
      <c s="28" r="L24"/>
      <c s="28" r="M24"/>
      <c s="28" r="N24"/>
      <c s="28" r="O24"/>
    </row>
    <row customHeight="1" r="25" ht="15.75">
      <c s="27" r="A25"/>
      <c s="28" r="B25"/>
      <c s="28" r="C25"/>
      <c s="28" r="D25"/>
      <c s="28" r="E25"/>
      <c s="28" r="F25"/>
      <c s="28" r="G25"/>
      <c s="28" r="H25"/>
      <c s="28" r="I25"/>
      <c s="28" r="J25"/>
      <c s="28" r="K25"/>
      <c s="28" r="L25"/>
      <c s="28" r="M25"/>
      <c s="28" r="N25"/>
      <c s="28" r="O25"/>
    </row>
    <row customHeight="1" r="26" ht="15.75">
      <c s="27" r="A26"/>
      <c s="28" r="B26"/>
      <c s="28" r="C26"/>
      <c s="28" r="D26"/>
      <c s="28" r="E26"/>
      <c s="28" r="F26"/>
      <c s="28" r="G26"/>
      <c s="28" r="H26"/>
      <c s="28" r="I26"/>
      <c s="28" r="J26"/>
      <c s="28" r="K26"/>
      <c s="28" r="L26"/>
      <c s="28" r="M26"/>
      <c s="28" r="N26"/>
      <c s="28" r="O26"/>
    </row>
    <row customHeight="1" r="27" ht="15.75">
      <c s="27" r="A27"/>
      <c s="28" r="B27"/>
      <c s="28" r="C27"/>
      <c s="28" r="D27"/>
      <c s="28" r="E27"/>
      <c s="28" r="F27"/>
      <c s="28" r="G27"/>
      <c s="28" r="H27"/>
      <c s="28" r="I27"/>
      <c s="28" r="J27"/>
      <c s="28" r="K27"/>
      <c s="28" r="L27"/>
      <c s="28" r="M27"/>
      <c s="28" r="N27"/>
      <c s="28" r="O27"/>
    </row>
    <row customHeight="1" r="28" ht="15.75">
      <c s="27" r="A28"/>
      <c s="28" r="B28"/>
      <c s="28" r="C28"/>
      <c s="28" r="D28"/>
      <c s="28" r="E28"/>
      <c s="28" r="F28"/>
      <c s="28" r="G28"/>
      <c s="28" r="H28"/>
      <c s="28" r="I28"/>
      <c s="28" r="J28"/>
      <c s="28" r="K28"/>
      <c s="28" r="L28"/>
      <c s="28" r="M28"/>
      <c s="28" r="N28"/>
      <c s="28" r="O28"/>
    </row>
    <row customHeight="1" r="29" ht="15.75">
      <c s="27" r="A29"/>
      <c s="28" r="B29"/>
      <c s="28" r="C29"/>
      <c s="28" r="D29"/>
      <c s="28" r="E29"/>
      <c s="28" r="F29"/>
      <c s="28" r="G29"/>
      <c s="28" r="H29"/>
      <c s="28" r="I29"/>
      <c s="28" r="J29"/>
      <c s="28" r="K29"/>
      <c s="28" r="L29"/>
      <c s="28" r="M29"/>
      <c s="28" r="N29"/>
      <c s="28" r="O29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75"/>
  <cols>
    <col min="1" customWidth="1" max="1" width="1.86"/>
    <col min="2" customWidth="1" max="2" width="3.43"/>
    <col min="3" customWidth="1" max="3" width="36.71"/>
    <col min="4" customWidth="1" max="4" width="12.57"/>
    <col min="5" customWidth="1" max="5" width="12.14"/>
    <col min="6" customWidth="1" max="6" width="14.57"/>
    <col min="7" customWidth="1" max="7" width="10.14"/>
    <col min="8" customWidth="1" max="8" width="1.71"/>
    <col min="9" customWidth="1" max="9" width="30.86"/>
    <col min="10" customWidth="1" max="10" width="10.14"/>
    <col min="11" customWidth="1" max="11" width="14.86"/>
    <col min="12" customWidth="1" max="12" width="18.14"/>
    <col min="13" customWidth="1" max="13" width="17.29"/>
  </cols>
  <sheetData>
    <row customHeight="1" r="1" ht="15.75">
      <c s="72" r="A1"/>
      <c s="72" r="B1"/>
      <c s="72" r="C1"/>
      <c s="72" r="D1"/>
      <c s="72" r="E1"/>
      <c s="72" r="F1"/>
      <c s="72" r="G1"/>
      <c s="72" r="H1"/>
      <c s="72" r="I1"/>
      <c s="72" r="J1"/>
      <c s="72" r="K1"/>
      <c s="72" r="L1"/>
      <c s="72" r="M1"/>
    </row>
    <row customHeight="1" r="2" ht="14.25">
      <c s="72" r="A2"/>
      <c s="28" r="B2"/>
      <c s="39" r="C2"/>
      <c s="39" r="D2"/>
      <c s="39" r="E2"/>
      <c s="39" r="F2"/>
      <c s="39" r="G2"/>
      <c s="39" r="H2"/>
      <c s="39" r="I2"/>
      <c s="39" r="J2"/>
      <c s="39" r="K2"/>
      <c s="39" r="L2"/>
      <c s="39" r="M2"/>
    </row>
    <row customHeight="1" r="3" ht="18.75">
      <c s="72" r="A3"/>
      <c s="28" r="B3"/>
      <c t="s" s="73" r="C3">
        <v>75</v>
      </c>
      <c s="28" r="D3"/>
      <c s="39" r="E3"/>
      <c s="39" r="F3"/>
      <c s="39" r="G3"/>
      <c s="39" r="H3"/>
      <c s="39" r="I3"/>
      <c s="39" r="J3"/>
      <c s="39" r="K3"/>
      <c s="39" r="L3"/>
      <c s="39" r="M3"/>
    </row>
    <row customHeight="1" r="4" ht="18.75">
      <c s="72" r="A4"/>
      <c s="28" r="B4"/>
      <c s="73" r="C4"/>
      <c s="28" r="D4"/>
      <c s="39" r="E4"/>
      <c s="39" r="F4"/>
      <c s="39" r="G4"/>
      <c s="39" r="H4"/>
      <c s="39" r="I4"/>
      <c s="39" r="J4"/>
      <c s="39" r="K4"/>
      <c s="39" r="L4"/>
      <c s="39" r="M4"/>
    </row>
    <row customHeight="1" r="5" ht="14.25">
      <c s="72" r="A5"/>
      <c s="28" r="B5"/>
      <c t="s" s="74" r="C5">
        <v>76</v>
      </c>
      <c s="75" r="D5"/>
      <c s="39" r="E5"/>
      <c s="39" r="F5"/>
      <c s="39" r="G5"/>
      <c s="39" r="H5"/>
      <c t="s" s="74" r="I5">
        <v>77</v>
      </c>
      <c s="39" r="J5"/>
      <c s="39" r="K5"/>
      <c s="39" r="L5"/>
      <c s="39" r="M5"/>
    </row>
    <row customHeight="1" r="6" ht="22.5">
      <c s="72" r="A6"/>
      <c s="28" r="B6"/>
      <c t="s" s="76" r="C6">
        <v>78</v>
      </c>
      <c t="s" s="43" r="D6">
        <v>79</v>
      </c>
      <c t="s" s="43" r="E6">
        <v>80</v>
      </c>
      <c t="s" s="43" r="F6">
        <v>81</v>
      </c>
      <c s="39" r="G6"/>
      <c s="39" r="H6"/>
      <c t="s" s="76" r="I6">
        <v>82</v>
      </c>
      <c t="s" s="43" r="J6">
        <v>83</v>
      </c>
      <c s="39" r="K6"/>
      <c s="39" r="L6"/>
      <c s="39" r="M6"/>
    </row>
    <row customHeight="1" r="7" ht="13.5">
      <c s="72" r="A7"/>
      <c s="28" r="B7"/>
      <c t="s" s="77" r="C7">
        <v>84</v>
      </c>
      <c s="78" r="D7">
        <v>5464.0</v>
      </c>
      <c s="79" r="E7">
        <v>2.0</v>
      </c>
      <c t="str" s="80" r="F7">
        <f>D7*E7</f>
        <v> $  10.928,00 </v>
      </c>
      <c s="39" r="G7"/>
      <c s="39" r="H7"/>
      <c t="s" s="77" r="I7">
        <v>85</v>
      </c>
      <c s="81" r="J7">
        <v>40.0</v>
      </c>
      <c s="82" r="K7"/>
      <c s="83" r="L7"/>
      <c s="84" r="M7"/>
    </row>
    <row customHeight="1" r="8" ht="13.5">
      <c s="72" r="A8"/>
      <c s="28" r="B8"/>
      <c t="s" s="77" r="C8">
        <v>86</v>
      </c>
      <c s="78" r="D8">
        <v>4035.2</v>
      </c>
      <c s="79" r="E8">
        <v>2.0</v>
      </c>
      <c t="str" s="80" r="F8">
        <f>D8*E8</f>
        <v> $  8.070,40 </v>
      </c>
      <c s="39" r="G8"/>
      <c s="39" r="H8"/>
      <c s="85" r="I8"/>
      <c s="86" r="J8"/>
      <c s="87" r="K8"/>
      <c s="39" r="L8"/>
      <c s="88" r="M8"/>
    </row>
    <row customHeight="1" r="9" ht="13.5">
      <c s="72" r="A9"/>
      <c s="28" r="B9"/>
      <c t="s" s="77" r="C9">
        <v>87</v>
      </c>
      <c s="78" r="D9">
        <v>3902.4</v>
      </c>
      <c s="79" r="E9">
        <v>18.0</v>
      </c>
      <c t="str" s="80" r="F9">
        <f>D9*E9</f>
        <v> $  70.243,20 </v>
      </c>
      <c s="39" r="G9"/>
      <c s="39" r="H9"/>
      <c s="89" r="I9"/>
      <c s="86" r="J9"/>
      <c s="39" r="K9"/>
      <c s="90" r="L9">
        <v>2.5E-4</v>
      </c>
      <c s="91" r="M9"/>
    </row>
    <row customHeight="1" r="10" ht="13.5">
      <c s="72" r="A10"/>
      <c s="28" r="B10"/>
      <c s="92" r="C10"/>
      <c s="93" r="D10"/>
      <c s="41" r="E10"/>
      <c t="str" s="80" r="F10">
        <f>D10*E10</f>
        <v> $  -   </v>
      </c>
      <c s="39" r="G10"/>
      <c s="39" r="H10"/>
      <c s="89" r="I10"/>
      <c s="86" r="J10"/>
      <c s="39" r="K10"/>
      <c s="39" r="L10"/>
      <c s="39" r="M10"/>
    </row>
    <row customHeight="1" r="11" ht="13.5">
      <c s="72" r="A11"/>
      <c s="28" r="B11"/>
      <c s="92" r="C11"/>
      <c s="94" r="D11"/>
      <c s="95" r="E11"/>
      <c t="str" s="96" r="F11">
        <f>D11*E11</f>
        <v> $  -   </v>
      </c>
      <c s="39" r="G11"/>
      <c s="39" r="H11"/>
      <c s="89" r="I11"/>
      <c s="86" r="J11"/>
      <c s="39" r="K11"/>
      <c s="39" r="L11"/>
      <c s="39" r="M11"/>
    </row>
    <row customHeight="1" r="12" ht="13.5">
      <c s="72" r="A12"/>
      <c s="28" r="B12"/>
      <c t="s" s="97" r="C12">
        <v>88</v>
      </c>
      <c s="98" r="D12"/>
      <c t="str" s="99" r="E12">
        <f>SUM(E7:E11)</f>
        <v>22</v>
      </c>
      <c t="str" s="100" r="F12">
        <f>SUM(F7:F11)</f>
        <v> $  89.241,60 </v>
      </c>
      <c s="39" r="G12"/>
      <c s="39" r="H12"/>
      <c s="39" r="I12"/>
      <c s="39" r="J12"/>
      <c s="39" r="K12"/>
      <c s="39" r="L12"/>
      <c s="39" r="M12"/>
    </row>
    <row customHeight="1" r="13" ht="13.5">
      <c s="72" r="A13"/>
      <c s="28" r="B13"/>
      <c t="s" s="97" r="C13">
        <v>89</v>
      </c>
      <c s="101" r="D13"/>
      <c s="102" r="E13"/>
      <c t="str" s="103" r="F13">
        <f>12*F12</f>
        <v> $  1.070.899,20 </v>
      </c>
      <c s="39" r="G13"/>
      <c s="39" r="H13"/>
      <c s="28" r="I13"/>
      <c s="39" r="J13"/>
      <c s="39" r="K13"/>
      <c s="39" r="L13"/>
      <c s="39" r="M13"/>
    </row>
    <row customHeight="1" r="14" ht="13.5">
      <c s="72" r="A14"/>
      <c s="28" r="B14"/>
      <c s="39" r="C14"/>
      <c s="39" r="D14"/>
      <c s="39" r="E14"/>
      <c s="39" r="F14"/>
      <c s="39" r="G14"/>
      <c s="39" r="H14"/>
      <c t="s" s="74" r="I14">
        <v>90</v>
      </c>
      <c t="s" s="43" r="J14">
        <v>91</v>
      </c>
      <c t="s" s="43" r="K14">
        <v>92</v>
      </c>
      <c t="s" s="43" r="L14">
        <v>93</v>
      </c>
      <c s="39" r="M14"/>
    </row>
    <row customHeight="1" r="15" ht="13.5">
      <c s="72" r="A15"/>
      <c s="28" r="B15"/>
      <c t="s" s="97" r="C15">
        <v>94</v>
      </c>
      <c s="101" r="D15"/>
      <c s="102" r="E15"/>
      <c t="str" s="103" r="F15">
        <f>F12</f>
        <v> $  89.241,60 </v>
      </c>
      <c s="39" r="G15"/>
      <c s="39" r="H15"/>
      <c t="str" s="104" r="I15">
        <f>+I7</f>
        <v>Tronco de madera</v>
      </c>
      <c s="79" r="J15">
        <v>2.5E-4</v>
      </c>
      <c t="str" s="105" r="K15">
        <f>+J7</f>
        <v> $  40,00 </v>
      </c>
      <c t="str" s="105" r="L15">
        <f>J15*K15</f>
        <v> $  0,01 </v>
      </c>
      <c s="39" r="M15"/>
    </row>
    <row customHeight="1" r="16" ht="13.5">
      <c s="72" r="A16"/>
      <c s="28" r="B16"/>
      <c s="39" r="C16"/>
      <c s="39" r="D16"/>
      <c s="39" r="E16"/>
      <c s="39" r="F16"/>
      <c s="39" r="G16"/>
      <c s="39" r="H16"/>
      <c t="str" s="106" r="I16">
        <f>+I8</f>
        <v/>
      </c>
      <c s="41" r="J16"/>
      <c t="str" s="105" r="K16">
        <f>+J8</f>
        <v/>
      </c>
      <c t="str" s="64" r="L16">
        <f>J16*K16</f>
        <v> $  -   </v>
      </c>
      <c s="39" r="M16"/>
    </row>
    <row customHeight="1" r="17" ht="13.5">
      <c s="72" r="A17"/>
      <c s="28" r="B17"/>
      <c t="s" s="97" r="C17">
        <v>95</v>
      </c>
      <c s="101" r="D17"/>
      <c s="102" r="E17"/>
      <c t="str" s="103" r="F17">
        <f>Consideraciones!$D$15*(F13+F15)</f>
        <v> $  348.042,24 </v>
      </c>
      <c s="39" r="G17"/>
      <c s="39" r="H17"/>
      <c t="str" s="104" r="I17">
        <f>+I9</f>
        <v/>
      </c>
      <c s="107" r="J17"/>
      <c t="str" s="105" r="K17">
        <f>+J9</f>
        <v/>
      </c>
      <c t="str" s="64" r="L17">
        <f>J17*K17</f>
        <v> $  -   </v>
      </c>
      <c s="39" r="M17"/>
    </row>
    <row customHeight="1" r="18" ht="13.5">
      <c s="72" r="A18"/>
      <c s="28" r="B18"/>
      <c s="39" r="C18"/>
      <c s="39" r="D18"/>
      <c s="39" r="E18"/>
      <c s="39" r="F18"/>
      <c s="39" r="G18"/>
      <c s="39" r="H18"/>
      <c t="str" s="104" r="I18">
        <f>+I10</f>
        <v/>
      </c>
      <c s="41" r="J18"/>
      <c t="str" s="105" r="K18">
        <f>+J10</f>
        <v/>
      </c>
      <c t="str" s="64" r="L18">
        <f>J18*K18</f>
        <v> $  -   </v>
      </c>
      <c s="39" r="M18"/>
    </row>
    <row customHeight="1" r="19" ht="13.5">
      <c s="72" r="A19"/>
      <c s="28" r="B19"/>
      <c t="s" s="74" r="C19">
        <v>96</v>
      </c>
      <c s="39" r="D19"/>
      <c s="39" r="E19"/>
      <c s="39" r="F19"/>
      <c s="39" r="G19"/>
      <c s="39" r="H19"/>
      <c t="str" s="104" r="I19">
        <f>+I11</f>
        <v/>
      </c>
      <c s="41" r="J19"/>
      <c t="str" s="105" r="K19">
        <f>+J11</f>
        <v/>
      </c>
      <c t="str" s="64" r="L19">
        <f>J19*K19</f>
        <v> $  -   </v>
      </c>
      <c s="39" r="M19"/>
    </row>
    <row customHeight="1" r="20" ht="13.5">
      <c s="72" r="A20"/>
      <c s="28" r="B20"/>
      <c t="s" s="108" r="C20">
        <v>97</v>
      </c>
      <c s="109" r="D20"/>
      <c s="110" r="E20"/>
      <c s="35" r="F20">
        <v>30.0</v>
      </c>
      <c s="39" r="G20"/>
      <c s="39" r="H20"/>
      <c s="39" r="I20"/>
      <c s="39" r="J20"/>
      <c s="39" r="K20"/>
      <c s="39" r="L20"/>
      <c s="39" r="M20"/>
    </row>
    <row customHeight="1" r="21" ht="13.5">
      <c s="72" r="A21"/>
      <c s="28" r="B21"/>
      <c t="s" s="108" r="C21">
        <v>98</v>
      </c>
      <c s="109" r="D21"/>
      <c s="110" r="E21"/>
      <c t="str" s="111" r="F21">
        <f>+E12</f>
        <v>22 </v>
      </c>
      <c t="s" s="112" r="G21">
        <v>99</v>
      </c>
      <c s="112" r="H21"/>
      <c t="s" s="97" r="I21">
        <v>100</v>
      </c>
      <c s="101" r="J21"/>
      <c s="102" r="K21"/>
      <c t="str" s="103" r="L21">
        <f>SUM(L15:L19)</f>
        <v> $  0,01 </v>
      </c>
      <c s="39" r="M21"/>
    </row>
    <row customHeight="1" r="22" ht="13.5">
      <c s="72" r="A22"/>
      <c s="28" r="B22"/>
      <c t="s" s="108" r="C22">
        <v>101</v>
      </c>
      <c s="109" r="D22"/>
      <c s="110" r="E22"/>
      <c t="str" s="111" r="F22">
        <f>+Consideraciones!D5</f>
        <v>20 </v>
      </c>
      <c t="s" s="112" r="G22">
        <v>102</v>
      </c>
      <c s="112" r="H22"/>
      <c t="s" s="97" r="I22">
        <v>103</v>
      </c>
      <c s="101" r="J22"/>
      <c s="113" r="K22"/>
      <c t="str" s="114" r="L22">
        <f>Mercado!F7</f>
        <v>  16.200.000,00 </v>
      </c>
      <c s="39" r="M22"/>
    </row>
    <row customHeight="1" r="23" ht="13.5">
      <c s="72" r="A23"/>
      <c s="28" r="B23"/>
      <c t="s" s="108" r="C23">
        <v>104</v>
      </c>
      <c s="109" r="D23"/>
      <c s="110" r="E23"/>
      <c t="str" s="111" r="F23">
        <f>+Consideraciones!D7</f>
        <v>12 </v>
      </c>
      <c t="s" s="112" r="G23">
        <v>105</v>
      </c>
      <c s="112" r="H23"/>
      <c t="s" s="97" r="I23">
        <v>106</v>
      </c>
      <c s="101" r="J23"/>
      <c s="102" r="K23"/>
      <c t="str" s="103" r="L23">
        <f>+L22*L21</f>
        <v> $  162.000,00 </v>
      </c>
      <c s="39" r="M23"/>
    </row>
    <row customHeight="1" r="24" ht="13.5">
      <c s="72" r="A24"/>
      <c s="28" r="B24"/>
      <c t="s" s="97" r="C24">
        <v>107</v>
      </c>
      <c s="101" r="D24"/>
      <c s="102" r="E24"/>
      <c t="str" s="103" r="F24">
        <f>+F20*F21*F22*F23</f>
        <v> $  158.400,00 </v>
      </c>
      <c s="39" r="G24"/>
      <c s="39" r="H24"/>
      <c s="39" r="I24"/>
      <c s="115" r="J24"/>
      <c s="115" r="K24"/>
      <c s="115" r="L24"/>
      <c s="39" r="M24"/>
    </row>
    <row customHeight="1" r="25" ht="13.5">
      <c s="72" r="A25"/>
      <c s="28" r="B25"/>
      <c s="39" r="C25"/>
      <c s="39" r="D25"/>
      <c s="39" r="E25"/>
      <c s="39" r="F25"/>
      <c s="39" r="G25"/>
      <c s="39" r="H25"/>
      <c t="s" s="116" r="I25">
        <v>108</v>
      </c>
      <c s="117" r="J25"/>
      <c s="118" r="K25"/>
      <c t="str" s="119" r="L25">
        <f>+L23+F26</f>
        <v> $  1.828.583,04 </v>
      </c>
      <c s="39" r="M25"/>
    </row>
    <row customHeight="1" r="26" ht="13.5">
      <c s="72" r="A26"/>
      <c s="28" r="B26"/>
      <c t="s" s="97" r="C26">
        <v>109</v>
      </c>
      <c s="101" r="D26"/>
      <c s="102" r="E26"/>
      <c t="str" s="103" r="F26">
        <f>+F24+F17+F15+F13</f>
        <v> $  1.666.583,04 </v>
      </c>
      <c s="39" r="G26"/>
      <c s="39" r="H26"/>
      <c t="s" s="116" r="I26">
        <v>110</v>
      </c>
      <c s="117" r="J26"/>
      <c s="118" r="K26"/>
      <c t="str" s="119" r="L26">
        <f>+L25/L22</f>
        <v> $  0,11 </v>
      </c>
      <c s="39" r="M26"/>
    </row>
    <row customHeight="1" r="27" ht="13.5">
      <c s="72" r="A27"/>
      <c s="28" r="B27"/>
      <c t="s" s="97" r="C27">
        <v>111</v>
      </c>
      <c s="101" r="D27"/>
      <c s="102" r="E27"/>
      <c t="str" s="103" r="F27">
        <f>F26/Mercado!F7</f>
        <v> $  0,10 </v>
      </c>
      <c t="s" s="112" r="G27">
        <v>112</v>
      </c>
      <c s="112" r="H27"/>
      <c t="s" s="116" r="I27">
        <v>113</v>
      </c>
      <c s="117" r="J27"/>
      <c s="118" r="K27"/>
      <c t="str" s="120" r="L27">
        <f>+L26/Mercado!K7</f>
        <v>15,97%</v>
      </c>
      <c s="39" r="M27"/>
    </row>
    <row customHeight="1" r="28" ht="13.5">
      <c s="72" r="A28"/>
      <c s="28" r="B28"/>
      <c s="39" r="C28"/>
      <c s="39" r="D28"/>
      <c s="39" r="E28"/>
      <c s="39" r="F28"/>
      <c s="39" r="G28"/>
      <c s="39" r="H28"/>
      <c s="28" r="I28"/>
      <c s="28" r="J28"/>
      <c s="28" r="K28"/>
      <c s="28" r="L28"/>
      <c s="39" r="M28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75"/>
  <cols>
    <col min="1" customWidth="1" max="1" width="5.57"/>
    <col min="2" customWidth="1" max="2" width="3.43"/>
    <col min="3" customWidth="1" max="3" width="36.71"/>
    <col min="4" customWidth="1" max="4" width="11.86"/>
    <col min="5" customWidth="1" max="5" width="12.71"/>
    <col min="6" customWidth="1" max="6" width="13.57"/>
    <col min="7" customWidth="1" max="7" width="12.14"/>
    <col min="8" customWidth="1" max="8" width="22.43"/>
    <col min="9" customWidth="1" max="9" width="18.71"/>
    <col min="10" customWidth="1" max="10" width="12.14"/>
    <col min="11" customWidth="1" max="11" width="13.57"/>
    <col min="12" customWidth="1" max="12" width="17.29"/>
  </cols>
  <sheetData>
    <row customHeight="1" r="1" ht="15.75">
      <c s="27" r="A1"/>
      <c s="27" r="B1"/>
      <c s="27" r="C1"/>
      <c s="27" r="D1"/>
      <c s="27" r="E1"/>
      <c s="27" r="F1"/>
      <c s="27" r="G1"/>
      <c s="27" r="H1"/>
      <c s="27" r="I1"/>
      <c s="27" r="J1"/>
      <c s="27" r="K1"/>
      <c s="27" r="L1"/>
    </row>
    <row customHeight="1" r="2" ht="15.75">
      <c s="27" r="A2"/>
      <c s="28" r="B2"/>
      <c s="28" r="C2"/>
      <c s="28" r="D2"/>
      <c s="28" r="E2"/>
      <c s="28" r="F2"/>
      <c s="28" r="G2"/>
      <c s="28" r="H2"/>
      <c s="28" r="I2"/>
      <c s="28" r="J2"/>
      <c s="28" r="K2"/>
      <c s="28" r="L2"/>
    </row>
    <row customHeight="1" r="3" ht="15.75">
      <c s="27" r="A3"/>
      <c s="28" r="B3"/>
      <c t="s" s="73" r="C3">
        <v>114</v>
      </c>
      <c s="28" r="D3"/>
      <c s="28" r="E3"/>
      <c s="28" r="F3"/>
      <c s="28" r="G3"/>
      <c s="28" r="H3"/>
      <c s="28" r="I3"/>
      <c s="28" r="J3"/>
      <c s="28" r="K3"/>
      <c s="28" r="L3"/>
    </row>
    <row customHeight="1" r="4" ht="15.75">
      <c s="27" r="A4"/>
      <c s="28" r="B4"/>
      <c s="73" r="C4"/>
      <c s="28" r="D4"/>
      <c s="28" r="E4"/>
      <c s="28" r="F4"/>
      <c s="28" r="G4"/>
      <c s="28" r="H4"/>
      <c s="28" r="I4"/>
      <c s="28" r="J4"/>
      <c s="28" r="K4"/>
      <c s="28" r="L4"/>
    </row>
    <row customHeight="1" r="5" ht="15.75">
      <c s="27" r="A5"/>
      <c s="28" r="B5"/>
      <c t="s" s="74" r="C5">
        <v>115</v>
      </c>
      <c s="28" r="D5"/>
      <c s="28" r="E5"/>
      <c s="28" r="F5"/>
      <c s="28" r="G5"/>
      <c t="s" s="74" r="H5">
        <v>116</v>
      </c>
      <c s="28" r="I5"/>
      <c s="39" r="J5"/>
      <c s="39" r="K5"/>
      <c s="28" r="L5"/>
    </row>
    <row customHeight="1" r="6" ht="26.25">
      <c s="48" r="A6"/>
      <c s="49" r="B6"/>
      <c t="s" s="76" r="C6">
        <v>117</v>
      </c>
      <c t="s" s="43" r="D6">
        <v>118</v>
      </c>
      <c t="s" s="43" r="E6">
        <v>119</v>
      </c>
      <c t="s" s="76" r="F6">
        <v>120</v>
      </c>
      <c s="49" r="G6"/>
      <c t="s" s="121" r="H6">
        <v>121</v>
      </c>
      <c t="str" s="122" r="I6">
        <f>+Consideraciones!D9</f>
        <v>16 </v>
      </c>
      <c s="39" r="J6"/>
      <c s="39" r="K6"/>
      <c s="49" r="L6"/>
    </row>
    <row customHeight="1" r="7" ht="17.25">
      <c s="27" r="A7"/>
      <c s="28" r="B7"/>
      <c t="s" s="34" r="C7">
        <v>122</v>
      </c>
      <c s="78" r="D7">
        <v>15000.0</v>
      </c>
      <c s="123" r="E7">
        <v>1.0</v>
      </c>
      <c t="str" s="80" r="F7">
        <f>D7*E7</f>
        <v> $  15.000,00 </v>
      </c>
      <c s="28" r="G7"/>
      <c t="s" s="43" r="H7">
        <v>123</v>
      </c>
      <c t="s" s="43" r="I7">
        <v>124</v>
      </c>
      <c t="s" s="43" r="J7">
        <v>125</v>
      </c>
      <c t="s" s="43" r="K7">
        <v>126</v>
      </c>
      <c s="28" r="L7"/>
    </row>
    <row customHeight="1" r="8" ht="17.25">
      <c s="27" r="A8"/>
      <c s="28" r="B8"/>
      <c t="s" s="34" r="C8">
        <v>127</v>
      </c>
      <c s="78" r="D8">
        <v>12500.0</v>
      </c>
      <c s="123" r="E8">
        <v>1.0</v>
      </c>
      <c t="str" s="80" r="F8">
        <f>D8*E8</f>
        <v> $  12.500,00 </v>
      </c>
      <c s="28" r="G8"/>
      <c s="124" r="H8">
        <v>7.0</v>
      </c>
      <c s="125" r="I8">
        <v>0.4</v>
      </c>
      <c s="125" r="J8">
        <v>8.9</v>
      </c>
      <c t="str" s="80" r="K8">
        <f>H8*I8*J8*Consideraciones!D9*Consideraciones!D5</f>
        <v> $  7.974,40 </v>
      </c>
      <c s="28" r="L8"/>
    </row>
    <row customHeight="1" r="9" ht="17.25">
      <c s="27" r="A9"/>
      <c s="28" r="B9"/>
      <c t="s" s="126" r="C9">
        <v>128</v>
      </c>
      <c s="78" r="D9">
        <v>12000.0</v>
      </c>
      <c s="123" r="E9">
        <v>1.0</v>
      </c>
      <c t="str" s="80" r="F9">
        <f>D9*E9</f>
        <v> $  12.000,00 </v>
      </c>
      <c s="28" r="G9"/>
      <c s="127" r="H9"/>
      <c s="128" r="I9"/>
      <c s="129" r="J9"/>
      <c s="103" r="K9"/>
      <c s="28" r="L9"/>
    </row>
    <row customHeight="1" r="10" ht="17.25">
      <c s="27" r="A10"/>
      <c s="28" r="B10"/>
      <c t="s" s="34" r="C10">
        <v>129</v>
      </c>
      <c s="78" r="D10">
        <v>10300.0</v>
      </c>
      <c s="123" r="E10">
        <v>2.0</v>
      </c>
      <c t="str" s="80" r="F10">
        <f>D10*E10</f>
        <v> $  20.600,00 </v>
      </c>
      <c s="28" r="G10"/>
      <c t="s" s="97" r="H10">
        <v>130</v>
      </c>
      <c s="101" r="I10"/>
      <c s="102" r="J10"/>
      <c t="str" s="103" r="K10">
        <f>K8*12</f>
        <v> $  95.692,80 </v>
      </c>
      <c s="28" r="L10"/>
    </row>
    <row customHeight="1" r="11" ht="17.25">
      <c s="27" r="A11"/>
      <c s="28" r="B11"/>
      <c t="s" s="97" r="C11">
        <v>131</v>
      </c>
      <c s="98" r="D11"/>
      <c t="str" s="99" r="E11">
        <f>SUM(E7:E10)</f>
        <v>  5 </v>
      </c>
      <c t="str" s="100" r="F11">
        <f>SUM(F7:F10)</f>
        <v> $  60.100,00 </v>
      </c>
      <c s="28" r="G11"/>
      <c s="28" r="H11"/>
      <c s="28" r="I11"/>
      <c s="28" r="J11"/>
      <c s="28" r="K11"/>
      <c s="28" r="L11"/>
    </row>
    <row customHeight="1" r="12" ht="17.25">
      <c s="27" r="A12"/>
      <c s="28" r="B12"/>
      <c t="s" s="97" r="C12">
        <v>132</v>
      </c>
      <c s="101" r="D12"/>
      <c s="102" r="E12"/>
      <c t="str" s="103" r="F12">
        <f>12*F11</f>
        <v> $  721.200,00 </v>
      </c>
      <c s="28" r="G12"/>
      <c t="s" s="74" r="H12">
        <v>133</v>
      </c>
      <c s="28" r="I12"/>
      <c s="28" r="J12"/>
      <c s="28" r="K12"/>
      <c s="28" r="L12"/>
    </row>
    <row customHeight="1" r="13" ht="17.25">
      <c s="27" r="A13"/>
      <c s="28" r="B13"/>
      <c s="39" r="C13"/>
      <c s="39" r="D13"/>
      <c s="39" r="E13"/>
      <c s="39" r="F13"/>
      <c s="28" r="G13"/>
      <c t="s" s="130" r="H13">
        <v>134</v>
      </c>
      <c s="131" r="I13"/>
      <c s="132" r="J13"/>
      <c t="s" s="133" r="K13">
        <v>135</v>
      </c>
      <c s="28" r="L13"/>
    </row>
    <row customHeight="1" r="14" ht="17.25">
      <c s="27" r="A14"/>
      <c s="28" r="B14"/>
      <c t="s" s="97" r="C14">
        <v>136</v>
      </c>
      <c s="101" r="D14"/>
      <c s="102" r="E14"/>
      <c t="str" s="103" r="F14">
        <f>F11</f>
        <v> $  60.100,00 </v>
      </c>
      <c s="28" r="G14"/>
      <c t="s" s="108" r="H14">
        <v>137</v>
      </c>
      <c s="109" r="I14"/>
      <c s="110" r="J14"/>
      <c s="35" r="K14">
        <v>200.0</v>
      </c>
      <c s="28" r="L14"/>
    </row>
    <row customHeight="1" r="15" ht="17.25">
      <c s="27" r="A15"/>
      <c s="28" r="B15"/>
      <c s="39" r="C15"/>
      <c s="39" r="D15"/>
      <c s="39" r="E15"/>
      <c s="39" r="F15"/>
      <c s="28" r="G15"/>
      <c t="s" s="108" r="H15">
        <v>138</v>
      </c>
      <c s="109" r="I15"/>
      <c s="110" r="J15"/>
      <c s="35" r="K15">
        <v>2084.0</v>
      </c>
      <c s="28" r="L15"/>
    </row>
    <row customHeight="1" r="16" ht="17.25">
      <c s="27" r="A16"/>
      <c s="28" r="B16"/>
      <c t="s" s="97" r="C16">
        <v>139</v>
      </c>
      <c s="101" r="D16"/>
      <c s="102" r="E16"/>
      <c t="str" s="103" r="F16">
        <f>Consideraciones!D15*(F14+F12)</f>
        <v> $  234.390,00 </v>
      </c>
      <c s="28" r="G16"/>
      <c t="s" s="108" r="H16">
        <v>140</v>
      </c>
      <c s="109" r="I16"/>
      <c s="110" r="J16"/>
      <c s="35" r="K16">
        <v>1250.0</v>
      </c>
      <c s="28" r="L16"/>
    </row>
    <row customHeight="1" r="17" ht="17.25">
      <c s="27" r="A17"/>
      <c s="28" r="B17"/>
      <c s="39" r="C17"/>
      <c s="39" r="D17"/>
      <c s="39" r="E17"/>
      <c s="39" r="F17"/>
      <c s="28" r="G17"/>
      <c t="s" s="108" r="H17">
        <v>141</v>
      </c>
      <c s="109" r="I17"/>
      <c s="110" r="J17"/>
      <c s="35" r="K17">
        <v>1000.0</v>
      </c>
      <c s="28" r="L17"/>
    </row>
    <row customHeight="1" r="18" ht="17.25">
      <c s="27" r="A18"/>
      <c s="28" r="B18"/>
      <c t="s" s="74" r="C18">
        <v>142</v>
      </c>
      <c s="39" r="D18"/>
      <c s="39" r="E18"/>
      <c s="39" r="F18"/>
      <c s="28" r="G18"/>
      <c t="s" s="97" r="H18">
        <v>143</v>
      </c>
      <c s="101" r="I18"/>
      <c s="102" r="J18"/>
      <c t="str" s="103" r="K18">
        <f>SUM(K14:K17)</f>
        <v> $  4.534,00 </v>
      </c>
      <c s="28" r="L18"/>
    </row>
    <row customHeight="1" r="19" ht="17.25">
      <c s="27" r="A19"/>
      <c s="28" r="B19"/>
      <c t="s" s="108" r="C19">
        <v>144</v>
      </c>
      <c s="109" r="D19"/>
      <c s="110" r="E19"/>
      <c s="35" r="F19">
        <v>30.0</v>
      </c>
      <c s="28" r="G19"/>
      <c s="28" r="H19"/>
      <c s="28" r="I19"/>
      <c s="28" r="J19"/>
      <c s="28" r="K19"/>
      <c s="28" r="L19"/>
    </row>
    <row customHeight="1" r="20" ht="17.25">
      <c s="27" r="A20"/>
      <c s="28" r="B20"/>
      <c t="s" s="108" r="C20">
        <v>145</v>
      </c>
      <c s="109" r="D20"/>
      <c s="110" r="E20"/>
      <c t="str" s="111" r="F20">
        <f>+E11</f>
        <v>5 </v>
      </c>
      <c s="28" r="G20"/>
      <c t="s" s="134" r="H20">
        <v>146</v>
      </c>
      <c s="117" r="I20"/>
      <c s="118" r="J20"/>
      <c t="str" s="119" r="K20">
        <f>+K18+K10+F25</f>
        <v> $  1.151.916,80 </v>
      </c>
      <c s="28" r="L20"/>
    </row>
    <row customHeight="1" r="21" ht="17.25">
      <c s="27" r="A21"/>
      <c s="28" r="B21"/>
      <c t="s" s="108" r="C21">
        <v>147</v>
      </c>
      <c s="109" r="D21"/>
      <c s="110" r="E21"/>
      <c t="str" s="111" r="F21">
        <f>+Consideraciones!D5</f>
        <v>20 </v>
      </c>
      <c s="28" r="G21"/>
      <c s="28" r="H21"/>
      <c s="28" r="I21"/>
      <c s="28" r="J21"/>
      <c s="28" r="K21"/>
      <c s="28" r="L21"/>
    </row>
    <row customHeight="1" r="22" ht="17.25">
      <c s="27" r="A22"/>
      <c s="28" r="B22"/>
      <c t="s" s="108" r="C22">
        <v>148</v>
      </c>
      <c s="109" r="D22"/>
      <c s="110" r="E22"/>
      <c t="str" s="111" r="F22">
        <f>+Consideraciones!D7</f>
        <v>12 </v>
      </c>
      <c s="28" r="G22"/>
      <c s="28" r="H22"/>
      <c s="28" r="I22"/>
      <c s="28" r="J22"/>
      <c s="28" r="K22"/>
      <c s="28" r="L22"/>
    </row>
    <row customHeight="1" r="23" ht="17.25">
      <c s="27" r="A23"/>
      <c s="28" r="B23"/>
      <c t="s" s="97" r="C23">
        <v>149</v>
      </c>
      <c s="101" r="D23"/>
      <c s="102" r="E23"/>
      <c t="str" s="103" r="F23">
        <f>+F19*F20*F21*F22</f>
        <v> $  36.000,00 </v>
      </c>
      <c s="28" r="G23"/>
      <c s="28" r="H23"/>
      <c s="28" r="I23"/>
      <c s="28" r="J23"/>
      <c s="28" r="K23"/>
      <c s="28" r="L23"/>
    </row>
    <row customHeight="1" r="24" ht="17.25">
      <c s="27" r="A24"/>
      <c s="28" r="B24"/>
      <c s="39" r="C24"/>
      <c s="39" r="D24"/>
      <c s="39" r="E24"/>
      <c s="39" r="F24"/>
      <c s="28" r="G24"/>
      <c s="28" r="H24"/>
      <c s="28" r="I24"/>
      <c s="28" r="J24"/>
      <c s="28" r="K24"/>
      <c s="28" r="L24"/>
    </row>
    <row customHeight="1" r="25" ht="17.25">
      <c s="27" r="A25"/>
      <c s="28" r="B25"/>
      <c t="s" s="97" r="C25">
        <v>150</v>
      </c>
      <c s="101" r="D25"/>
      <c s="102" r="E25"/>
      <c t="str" s="103" r="F25">
        <f>+F23+F16+F14+F12</f>
        <v> $  1.051.690,00 </v>
      </c>
      <c s="28" r="G25"/>
      <c s="28" r="H25"/>
      <c s="28" r="I25"/>
      <c s="28" r="J25"/>
      <c s="28" r="K25"/>
      <c s="28" r="L25"/>
    </row>
    <row customHeight="1" r="26" ht="18.0">
      <c s="27" r="A26"/>
      <c s="28" r="B26"/>
      <c s="28" r="C26"/>
      <c s="28" r="D26"/>
      <c s="28" r="E26"/>
      <c s="28" r="F26"/>
      <c s="28" r="G26"/>
      <c s="28" r="H26"/>
      <c s="28" r="I26"/>
      <c s="28" r="J26"/>
      <c s="28" r="K26"/>
      <c s="28" r="L2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75"/>
  <cols>
    <col min="1" customWidth="1" max="1" width="3.43"/>
    <col min="2" customWidth="1" max="2" width="2.0"/>
    <col min="3" customWidth="1" max="3" width="38.71"/>
    <col min="4" customWidth="1" max="4" width="13.29"/>
    <col min="5" customWidth="1" max="5" width="17.57"/>
    <col min="6" customWidth="1" max="6" width="17.71"/>
    <col min="7" customWidth="1" max="7" width="12.14"/>
    <col min="8" customWidth="1" max="8" width="32.57"/>
    <col min="9" customWidth="1" max="9" width="10.14"/>
    <col min="10" customWidth="1" max="10" width="15.29"/>
    <col min="11" customWidth="1" max="11" width="19.57"/>
    <col min="12" customWidth="1" max="12" width="15.29"/>
    <col min="13" customWidth="1" max="13" width="17.29"/>
  </cols>
  <sheetData>
    <row customHeight="1" r="1" ht="10.5">
      <c s="72" r="A1"/>
      <c s="72" r="B1"/>
      <c s="72" r="C1"/>
      <c s="72" r="D1"/>
      <c s="72" r="E1"/>
      <c s="72" r="F1"/>
      <c s="72" r="G1"/>
      <c s="72" r="H1"/>
      <c s="72" r="I1"/>
      <c s="72" r="J1"/>
      <c s="72" r="K1"/>
      <c s="72" r="L1"/>
      <c s="72" r="M1"/>
    </row>
    <row customHeight="1" r="2" ht="9.75">
      <c s="72" r="A2"/>
      <c s="28" r="B2"/>
      <c s="28" r="C2"/>
      <c s="28" r="D2"/>
      <c s="28" r="E2"/>
      <c s="28" r="F2"/>
      <c s="28" r="G2"/>
      <c s="28" r="H2"/>
      <c s="28" r="I2"/>
      <c s="28" r="J2"/>
      <c s="28" r="K2"/>
      <c s="28" r="L2"/>
      <c s="28" r="M2"/>
    </row>
    <row customHeight="1" r="3" ht="18.0">
      <c s="72" r="A3"/>
      <c s="28" r="B3"/>
      <c t="s" s="73" r="C3">
        <v>151</v>
      </c>
      <c s="28" r="D3"/>
      <c s="28" r="E3"/>
      <c s="28" r="F3"/>
      <c s="28" r="G3"/>
      <c s="28" r="H3"/>
      <c s="28" r="I3"/>
      <c s="28" r="J3"/>
      <c s="28" r="K3"/>
      <c s="28" r="L3"/>
      <c s="28" r="M3"/>
    </row>
    <row customHeight="1" r="4" ht="6.75">
      <c s="72" r="A4"/>
      <c s="28" r="B4"/>
      <c s="28" r="C4"/>
      <c s="28" r="D4"/>
      <c s="28" r="E4"/>
      <c s="28" r="F4"/>
      <c s="28" r="G4"/>
      <c s="28" r="H4"/>
      <c s="28" r="I4"/>
      <c s="28" r="J4"/>
      <c s="28" r="K4"/>
      <c s="28" r="L4"/>
      <c s="28" r="M4"/>
    </row>
    <row customHeight="1" r="5" ht="17.25">
      <c s="72" r="A5"/>
      <c s="28" r="B5"/>
      <c t="s" s="74" r="C5">
        <v>152</v>
      </c>
      <c s="39" r="D5"/>
      <c s="39" r="E5"/>
      <c s="39" r="F5"/>
      <c s="28" r="G5"/>
      <c t="s" s="74" r="H5">
        <v>153</v>
      </c>
      <c s="28" r="I5"/>
      <c s="28" r="J5"/>
      <c s="28" r="K5"/>
      <c s="28" r="L5"/>
      <c s="28" r="M5"/>
    </row>
    <row customHeight="1" r="6" ht="25.5">
      <c s="72" r="A6"/>
      <c s="28" r="B6"/>
      <c t="s" s="76" r="C6">
        <v>154</v>
      </c>
      <c t="s" s="43" r="D6">
        <v>155</v>
      </c>
      <c t="s" s="43" r="E6">
        <v>156</v>
      </c>
      <c t="s" s="43" r="F6">
        <v>157</v>
      </c>
      <c s="28" r="G6"/>
      <c s="115" r="H6"/>
      <c s="135" r="I6"/>
      <c t="s" s="43" r="J6">
        <v>158</v>
      </c>
      <c s="136" r="K6">
        <v>0.004</v>
      </c>
      <c s="28" r="L6"/>
      <c s="28" r="M6"/>
    </row>
    <row customHeight="1" r="7" ht="25.5">
      <c s="137" r="A7"/>
      <c s="28" r="B7"/>
      <c t="s" s="138" r="C7">
        <v>159</v>
      </c>
      <c s="78" r="D7">
        <v>5100.0</v>
      </c>
      <c s="124" r="E7">
        <v>2.0</v>
      </c>
      <c t="str" s="139" r="F7">
        <f>E7*D7</f>
        <v> $  10.200,00 </v>
      </c>
      <c s="28" r="G7"/>
      <c s="115" r="H7"/>
      <c s="135" r="I7"/>
      <c t="s" s="43" r="J7">
        <v>160</v>
      </c>
      <c s="140" r="K7">
        <v>0.008</v>
      </c>
      <c t="s" s="43" r="L7">
        <v>161</v>
      </c>
      <c s="28" r="M7"/>
    </row>
    <row customHeight="1" r="8" ht="24.75">
      <c s="72" r="A8"/>
      <c s="28" r="B8"/>
      <c t="s" s="97" r="C8">
        <v>162</v>
      </c>
      <c s="141" r="D8"/>
      <c s="142" r="E8"/>
      <c t="str" s="100" r="F8">
        <f>SUM(F7)</f>
        <v> $  10.200,00 </v>
      </c>
      <c s="28" r="G8"/>
      <c t="s" s="76" r="H8">
        <v>163</v>
      </c>
      <c s="136" r="I8">
        <v>0.04</v>
      </c>
      <c t="s" s="43" r="J8">
        <v>164</v>
      </c>
      <c t="s" s="43" r="K8">
        <v>165</v>
      </c>
      <c t="s" s="43" r="L8">
        <v>166</v>
      </c>
      <c s="28" r="M8"/>
    </row>
    <row customHeight="1" r="9" ht="17.25">
      <c s="72" r="A9"/>
      <c s="28" r="B9"/>
      <c t="s" s="97" r="C9">
        <v>167</v>
      </c>
      <c s="141" r="D9"/>
      <c s="142" r="E9"/>
      <c t="str" s="100" r="F9">
        <f>F8*12</f>
        <v> $  122.400,00 </v>
      </c>
      <c s="28" r="G9"/>
      <c t="s" s="143" r="H9">
        <v>168</v>
      </c>
      <c t="str" s="139" r="I9">
        <f>+Mercado!H7</f>
        <v> $  0,80 </v>
      </c>
      <c t="str" s="144" r="J9">
        <f>+I9*$I$8</f>
        <v>0,03</v>
      </c>
      <c t="str" s="144" r="K9">
        <f>+$K$6*I9</f>
        <v>0,00</v>
      </c>
      <c t="str" s="145" r="L9">
        <f>+K9+J9</f>
        <v>0,04</v>
      </c>
      <c s="28" r="M9"/>
    </row>
    <row customHeight="1" r="10" ht="17.25">
      <c s="72" r="A10"/>
      <c s="28" r="B10"/>
      <c s="146" r="C10"/>
      <c s="147" r="D10"/>
      <c s="148" r="E10"/>
      <c s="149" r="F10"/>
      <c s="28" r="G10"/>
      <c t="s" s="143" r="H10">
        <v>169</v>
      </c>
      <c t="str" s="139" r="I10">
        <f>+Mercado!I7</f>
        <v> $  0,70 </v>
      </c>
      <c t="str" s="144" r="J10">
        <f>+$I$8*I10</f>
        <v>0,03</v>
      </c>
      <c t="str" s="144" r="K10">
        <f>+$K$7*I10</f>
        <v>0,01</v>
      </c>
      <c t="str" s="150" r="L10">
        <f>+K10+J10</f>
        <v>0,03</v>
      </c>
      <c s="28" r="M10"/>
    </row>
    <row customHeight="1" r="11" ht="17.25">
      <c s="72" r="A11"/>
      <c s="28" r="B11"/>
      <c t="s" s="97" r="C11">
        <v>170</v>
      </c>
      <c s="141" r="D11"/>
      <c s="142" r="E11"/>
      <c t="str" s="100" r="F11">
        <f>F8</f>
        <v> $  10.200,00 </v>
      </c>
      <c s="28" r="G11"/>
      <c t="s" s="143" r="H11">
        <v>171</v>
      </c>
      <c t="str" s="139" r="I11">
        <f>+Mercado!K7</f>
        <v> $  0,71 </v>
      </c>
      <c s="39" r="J11"/>
      <c s="39" r="K11"/>
      <c t="str" s="150" r="L11">
        <f>+Mercado!$H$5*L9+Mercado!$I$5*L10</f>
        <v>0,03</v>
      </c>
      <c s="28" r="M11"/>
    </row>
    <row customHeight="1" r="12" ht="17.25">
      <c s="72" r="A12"/>
      <c s="28" r="B12"/>
      <c s="146" r="C12"/>
      <c s="147" r="D12"/>
      <c s="148" r="E12"/>
      <c s="149" r="F12"/>
      <c s="28" r="G12"/>
      <c s="151" r="H12"/>
      <c s="152" r="I12"/>
      <c s="39" r="J12"/>
      <c s="39" r="K12"/>
      <c t="str" s="65" r="L12">
        <f>+L11/I11</f>
        <v>4,77%</v>
      </c>
      <c s="28" r="M12"/>
    </row>
    <row customHeight="1" r="13" ht="17.25">
      <c s="72" r="A13"/>
      <c s="28" r="B13"/>
      <c t="s" s="97" r="C13">
        <v>172</v>
      </c>
      <c s="141" r="D13"/>
      <c s="142" r="E13"/>
      <c t="str" s="100" r="F13">
        <f>Consideraciones!D15*(F11+F9)</f>
        <v> $  39.780,00 </v>
      </c>
      <c s="28" r="G13"/>
      <c t="s" s="153" r="H13">
        <v>173</v>
      </c>
      <c s="154" r="I13"/>
      <c s="39" r="J13"/>
      <c s="39" r="K13"/>
      <c s="28" r="L13"/>
      <c s="28" r="M13"/>
    </row>
    <row customHeight="1" r="14" ht="17.25">
      <c s="72" r="A14"/>
      <c s="28" r="B14"/>
      <c s="155" r="C14"/>
      <c s="156" r="D14"/>
      <c s="157" r="E14"/>
      <c s="158" r="F14"/>
      <c s="28" r="G14"/>
      <c t="s" s="143" r="H14">
        <v>174</v>
      </c>
      <c t="str" s="139" r="I14">
        <f>+Mercado!H8</f>
        <v> $  0,98 </v>
      </c>
      <c t="str" s="144" r="J14">
        <f>+I14*$I$8</f>
        <v>0,04</v>
      </c>
      <c t="str" s="159" r="K14">
        <f>+$K$6*I14</f>
        <v>0,00</v>
      </c>
      <c t="str" s="150" r="L14">
        <f>+K14+J14</f>
        <v>0,04</v>
      </c>
      <c s="28" r="M14"/>
    </row>
    <row customHeight="1" r="15" ht="17.25">
      <c s="72" r="A15"/>
      <c s="28" r="B15"/>
      <c t="s" s="160" r="C15">
        <v>175</v>
      </c>
      <c s="161" r="D15"/>
      <c s="161" r="E15"/>
      <c s="161" r="F15"/>
      <c s="28" r="G15"/>
      <c t="s" s="143" r="H15">
        <v>176</v>
      </c>
      <c t="str" s="139" r="I15">
        <f>+Mercado!I8</f>
        <v> $  0,86 </v>
      </c>
      <c t="str" s="144" r="J15">
        <f>+$I$8*I15</f>
        <v>0,03</v>
      </c>
      <c t="str" s="144" r="K15">
        <f>+$K$7*I15</f>
        <v>0,01</v>
      </c>
      <c t="str" s="145" r="L15">
        <f>+K15+J15</f>
        <v>0,04</v>
      </c>
      <c s="28" r="M15"/>
    </row>
    <row customHeight="1" r="16" ht="17.25">
      <c s="72" r="A16"/>
      <c s="28" r="B16"/>
      <c t="s" s="108" r="C16">
        <v>177</v>
      </c>
      <c s="162" r="D16"/>
      <c s="163" r="E16"/>
      <c s="81" r="F16">
        <v>30.0</v>
      </c>
      <c s="28" r="G16"/>
      <c t="s" s="143" r="H16">
        <v>178</v>
      </c>
      <c t="str" s="139" r="I16">
        <f>+Mercado!K8</f>
        <v> $  0,87 </v>
      </c>
      <c s="39" r="J16"/>
      <c s="39" r="K16"/>
      <c t="str" s="150" r="L16">
        <f>+Mercado!$H$5*L14+Mercado!$I$5*L15</f>
        <v>0,04</v>
      </c>
      <c s="28" r="M16"/>
    </row>
    <row customHeight="1" r="17" ht="17.25">
      <c s="72" r="A17"/>
      <c s="28" r="B17"/>
      <c t="s" s="108" r="C17">
        <v>179</v>
      </c>
      <c s="109" r="D17"/>
      <c s="110" r="E17"/>
      <c t="str" s="111" r="F17">
        <f>+Consideraciones!D6</f>
        <v>20 </v>
      </c>
      <c s="28" r="G17"/>
      <c s="151" r="H17"/>
      <c s="152" r="I17"/>
      <c s="39" r="J17"/>
      <c s="39" r="K17"/>
      <c t="str" s="65" r="L17">
        <f>+L16/I16</f>
        <v>4,77%</v>
      </c>
      <c s="28" r="M17"/>
    </row>
    <row customHeight="1" r="18" ht="17.25">
      <c s="72" r="A18"/>
      <c s="28" r="B18"/>
      <c t="s" s="108" r="C18">
        <v>180</v>
      </c>
      <c s="109" r="D18"/>
      <c s="110" r="E18"/>
      <c t="str" s="111" r="F18">
        <f>+Consideraciones!D7</f>
        <v>12 </v>
      </c>
      <c s="28" r="G18"/>
      <c t="s" s="153" r="H18">
        <v>181</v>
      </c>
      <c s="154" r="I18"/>
      <c s="39" r="J18"/>
      <c s="39" r="K18"/>
      <c s="28" r="L18"/>
      <c s="28" r="M18"/>
    </row>
    <row customHeight="1" r="19" ht="17.25">
      <c s="72" r="A19"/>
      <c s="28" r="B19"/>
      <c t="s" s="97" r="C19">
        <v>182</v>
      </c>
      <c s="141" r="D19"/>
      <c s="142" r="E19"/>
      <c t="str" s="100" r="F19">
        <f>+F18*F17*F16*E7</f>
        <v> $  14.400,00 </v>
      </c>
      <c s="28" r="G19"/>
      <c t="s" s="143" r="H19">
        <v>183</v>
      </c>
      <c t="str" s="139" r="I19">
        <f>+Mercado!H9</f>
        <v> $  1,21 </v>
      </c>
      <c t="str" s="144" r="J19">
        <f>+I19*$I$8</f>
        <v>0,05</v>
      </c>
      <c t="str" s="159" r="K19">
        <f>+$K$6*I19</f>
        <v>0,00</v>
      </c>
      <c t="str" s="150" r="L19">
        <f>+K19+J19</f>
        <v>0,05</v>
      </c>
      <c s="28" r="M19"/>
    </row>
    <row customHeight="1" r="20" ht="17.25">
      <c s="72" r="A20"/>
      <c s="28" r="B20"/>
      <c s="146" r="C20"/>
      <c s="147" r="D20"/>
      <c s="148" r="E20"/>
      <c s="149" r="F20"/>
      <c s="28" r="G20"/>
      <c t="s" s="143" r="H20">
        <v>184</v>
      </c>
      <c t="str" s="139" r="I20">
        <f>+Mercado!I9</f>
        <v> $  1,06 </v>
      </c>
      <c t="str" s="144" r="J20">
        <f>+$I$8*I20</f>
        <v>0,04</v>
      </c>
      <c t="str" s="144" r="K20">
        <f>+$K$7*I20</f>
        <v>0,01</v>
      </c>
      <c t="str" s="145" r="L20">
        <f>+K20+J20</f>
        <v>0,05</v>
      </c>
      <c s="28" r="M20"/>
    </row>
    <row customHeight="1" r="21" ht="17.25">
      <c s="72" r="A21"/>
      <c s="28" r="B21"/>
      <c t="s" s="97" r="C21">
        <v>185</v>
      </c>
      <c s="141" r="D21"/>
      <c s="142" r="E21"/>
      <c t="str" s="100" r="F21">
        <f>F19+F13+F11+F9</f>
        <v> $  186.780,00 </v>
      </c>
      <c s="28" r="G21"/>
      <c t="s" s="143" r="H21">
        <v>186</v>
      </c>
      <c t="str" s="139" r="I21">
        <f>+Mercado!K9</f>
        <v> $  1,07 </v>
      </c>
      <c s="39" r="J21"/>
      <c s="39" r="K21"/>
      <c t="str" s="150" r="L21">
        <f>+Mercado!$H$5*L19+Mercado!$I$5*L20</f>
        <v>0,05</v>
      </c>
      <c s="28" r="M21"/>
    </row>
    <row customHeight="1" r="22" ht="12.75">
      <c s="72" r="A22"/>
      <c s="28" r="B22"/>
      <c s="39" r="C22"/>
      <c s="39" r="D22"/>
      <c s="39" r="E22"/>
      <c s="39" r="F22"/>
      <c s="28" r="G22"/>
      <c s="151" r="H22"/>
      <c s="152" r="I22"/>
      <c s="39" r="J22"/>
      <c s="39" r="K22"/>
      <c t="str" s="65" r="L22">
        <f>+L21/I21</f>
        <v>4,77%</v>
      </c>
      <c s="28" r="M22"/>
    </row>
    <row customHeight="1" r="23" ht="17.25">
      <c s="72" r="A23"/>
      <c s="28" r="B23"/>
      <c t="s" s="74" r="C23">
        <v>187</v>
      </c>
      <c s="39" r="D23"/>
      <c s="39" r="E23"/>
      <c s="39" r="F23"/>
      <c s="28" r="G23"/>
      <c t="s" s="153" r="H23">
        <v>188</v>
      </c>
      <c s="154" r="I23"/>
      <c s="39" r="J23"/>
      <c s="39" r="K23"/>
      <c s="28" r="L23"/>
      <c s="28" r="M23"/>
    </row>
    <row customHeight="1" r="24" ht="17.25">
      <c s="72" r="A24"/>
      <c s="28" r="B24"/>
      <c t="s" s="164" r="C24">
        <v>189</v>
      </c>
      <c t="str" s="122" r="D24">
        <f>+Consideraciones!D10</f>
        <v>8 </v>
      </c>
      <c s="39" r="E24"/>
      <c s="39" r="F24"/>
      <c s="28" r="G24"/>
      <c t="s" s="143" r="H24">
        <v>190</v>
      </c>
      <c t="str" s="139" r="I24">
        <f>+Mercado!H10</f>
        <v> $  1,49 </v>
      </c>
      <c t="str" s="144" r="J24">
        <f>+I24*$I$8</f>
        <v>0,06</v>
      </c>
      <c t="str" s="159" r="K24">
        <f>+$K$6*I24</f>
        <v>0,01</v>
      </c>
      <c t="str" s="150" r="L24">
        <f>+K24+J24</f>
        <v>0,07</v>
      </c>
      <c s="28" r="M24"/>
    </row>
    <row customHeight="1" r="25" ht="17.25">
      <c s="72" r="A25"/>
      <c s="28" r="B25"/>
      <c t="s" s="76" r="C25">
        <v>191</v>
      </c>
      <c t="s" s="76" r="D25">
        <v>192</v>
      </c>
      <c t="s" s="43" r="E25">
        <v>193</v>
      </c>
      <c t="s" s="76" r="F25">
        <v>194</v>
      </c>
      <c s="28" r="G25"/>
      <c t="s" s="143" r="H25">
        <v>195</v>
      </c>
      <c t="str" s="139" r="I25">
        <f>+Mercado!I10</f>
        <v> $  1,30 </v>
      </c>
      <c t="str" s="144" r="J25">
        <f>+$I$8*I25</f>
        <v>0,05</v>
      </c>
      <c t="str" s="144" r="K25">
        <f>+$K$7*I25</f>
        <v>0,01</v>
      </c>
      <c t="str" s="145" r="L25">
        <f>+K25+J25</f>
        <v>0,06</v>
      </c>
      <c s="28" r="M25"/>
    </row>
    <row customHeight="1" r="26" ht="17.25">
      <c s="72" r="A26"/>
      <c s="28" r="B26"/>
      <c s="165" r="C26">
        <v>1.0</v>
      </c>
      <c s="125" r="D26">
        <v>0.4</v>
      </c>
      <c s="125" r="E26">
        <v>8.9</v>
      </c>
      <c t="str" s="80" r="F26">
        <f>C26*D26*E26*Consideraciones!D6*Consideraciones!D10</f>
        <v> $  569,60 </v>
      </c>
      <c s="28" r="G26"/>
      <c t="s" s="143" r="H26">
        <v>196</v>
      </c>
      <c t="str" s="139" r="I26">
        <f>+Mercado!K10</f>
        <v> $  1,32 </v>
      </c>
      <c s="39" r="J26"/>
      <c s="39" r="K26"/>
      <c t="str" s="150" r="L26">
        <f>+Mercado!$H$5*L24+Mercado!$I$5*L25</f>
        <v>0,06</v>
      </c>
      <c s="28" r="M26"/>
    </row>
    <row customHeight="1" r="27" ht="17.25">
      <c s="72" r="A27"/>
      <c s="28" r="B27"/>
      <c t="s" s="97" r="C27">
        <v>197</v>
      </c>
      <c s="141" r="D27"/>
      <c s="142" r="E27"/>
      <c t="str" s="100" r="F27">
        <f>F26</f>
        <v> $  569,60 </v>
      </c>
      <c s="28" r="G27"/>
      <c s="151" r="H27"/>
      <c s="152" r="I27"/>
      <c s="39" r="J27"/>
      <c s="39" r="K27"/>
      <c t="str" s="65" r="L27">
        <f>+L26/I26</f>
        <v>4,77%</v>
      </c>
      <c s="28" r="M27"/>
    </row>
    <row customHeight="1" r="28" ht="17.25">
      <c s="72" r="A28"/>
      <c s="28" r="B28"/>
      <c s="28" r="C28"/>
      <c s="28" r="D28"/>
      <c s="28" r="E28"/>
      <c s="28" r="F28"/>
      <c s="28" r="G28"/>
      <c t="s" s="153" r="H28">
        <v>198</v>
      </c>
      <c s="154" r="I28"/>
      <c s="39" r="J28"/>
      <c s="39" r="K28"/>
      <c s="28" r="L28"/>
      <c s="28" r="M28"/>
    </row>
    <row customHeight="1" r="29" ht="24.75">
      <c s="72" r="A29"/>
      <c s="28" r="B29"/>
      <c t="s" s="43" r="C29">
        <v>199</v>
      </c>
      <c t="s" s="43" r="D29">
        <v>200</v>
      </c>
      <c t="s" s="43" r="E29">
        <v>201</v>
      </c>
      <c t="s" s="43" r="F29">
        <v>202</v>
      </c>
      <c s="28" r="G29"/>
      <c t="s" s="143" r="H29">
        <v>203</v>
      </c>
      <c t="str" s="139" r="I29">
        <f>+Mercado!H10</f>
        <v> $  1,49 </v>
      </c>
      <c t="str" s="144" r="J29">
        <f>+I29*$I$8</f>
        <v>0,06</v>
      </c>
      <c t="str" s="159" r="K29">
        <f>+$K$6*I29</f>
        <v>0,01</v>
      </c>
      <c t="str" s="150" r="L29">
        <f>+K29+J29</f>
        <v>0,07</v>
      </c>
      <c s="28" r="M29"/>
    </row>
    <row customHeight="1" r="30" ht="17.25">
      <c s="72" r="A30"/>
      <c s="28" r="B30"/>
      <c t="s" s="104" r="C30">
        <v>204</v>
      </c>
      <c s="78" r="D30">
        <v>6000.0</v>
      </c>
      <c s="124" r="E30">
        <v>3.0</v>
      </c>
      <c t="str" s="80" r="F30">
        <f>E30*D30</f>
        <v> $  18.000,00 </v>
      </c>
      <c s="28" r="G30"/>
      <c t="s" s="143" r="H30">
        <v>205</v>
      </c>
      <c t="str" s="139" r="I30">
        <f>+Mercado!I10</f>
        <v> $  1,30 </v>
      </c>
      <c t="str" s="144" r="J30">
        <f>+$I$8*I30</f>
        <v>0,05</v>
      </c>
      <c t="str" s="144" r="K30">
        <f>+$K$7*I30</f>
        <v>0,01</v>
      </c>
      <c t="str" s="145" r="L30">
        <f>+K30+J30</f>
        <v>0,06</v>
      </c>
      <c s="28" r="M30"/>
    </row>
    <row customHeight="1" r="31" ht="17.25">
      <c s="72" r="A31"/>
      <c s="28" r="B31"/>
      <c t="s" s="97" r="C31">
        <v>206</v>
      </c>
      <c s="141" r="D31"/>
      <c s="142" r="E31"/>
      <c t="str" s="100" r="F31">
        <f>F30*12</f>
        <v> $  216.000,00 </v>
      </c>
      <c s="28" r="G31"/>
      <c t="s" s="143" r="H31">
        <v>207</v>
      </c>
      <c t="str" s="139" r="I31">
        <f>+Mercado!K11</f>
        <v> $  1,62 </v>
      </c>
      <c s="39" r="J31"/>
      <c s="39" r="K31"/>
      <c t="str" s="150" r="L31">
        <f>+Mercado!$H$5*L29+Mercado!$I$5*L30</f>
        <v>0,06</v>
      </c>
      <c s="28" r="M31"/>
    </row>
    <row customHeight="1" r="32" ht="17.25">
      <c s="72" r="A32"/>
      <c s="28" r="B32"/>
      <c s="146" r="C32"/>
      <c s="147" r="D32"/>
      <c s="148" r="E32"/>
      <c s="149" r="F32"/>
      <c s="28" r="G32"/>
      <c s="166" r="H32"/>
      <c s="152" r="I32"/>
      <c s="39" r="J32"/>
      <c s="39" r="K32"/>
      <c t="str" s="65" r="L32">
        <f>+L31/I31</f>
        <v>3,88%</v>
      </c>
      <c s="28" r="M32"/>
    </row>
    <row customHeight="1" r="33" ht="17.25">
      <c s="72" r="A33"/>
      <c s="28" r="B33"/>
      <c t="s" s="97" r="C33">
        <v>208</v>
      </c>
      <c s="141" r="D33"/>
      <c s="142" r="E33"/>
      <c t="str" s="100" r="F33">
        <f>F30</f>
        <v> $  18.000,00 </v>
      </c>
      <c s="28" r="G33"/>
      <c s="28" r="H33"/>
      <c s="28" r="I33"/>
      <c s="28" r="J33"/>
      <c s="28" r="K33"/>
      <c s="28" r="L33"/>
      <c s="28" r="M33"/>
    </row>
    <row customHeight="1" r="34" ht="17.25">
      <c s="72" r="A34"/>
      <c s="28" r="B34"/>
      <c s="146" r="C34"/>
      <c s="147" r="D34"/>
      <c s="148" r="E34"/>
      <c s="149" r="F34"/>
      <c s="28" r="G34"/>
      <c t="s" s="160" r="H34">
        <v>209</v>
      </c>
      <c s="28" r="I34"/>
      <c s="28" r="J34"/>
      <c s="28" r="K34"/>
      <c s="28" r="L34"/>
      <c s="28" r="M34"/>
    </row>
    <row customHeight="1" r="35" ht="17.25">
      <c s="72" r="A35"/>
      <c s="28" r="B35"/>
      <c t="s" s="97" r="C35">
        <v>210</v>
      </c>
      <c s="141" r="D35"/>
      <c s="142" r="E35"/>
      <c t="str" s="100" r="F35">
        <f>Consideraciones!D15*(F33+F31)</f>
        <v> $  70.200,00 </v>
      </c>
      <c s="28" r="G35"/>
      <c t="s" s="130" r="H35">
        <v>211</v>
      </c>
      <c s="131" r="I35"/>
      <c s="132" r="J35"/>
      <c t="s" s="133" r="K35">
        <v>212</v>
      </c>
      <c s="28" r="L35"/>
      <c s="28" r="M35"/>
    </row>
    <row customHeight="1" r="36" ht="12.75">
      <c s="72" r="A36"/>
      <c s="28" r="B36"/>
      <c s="155" r="C36"/>
      <c s="156" r="D36"/>
      <c s="157" r="E36"/>
      <c s="158" r="F36"/>
      <c s="28" r="G36"/>
      <c t="s" s="167" r="H36">
        <v>213</v>
      </c>
      <c s="168" r="I36"/>
      <c s="169" r="J36"/>
      <c s="58" r="K36">
        <v>500.0</v>
      </c>
      <c s="28" r="L36"/>
      <c s="28" r="M36"/>
    </row>
    <row customHeight="1" r="37" ht="17.25">
      <c s="72" r="A37"/>
      <c s="28" r="B37"/>
      <c t="s" s="160" r="C37">
        <v>214</v>
      </c>
      <c s="161" r="D37"/>
      <c s="161" r="E37"/>
      <c s="161" r="F37"/>
      <c s="28" r="G37"/>
      <c t="s" s="167" r="H37">
        <v>215</v>
      </c>
      <c s="168" r="I37"/>
      <c s="169" r="J37"/>
      <c s="58" r="K37">
        <v>1000.0</v>
      </c>
      <c s="28" r="L37"/>
      <c s="28" r="M37"/>
    </row>
    <row customHeight="1" r="38" ht="17.25">
      <c s="72" r="A38"/>
      <c s="28" r="B38"/>
      <c t="s" s="108" r="C38">
        <v>216</v>
      </c>
      <c s="162" r="D38"/>
      <c s="163" r="E38"/>
      <c s="81" r="F38">
        <v>30.0</v>
      </c>
      <c s="28" r="G38"/>
      <c t="s" s="167" r="H38">
        <v>217</v>
      </c>
      <c s="168" r="I38"/>
      <c s="169" r="J38"/>
      <c s="58" r="K38">
        <v>1250.0</v>
      </c>
      <c s="28" r="L38"/>
      <c s="28" r="M38"/>
    </row>
    <row customHeight="1" r="39" ht="17.25">
      <c s="72" r="A39"/>
      <c s="28" r="B39"/>
      <c t="s" s="108" r="C39">
        <v>218</v>
      </c>
      <c s="162" r="D39"/>
      <c s="163" r="E39"/>
      <c t="str" s="170" r="F39">
        <f>+Consideraciones!D6</f>
        <v>  20,00 </v>
      </c>
      <c s="28" r="G39"/>
      <c t="s" s="167" r="H39">
        <v>219</v>
      </c>
      <c s="168" r="I39"/>
      <c s="169" r="J39"/>
      <c s="58" r="K39">
        <v>500.0</v>
      </c>
      <c s="28" r="L39"/>
      <c s="28" r="M39"/>
    </row>
    <row customHeight="1" r="40" ht="17.25">
      <c s="72" r="A40"/>
      <c s="28" r="B40"/>
      <c t="s" s="108" r="C40">
        <v>220</v>
      </c>
      <c s="162" r="D40"/>
      <c s="163" r="E40"/>
      <c t="str" s="170" r="F40">
        <f>+Consideraciones!D7</f>
        <v>  12,00 </v>
      </c>
      <c s="28" r="G40"/>
      <c t="s" s="97" r="H40">
        <v>221</v>
      </c>
      <c s="141" r="I40"/>
      <c s="142" r="J40"/>
      <c t="str" s="100" r="K40">
        <f>SUM(K36:K39)</f>
        <v> $  3.250,00 </v>
      </c>
      <c s="28" r="L40"/>
      <c s="28" r="M40"/>
    </row>
    <row customHeight="1" r="41" ht="17.25">
      <c s="72" r="A41"/>
      <c s="28" r="B41"/>
      <c t="s" s="97" r="C41">
        <v>222</v>
      </c>
      <c s="141" r="D41"/>
      <c s="142" r="E41"/>
      <c t="str" s="100" r="F41">
        <f>+F40*F39*F38</f>
        <v> $  7.200,00 </v>
      </c>
      <c s="28" r="G41"/>
      <c s="28" r="H41"/>
      <c s="28" r="I41"/>
      <c s="28" r="J41"/>
      <c s="28" r="K41"/>
      <c s="28" r="L41"/>
      <c s="28" r="M41"/>
    </row>
    <row customHeight="1" r="42" ht="17.25">
      <c s="72" r="A42"/>
      <c s="28" r="B42"/>
      <c s="146" r="C42"/>
      <c s="147" r="D42"/>
      <c s="148" r="E42"/>
      <c s="149" r="F42"/>
      <c s="28" r="G42"/>
      <c s="28" r="H42"/>
      <c s="28" r="I42"/>
      <c s="28" r="J42"/>
      <c s="28" r="K42"/>
      <c s="28" r="L42"/>
      <c s="28" r="M42"/>
    </row>
    <row customHeight="1" r="43" ht="17.25">
      <c s="72" r="A43"/>
      <c s="28" r="B43"/>
      <c t="s" s="108" r="C43">
        <v>223</v>
      </c>
      <c s="162" r="D43"/>
      <c s="163" r="E43"/>
      <c s="81" r="F43">
        <v>19000.0</v>
      </c>
      <c s="28" r="G43"/>
      <c t="s" s="116" r="H43">
        <v>224</v>
      </c>
      <c s="117" r="I43"/>
      <c s="118" r="J43"/>
      <c t="str" s="119" r="K43">
        <f>K40+F45+F27+F21</f>
        <v> $  520.999,60 </v>
      </c>
      <c s="28" r="L43"/>
      <c s="28" r="M43"/>
    </row>
    <row customHeight="1" r="44" ht="17.25">
      <c s="72" r="A44"/>
      <c s="28" r="B44"/>
      <c s="146" r="C44"/>
      <c s="147" r="D44"/>
      <c s="148" r="E44"/>
      <c s="149" r="F44"/>
      <c s="28" r="G44"/>
      <c s="28" r="H44"/>
      <c s="28" r="I44"/>
      <c s="28" r="J44"/>
      <c s="28" r="K44"/>
      <c s="28" r="L44"/>
      <c s="28" r="M44"/>
    </row>
    <row customHeight="1" r="45" ht="17.25">
      <c s="72" r="A45"/>
      <c s="28" r="B45"/>
      <c t="s" s="97" r="C45">
        <v>225</v>
      </c>
      <c s="141" r="D45"/>
      <c s="142" r="E45"/>
      <c t="str" s="100" r="F45">
        <f>F43+F41+F35+F33+F31</f>
        <v> $  330.400,00 </v>
      </c>
      <c s="28" r="G45"/>
      <c s="28" r="H45"/>
      <c s="28" r="I45"/>
      <c s="28" r="J45"/>
      <c s="28" r="K45"/>
      <c s="28" r="L45"/>
      <c s="28" r="M45"/>
    </row>
    <row customHeight="1" r="46" ht="18.0">
      <c s="72" r="A46"/>
      <c s="28" r="B46"/>
      <c s="28" r="C46"/>
      <c s="28" r="D46"/>
      <c s="28" r="E46"/>
      <c s="28" r="F46"/>
      <c s="28" r="G46"/>
      <c s="28" r="H46"/>
      <c s="28" r="I46"/>
      <c s="28" r="J46"/>
      <c s="28" r="K46"/>
      <c s="28" r="L46"/>
      <c s="28" r="M46"/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75"/>
  <cols>
    <col min="1" customWidth="1" max="1" width="17.29"/>
    <col min="2" customWidth="1" max="2" width="3.43"/>
    <col min="3" customWidth="1" max="3" width="33.43"/>
    <col min="4" customWidth="1" max="4" width="12.29"/>
    <col min="5" customWidth="1" max="5" width="14.29"/>
    <col min="6" customWidth="1" max="6" width="13.57"/>
    <col min="7" customWidth="1" max="7" width="17.29"/>
  </cols>
  <sheetData>
    <row customHeight="1" r="1" ht="15.75">
      <c s="27" r="A1"/>
      <c s="27" r="B1"/>
      <c s="27" r="C1"/>
      <c s="27" r="D1"/>
      <c s="27" r="E1"/>
      <c s="27" r="F1"/>
      <c s="27" r="G1"/>
    </row>
    <row customHeight="1" r="2" ht="18.0">
      <c s="27" r="A2"/>
      <c s="28" r="B2"/>
      <c s="39" r="C2"/>
      <c s="39" r="D2"/>
      <c s="39" r="E2"/>
      <c s="39" r="F2"/>
      <c s="39" r="G2"/>
    </row>
    <row customHeight="1" r="3" ht="17.25">
      <c s="27" r="A3"/>
      <c s="28" r="B3"/>
      <c t="s" s="73" r="C3">
        <v>226</v>
      </c>
      <c s="39" r="D3"/>
      <c s="39" r="E3"/>
      <c s="39" r="F3"/>
      <c s="39" r="G3"/>
    </row>
    <row customHeight="1" r="4" ht="18.0">
      <c s="27" r="A4"/>
      <c s="28" r="B4"/>
      <c s="39" r="C4"/>
      <c s="39" r="D4"/>
      <c s="39" r="E4"/>
      <c s="39" r="F4"/>
      <c s="39" r="G4"/>
    </row>
    <row customHeight="1" r="5" ht="21.75">
      <c s="27" r="A5"/>
      <c s="28" r="B5"/>
      <c t="s" s="76" r="C5">
        <v>227</v>
      </c>
      <c t="s" s="43" r="D5">
        <v>228</v>
      </c>
      <c t="s" s="43" r="E5">
        <v>229</v>
      </c>
      <c t="s" s="43" r="F5">
        <v>230</v>
      </c>
      <c s="39" r="G5"/>
    </row>
    <row customHeight="1" r="6" ht="17.25">
      <c s="27" r="A6"/>
      <c s="28" r="B6"/>
      <c t="s" s="77" r="C6">
        <v>231</v>
      </c>
      <c s="171" r="D6">
        <v>7100.0</v>
      </c>
      <c s="124" r="E6">
        <v>2.0</v>
      </c>
      <c t="str" s="80" r="F6">
        <f>E6*D6</f>
        <v> $  14.200,00 </v>
      </c>
      <c s="39" r="G6"/>
    </row>
    <row customHeight="1" r="7" ht="17.25">
      <c s="27" r="A7"/>
      <c s="49" r="B7"/>
      <c t="s" s="77" r="C7">
        <v>232</v>
      </c>
      <c s="171" r="D7">
        <v>7100.0</v>
      </c>
      <c s="124" r="E7">
        <v>2.0</v>
      </c>
      <c t="str" s="80" r="F7">
        <f>E7*D7</f>
        <v> $  14.200,00 </v>
      </c>
      <c s="39" r="G7"/>
    </row>
    <row customHeight="1" r="8" ht="17.25">
      <c s="27" r="A8"/>
      <c s="28" r="B8"/>
      <c t="s" s="77" r="C8">
        <v>233</v>
      </c>
      <c s="171" r="D8">
        <v>7100.0</v>
      </c>
      <c s="124" r="E8">
        <v>2.0</v>
      </c>
      <c t="str" s="80" r="F8">
        <f>E8*D8</f>
        <v> $  14.200,00 </v>
      </c>
      <c s="39" r="G8"/>
    </row>
    <row customHeight="1" r="9" ht="17.25">
      <c s="27" r="A9"/>
      <c s="28" r="B9"/>
      <c t="s" s="77" r="C9">
        <v>234</v>
      </c>
      <c s="171" r="D9">
        <v>7100.0</v>
      </c>
      <c s="124" r="E9">
        <v>2.0</v>
      </c>
      <c t="str" s="80" r="F9">
        <f>E9*D9</f>
        <v> $  14.200,00 </v>
      </c>
      <c s="39" r="G9"/>
    </row>
    <row customHeight="1" r="10" ht="17.25">
      <c s="27" r="A10"/>
      <c s="28" r="B10"/>
      <c t="s" s="77" r="C10">
        <v>235</v>
      </c>
      <c s="171" r="D10">
        <v>7100.0</v>
      </c>
      <c s="124" r="E10">
        <v>2.0</v>
      </c>
      <c t="str" s="80" r="F10">
        <f>E10*D10</f>
        <v> $  14.200,00 </v>
      </c>
      <c s="39" r="G10"/>
    </row>
    <row customHeight="1" r="11" ht="17.25">
      <c s="27" r="A11"/>
      <c s="28" r="B11"/>
      <c t="s" s="77" r="C11">
        <v>236</v>
      </c>
      <c s="171" r="D11">
        <v>7100.0</v>
      </c>
      <c s="124" r="E11">
        <v>1.0</v>
      </c>
      <c t="str" s="80" r="F11">
        <f>E11*D11</f>
        <v> $  7.100,00 </v>
      </c>
      <c s="39" r="G11"/>
    </row>
    <row customHeight="1" r="12" ht="17.25">
      <c s="27" r="A12"/>
      <c s="28" r="B12"/>
      <c t="s" s="77" r="C12">
        <v>237</v>
      </c>
      <c s="171" r="D12">
        <v>8000.0</v>
      </c>
      <c s="124" r="E12">
        <v>1.0</v>
      </c>
      <c t="str" s="80" r="F12">
        <f>E12*D12</f>
        <v> $  8.000,00 </v>
      </c>
      <c s="39" r="G12"/>
    </row>
    <row customHeight="1" r="13" ht="17.25">
      <c s="27" r="A13"/>
      <c s="28" r="B13"/>
      <c t="s" s="77" r="C13">
        <v>238</v>
      </c>
      <c s="171" r="D13">
        <v>11200.0</v>
      </c>
      <c s="124" r="E13">
        <v>5.0</v>
      </c>
      <c t="str" s="80" r="F13">
        <f>E13*D13</f>
        <v> $  56.000,00 </v>
      </c>
      <c s="39" r="G13"/>
    </row>
    <row customHeight="1" r="14" ht="17.25">
      <c s="27" r="A14"/>
      <c s="28" r="B14"/>
      <c t="s" s="77" r="C14">
        <v>239</v>
      </c>
      <c s="171" r="D14">
        <v>15000.0</v>
      </c>
      <c s="124" r="E14">
        <v>1.0</v>
      </c>
      <c t="str" s="80" r="F14">
        <f>E14*D14</f>
        <v> $  15.000,00 </v>
      </c>
      <c s="39" r="G14"/>
    </row>
    <row customHeight="1" r="15" ht="17.25">
      <c s="27" r="A15"/>
      <c s="28" r="B15"/>
      <c t="s" s="97" r="C15">
        <v>240</v>
      </c>
      <c s="141" r="D15"/>
      <c t="str" s="172" r="E15">
        <f>SUM(E6:E14)</f>
        <v>18</v>
      </c>
      <c t="str" s="100" r="F15">
        <f>SUM(F6:F14)</f>
        <v> $  157.100,00 </v>
      </c>
      <c s="39" r="G15"/>
    </row>
    <row customHeight="1" r="16" ht="17.25">
      <c s="27" r="A16"/>
      <c s="28" r="B16"/>
      <c t="s" s="173" r="C16">
        <v>241</v>
      </c>
      <c s="174" r="D16"/>
      <c s="175" r="E16"/>
      <c t="str" s="176" r="F16">
        <f>F15*12</f>
        <v> $  1.885.200,00 </v>
      </c>
      <c s="39" r="G16"/>
    </row>
    <row customHeight="1" r="17" ht="17.25">
      <c s="27" r="A17"/>
      <c s="28" r="B17"/>
      <c s="177" r="C17"/>
      <c s="147" r="D17"/>
      <c s="148" r="E17"/>
      <c s="148" r="F17"/>
      <c s="39" r="G17"/>
    </row>
    <row customHeight="1" r="18" ht="17.25">
      <c s="27" r="A18"/>
      <c s="28" r="B18"/>
      <c t="s" s="173" r="C18">
        <v>242</v>
      </c>
      <c s="174" r="D18"/>
      <c s="175" r="E18"/>
      <c t="str" s="176" r="F18">
        <f>F15</f>
        <v> $  157.100,00 </v>
      </c>
      <c s="39" r="G18"/>
    </row>
    <row customHeight="1" r="19" ht="17.25">
      <c s="27" r="A19"/>
      <c s="28" r="B19"/>
      <c s="177" r="C19"/>
      <c s="147" r="D19"/>
      <c s="148" r="E19"/>
      <c s="148" r="F19"/>
      <c s="39" r="G19"/>
    </row>
    <row customHeight="1" r="20" ht="17.25">
      <c s="27" r="A20"/>
      <c s="28" r="B20"/>
      <c t="s" s="173" r="C20">
        <v>243</v>
      </c>
      <c s="174" r="D20"/>
      <c s="175" r="E20"/>
      <c t="str" s="176" r="F20">
        <f>Consideraciones!D15*(F18+F16)</f>
        <v> $  612.690,00 </v>
      </c>
      <c s="39" r="G20"/>
    </row>
    <row customHeight="1" r="21" ht="17.25">
      <c s="27" r="A21"/>
      <c s="28" r="B21"/>
      <c s="178" r="C21"/>
      <c s="156" r="D21"/>
      <c s="157" r="E21"/>
      <c s="157" r="F21"/>
      <c s="39" r="G21"/>
    </row>
    <row customHeight="1" r="22" ht="17.25">
      <c s="27" r="A22"/>
      <c s="28" r="B22"/>
      <c t="s" s="74" r="C22">
        <v>244</v>
      </c>
      <c s="179" r="D22"/>
      <c s="87" r="E22"/>
      <c s="87" r="F22"/>
      <c s="39" r="G22"/>
    </row>
    <row customHeight="1" r="23" ht="17.25">
      <c s="27" r="A23"/>
      <c s="28" r="B23"/>
      <c t="s" s="180" r="C23">
        <v>245</v>
      </c>
      <c s="162" r="D23"/>
      <c s="181" r="E23"/>
      <c s="78" r="F23">
        <v>30.0</v>
      </c>
      <c s="39" r="G23"/>
    </row>
    <row customHeight="1" r="24" ht="17.25">
      <c s="27" r="A24"/>
      <c s="28" r="B24"/>
      <c t="s" s="180" r="C24">
        <v>246</v>
      </c>
      <c s="162" r="D24"/>
      <c s="181" r="E24"/>
      <c t="str" s="182" r="F24">
        <f>+Consideraciones!D6</f>
        <v>  20 </v>
      </c>
      <c s="39" r="G24"/>
    </row>
    <row customHeight="1" r="25" ht="17.25">
      <c s="27" r="A25"/>
      <c s="28" r="B25"/>
      <c t="s" s="180" r="C25">
        <v>247</v>
      </c>
      <c s="162" r="D25"/>
      <c s="181" r="E25"/>
      <c t="str" s="182" r="F25">
        <f>+Consideraciones!D7</f>
        <v>  12 </v>
      </c>
      <c s="39" r="G25"/>
    </row>
    <row customHeight="1" r="26" ht="17.25">
      <c s="27" r="A26"/>
      <c s="28" r="B26"/>
      <c t="s" s="97" r="C26">
        <v>248</v>
      </c>
      <c s="141" r="D26"/>
      <c s="172" r="E26"/>
      <c t="str" s="100" r="F26">
        <f>+F25*F24*F23*E15</f>
        <v> $  129.600,00 </v>
      </c>
      <c s="39" r="G26"/>
    </row>
    <row customHeight="1" r="27" ht="17.25">
      <c s="27" r="A27"/>
      <c s="28" r="B27"/>
      <c s="183" r="C27"/>
      <c s="184" r="D27"/>
      <c s="185" r="E27"/>
      <c s="185" r="F27"/>
      <c s="39" r="G27"/>
    </row>
    <row customHeight="1" r="28" ht="17.25">
      <c s="27" r="A28"/>
      <c s="28" r="B28"/>
      <c t="s" s="173" r="C28">
        <v>249</v>
      </c>
      <c s="174" r="D28"/>
      <c s="175" r="E28"/>
      <c t="str" s="176" r="F28">
        <f>F26+F20+F18+F16</f>
        <v> $  2.784.590,00 </v>
      </c>
      <c s="39" r="G28"/>
    </row>
    <row customHeight="1" r="29" ht="17.25">
      <c s="27" r="A29"/>
      <c s="28" r="B29"/>
      <c s="178" r="C29"/>
      <c s="156" r="D29"/>
      <c s="157" r="E29"/>
      <c s="157" r="F29"/>
      <c s="39" r="G29"/>
    </row>
    <row customHeight="1" r="30" ht="17.25">
      <c s="27" r="A30"/>
      <c s="28" r="B30"/>
      <c t="s" s="108" r="C30">
        <v>250</v>
      </c>
      <c s="109" r="D30"/>
      <c s="110" r="E30"/>
      <c s="186" r="F30">
        <v>200.0</v>
      </c>
      <c s="39" r="G30"/>
    </row>
    <row customHeight="1" r="31" ht="17.25">
      <c s="27" r="A31"/>
      <c s="28" r="B31"/>
      <c s="39" r="C31"/>
      <c s="39" r="D31"/>
      <c s="39" r="E31"/>
      <c s="187" r="F31"/>
      <c s="39" r="G31"/>
    </row>
    <row customHeight="1" r="32" ht="17.25">
      <c s="27" r="A32"/>
      <c s="28" r="B32"/>
      <c t="s" s="116" r="C32">
        <v>251</v>
      </c>
      <c s="188" r="D32"/>
      <c s="189" r="E32"/>
      <c t="str" s="190" r="F32">
        <f>+F30+F28</f>
        <v> $  2.784.790,00 </v>
      </c>
      <c s="39" r="G32"/>
    </row>
    <row customHeight="1" r="33" ht="17.25">
      <c s="27" r="A33"/>
      <c s="28" r="B33"/>
      <c s="115" r="C33"/>
      <c s="191" r="D33"/>
      <c s="39" r="E33"/>
      <c s="39" r="F33"/>
      <c s="39" r="G33"/>
    </row>
  </sheetData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75"/>
  <cols>
    <col min="1" customWidth="1" max="1" width="3.86"/>
    <col min="2" customWidth="1" max="2" width="2.71"/>
    <col min="3" customWidth="1" max="3" width="17.86"/>
    <col min="4" customWidth="1" max="4" width="18.0"/>
    <col min="5" customWidth="1" max="5" width="12.14"/>
    <col min="6" customWidth="1" max="6" width="12.71"/>
    <col min="7" customWidth="1" max="7" width="14.14"/>
    <col min="8" customWidth="1" max="8" width="17.29"/>
  </cols>
  <sheetData>
    <row customHeight="1" r="1" ht="15.75">
      <c s="72" r="A1"/>
      <c s="72" r="B1"/>
      <c s="72" r="C1"/>
      <c s="72" r="D1"/>
      <c s="72" r="E1"/>
      <c s="72" r="F1"/>
      <c s="72" r="G1"/>
      <c s="72" r="H1"/>
    </row>
    <row customHeight="1" r="2" ht="12.75">
      <c s="192" r="A2"/>
      <c s="193" r="B2"/>
      <c s="194" r="C2"/>
      <c s="194" r="D2"/>
      <c s="194" r="E2"/>
      <c s="194" r="F2"/>
      <c s="195" r="G2"/>
      <c s="194" r="H2"/>
    </row>
    <row customHeight="1" r="3" ht="15.75">
      <c s="192" r="A3"/>
      <c s="193" r="B3"/>
      <c t="s" s="196" r="C3">
        <v>252</v>
      </c>
      <c s="194" r="D3"/>
      <c s="194" r="E3"/>
      <c s="194" r="F3"/>
      <c s="194" r="G3"/>
      <c s="194" r="H3"/>
    </row>
    <row customHeight="1" r="4" ht="12.75">
      <c s="197" r="A4"/>
      <c s="39" r="B4"/>
      <c s="198" r="C4"/>
      <c s="194" r="D4"/>
      <c s="194" r="E4"/>
      <c s="194" r="F4"/>
      <c s="194" r="G4"/>
      <c s="194" r="H4"/>
    </row>
    <row customHeight="1" r="5" ht="12.75">
      <c s="197" r="A5"/>
      <c s="39" r="B5"/>
      <c t="s" s="199" r="C5">
        <v>253</v>
      </c>
      <c s="200" r="D5">
        <v>2350000.0</v>
      </c>
      <c s="194" r="E5"/>
      <c t="s" s="201" r="F5">
        <v>254</v>
      </c>
      <c s="194" r="H5"/>
    </row>
    <row customHeight="1" r="6" ht="12.75">
      <c s="197" r="A6"/>
      <c s="39" r="B6"/>
      <c t="s" s="202" r="C6">
        <v>255</v>
      </c>
      <c t="str" s="203" r="D6">
        <f>+D5-D7</f>
        <v> $  600.000,00 </v>
      </c>
      <c s="194" r="E6"/>
      <c t="s" s="204" r="F6">
        <v>256</v>
      </c>
      <c t="str" s="205" r="G6">
        <f>(COUNT(C10:C42)*(COUNT(C10:C42)+1))/2</f>
        <v>561</v>
      </c>
      <c s="194" r="H6"/>
    </row>
    <row customHeight="1" r="7" ht="12.75">
      <c s="197" r="A7"/>
      <c s="39" r="B7"/>
      <c t="s" s="199" r="C7">
        <v>257</v>
      </c>
      <c s="200" r="D7">
        <v>1750000.0</v>
      </c>
      <c s="194" r="E7"/>
      <c s="39" r="F7"/>
      <c s="39" r="G7"/>
      <c s="194" r="H7"/>
    </row>
    <row customHeight="1" r="8" ht="12.75">
      <c s="197" r="A8"/>
      <c s="39" r="B8"/>
      <c s="194" r="C8"/>
      <c s="194" r="D8"/>
      <c s="39" r="E8"/>
      <c s="39" r="F8"/>
      <c s="39" r="G8"/>
      <c s="39" r="H8"/>
    </row>
    <row customHeight="1" r="9" ht="25.5">
      <c s="197" r="A9"/>
      <c s="39" r="B9"/>
      <c t="s" s="43" r="C9">
        <v>258</v>
      </c>
      <c t="s" s="43" r="D9">
        <v>259</v>
      </c>
      <c t="s" s="43" r="E9">
        <v>260</v>
      </c>
      <c t="s" s="43" r="F9">
        <v>261</v>
      </c>
      <c t="s" s="43" r="G9">
        <v>262</v>
      </c>
      <c s="206" r="H9"/>
    </row>
    <row customHeight="1" r="10" ht="13.5">
      <c s="72" r="A10"/>
      <c s="28" r="B10"/>
      <c s="122" r="C10">
        <v>1.0</v>
      </c>
      <c t="str" s="203" r="D10">
        <f>+$D$7</f>
        <v> $  1.750.000,00 </v>
      </c>
      <c t="str" s="207" r="E10">
        <f>C10/$G$6</f>
        <v>0,0018</v>
      </c>
      <c t="str" s="203" r="F10">
        <f>D10*E10</f>
        <v> $  3.119,43 </v>
      </c>
      <c t="str" s="208" r="G10">
        <f>D5-F10</f>
        <v> $  2.346.880,57 </v>
      </c>
      <c s="28" r="H10"/>
    </row>
    <row customHeight="1" r="11" ht="13.5">
      <c s="72" r="A11"/>
      <c s="28" r="B11"/>
      <c t="str" s="122" r="C11">
        <f>C10+1</f>
        <v>2</v>
      </c>
      <c t="str" s="203" r="D11">
        <f>+$D$7</f>
        <v> $  1.750.000,00 </v>
      </c>
      <c t="str" s="207" r="E11">
        <f>C11/$G$6</f>
        <v>0,0036</v>
      </c>
      <c t="str" s="203" r="F11">
        <f>D11*E11</f>
        <v> $  6.238,86 </v>
      </c>
      <c t="str" s="208" r="G11">
        <f>G10-F11</f>
        <v> $  2.340.641,71 </v>
      </c>
      <c s="28" r="H11"/>
    </row>
    <row customHeight="1" r="12" ht="13.5">
      <c s="72" r="A12"/>
      <c s="28" r="B12"/>
      <c t="str" s="122" r="C12">
        <f>C11+1</f>
        <v>3</v>
      </c>
      <c t="str" s="203" r="D12">
        <f>+$D$7</f>
        <v> $  1.750.000,00 </v>
      </c>
      <c t="str" s="207" r="E12">
        <f>C12/$G$6</f>
        <v>0,0053</v>
      </c>
      <c t="str" s="203" r="F12">
        <f>D12*E12</f>
        <v> $  9.358,29 </v>
      </c>
      <c t="str" s="208" r="G12">
        <f>G11-F12</f>
        <v> $  2.331.283,42 </v>
      </c>
      <c s="28" r="H12"/>
    </row>
    <row customHeight="1" r="13" ht="13.5">
      <c s="72" r="A13"/>
      <c s="28" r="B13"/>
      <c t="str" s="122" r="C13">
        <f>C12+1</f>
        <v>4</v>
      </c>
      <c t="str" s="203" r="D13">
        <f>+$D$7</f>
        <v> $  1.750.000,00 </v>
      </c>
      <c t="str" s="207" r="E13">
        <f>C13/$G$6</f>
        <v>0,0071</v>
      </c>
      <c t="str" s="203" r="F13">
        <f>D13*E13</f>
        <v> $  12.477,72 </v>
      </c>
      <c t="str" s="208" r="G13">
        <f>G12-F13</f>
        <v> $  2.318.805,70 </v>
      </c>
      <c s="28" r="H13"/>
    </row>
    <row customHeight="1" r="14" ht="13.5">
      <c s="72" r="A14"/>
      <c s="28" r="B14"/>
      <c t="str" s="122" r="C14">
        <f>C13+1</f>
        <v>5</v>
      </c>
      <c t="str" s="203" r="D14">
        <f>+$D$7</f>
        <v> $  1.750.000,00 </v>
      </c>
      <c t="str" s="207" r="E14">
        <f>C14/$G$6</f>
        <v>0,0089</v>
      </c>
      <c t="str" s="203" r="F14">
        <f>D14*E14</f>
        <v> $  15.597,15 </v>
      </c>
      <c t="str" s="208" r="G14">
        <f>G13-F14</f>
        <v> $  2.303.208,56 </v>
      </c>
      <c s="28" r="H14"/>
    </row>
    <row customHeight="1" r="15" ht="13.5">
      <c s="72" r="A15"/>
      <c s="28" r="B15"/>
      <c t="str" s="122" r="C15">
        <f>C14+1</f>
        <v>6</v>
      </c>
      <c t="str" s="203" r="D15">
        <f>+$D$7</f>
        <v> $  1.750.000,00 </v>
      </c>
      <c t="str" s="207" r="E15">
        <f>C15/$G$6</f>
        <v>0,0107</v>
      </c>
      <c t="str" s="203" r="F15">
        <f>D15*E15</f>
        <v> $  18.716,58 </v>
      </c>
      <c t="str" s="208" r="G15">
        <f>G14-F15</f>
        <v> $  2.284.491,98 </v>
      </c>
      <c s="28" r="H15"/>
    </row>
    <row customHeight="1" r="16" ht="13.5">
      <c s="72" r="A16"/>
      <c s="28" r="B16"/>
      <c t="str" s="122" r="C16">
        <f>C15+1</f>
        <v>7</v>
      </c>
      <c t="str" s="203" r="D16">
        <f>+$D$7</f>
        <v> $  1.750.000,00 </v>
      </c>
      <c t="str" s="207" r="E16">
        <f>C16/$G$6</f>
        <v>0,0125</v>
      </c>
      <c t="str" s="203" r="F16">
        <f>D16*E16</f>
        <v> $  21.836,01 </v>
      </c>
      <c t="str" s="208" r="G16">
        <f>G15-F16</f>
        <v> $  2.262.655,97 </v>
      </c>
      <c s="28" r="H16"/>
    </row>
    <row customHeight="1" r="17" ht="13.5">
      <c s="72" r="A17"/>
      <c s="28" r="B17"/>
      <c t="str" s="122" r="C17">
        <f>C16+1</f>
        <v>8</v>
      </c>
      <c t="str" s="203" r="D17">
        <f>+$D$7</f>
        <v> $  1.750.000,00 </v>
      </c>
      <c t="str" s="207" r="E17">
        <f>C17/$G$6</f>
        <v>0,0143</v>
      </c>
      <c t="str" s="203" r="F17">
        <f>D17*E17</f>
        <v> $  24.955,44 </v>
      </c>
      <c t="str" s="208" r="G17">
        <f>G16-F17</f>
        <v> $  2.237.700,53 </v>
      </c>
      <c s="28" r="H17"/>
    </row>
    <row customHeight="1" r="18" ht="13.5">
      <c s="72" r="A18"/>
      <c s="28" r="B18"/>
      <c t="str" s="122" r="C18">
        <f>C17+1</f>
        <v>9</v>
      </c>
      <c t="str" s="203" r="D18">
        <f>+$D$7</f>
        <v> $  1.750.000,00 </v>
      </c>
      <c t="str" s="207" r="E18">
        <f>C18/$G$6</f>
        <v>0,0160</v>
      </c>
      <c t="str" s="203" r="F18">
        <f>D18*E18</f>
        <v> $  28.074,87 </v>
      </c>
      <c t="str" s="208" r="G18">
        <f>G17-F18</f>
        <v> $  2.209.625,67 </v>
      </c>
      <c s="28" r="H18"/>
    </row>
    <row customHeight="1" r="19" ht="13.5">
      <c s="72" r="A19"/>
      <c s="28" r="B19"/>
      <c t="str" s="122" r="C19">
        <f>C18+1</f>
        <v>10</v>
      </c>
      <c t="str" s="203" r="D19">
        <f>+$D$7</f>
        <v> $  1.750.000,00 </v>
      </c>
      <c t="str" s="207" r="E19">
        <f>C19/$G$6</f>
        <v>0,0178</v>
      </c>
      <c t="str" s="203" r="F19">
        <f>D19*E19</f>
        <v> $  31.194,30 </v>
      </c>
      <c t="str" s="208" r="G19">
        <f>G18-F19</f>
        <v> $  2.178.431,37 </v>
      </c>
      <c s="28" r="H19"/>
    </row>
    <row customHeight="1" r="20" ht="13.5">
      <c s="72" r="A20"/>
      <c s="28" r="B20"/>
      <c t="str" s="122" r="C20">
        <f>C19+1</f>
        <v>11</v>
      </c>
      <c t="str" s="203" r="D20">
        <f>+$D$7</f>
        <v> $  1.750.000,00 </v>
      </c>
      <c t="str" s="207" r="E20">
        <f>C20/$G$6</f>
        <v>0,0196</v>
      </c>
      <c t="str" s="203" r="F20">
        <f>D20*E20</f>
        <v> $  34.313,73 </v>
      </c>
      <c t="str" s="208" r="G20">
        <f>G19-F20</f>
        <v> $  2.144.117,65 </v>
      </c>
      <c s="28" r="H20"/>
    </row>
    <row customHeight="1" r="21" ht="13.5">
      <c s="72" r="A21"/>
      <c s="28" r="B21"/>
      <c t="str" s="122" r="C21">
        <f>C20+1</f>
        <v>12</v>
      </c>
      <c t="str" s="203" r="D21">
        <f>+$D$7</f>
        <v> $  1.750.000,00 </v>
      </c>
      <c t="str" s="207" r="E21">
        <f>C21/$G$6</f>
        <v>0,0214</v>
      </c>
      <c t="str" s="203" r="F21">
        <f>D21*E21</f>
        <v> $  37.433,16 </v>
      </c>
      <c t="str" s="208" r="G21">
        <f>G20-F21</f>
        <v> $  2.106.684,49 </v>
      </c>
      <c s="28" r="H21"/>
    </row>
    <row customHeight="1" r="22" ht="13.5">
      <c s="72" r="A22"/>
      <c s="28" r="B22"/>
      <c t="str" s="122" r="C22">
        <f>C21+1</f>
        <v>13</v>
      </c>
      <c t="str" s="203" r="D22">
        <f>+$D$7</f>
        <v> $  1.750.000,00 </v>
      </c>
      <c t="str" s="207" r="E22">
        <f>C22/$G$6</f>
        <v>0,0232</v>
      </c>
      <c t="str" s="203" r="F22">
        <f>D22*E22</f>
        <v> $  40.552,58 </v>
      </c>
      <c t="str" s="208" r="G22">
        <f>G21-F22</f>
        <v> $  2.066.131,91 </v>
      </c>
      <c s="28" r="H22"/>
    </row>
    <row customHeight="1" r="23" ht="13.5">
      <c s="72" r="A23"/>
      <c s="28" r="B23"/>
      <c t="str" s="122" r="C23">
        <f>C22+1</f>
        <v>14</v>
      </c>
      <c t="str" s="203" r="D23">
        <f>+$D$7</f>
        <v> $  1.750.000,00 </v>
      </c>
      <c t="str" s="207" r="E23">
        <f>C23/$G$6</f>
        <v>0,0250</v>
      </c>
      <c t="str" s="203" r="F23">
        <f>D23*E23</f>
        <v> $  43.672,01 </v>
      </c>
      <c t="str" s="208" r="G23">
        <f>G22-F23</f>
        <v> $  2.022.459,89 </v>
      </c>
      <c s="28" r="H23"/>
    </row>
    <row customHeight="1" r="24" ht="13.5">
      <c s="72" r="A24"/>
      <c s="28" r="B24"/>
      <c t="str" s="122" r="C24">
        <f>C23+1</f>
        <v>15</v>
      </c>
      <c t="str" s="203" r="D24">
        <f>+$D$7</f>
        <v> $  1.750.000,00 </v>
      </c>
      <c t="str" s="207" r="E24">
        <f>C24/$G$6</f>
        <v>0,0267</v>
      </c>
      <c t="str" s="203" r="F24">
        <f>D24*E24</f>
        <v> $  46.791,44 </v>
      </c>
      <c t="str" s="208" r="G24">
        <f>G23-F24</f>
        <v> $  1.975.668,45 </v>
      </c>
      <c s="28" r="H24"/>
    </row>
    <row customHeight="1" r="25" ht="13.5">
      <c s="72" r="A25"/>
      <c s="28" r="B25"/>
      <c t="str" s="122" r="C25">
        <f>C24+1</f>
        <v>16</v>
      </c>
      <c t="str" s="203" r="D25">
        <f>+$D$7</f>
        <v> $  1.750.000,00 </v>
      </c>
      <c t="str" s="207" r="E25">
        <f>C25/$G$6</f>
        <v>0,0285</v>
      </c>
      <c t="str" s="203" r="F25">
        <f>D25*E25</f>
        <v> $  49.910,87 </v>
      </c>
      <c t="str" s="208" r="G25">
        <f>G24-F25</f>
        <v> $  1.925.757,58 </v>
      </c>
      <c s="28" r="H25"/>
    </row>
    <row customHeight="1" r="26" ht="13.5">
      <c s="72" r="A26"/>
      <c s="28" r="B26"/>
      <c t="str" s="122" r="C26">
        <f>C25+1</f>
        <v>17</v>
      </c>
      <c t="str" s="203" r="D26">
        <f>+$D$7</f>
        <v> $  1.750.000,00 </v>
      </c>
      <c t="str" s="207" r="E26">
        <f>C26/$G$6</f>
        <v>0,0303</v>
      </c>
      <c t="str" s="203" r="F26">
        <f>D26*E26</f>
        <v> $  53.030,30 </v>
      </c>
      <c t="str" s="208" r="G26">
        <f>G25-F26</f>
        <v> $  1.872.727,27 </v>
      </c>
      <c s="28" r="H26"/>
    </row>
    <row customHeight="1" r="27" ht="13.5">
      <c s="72" r="A27"/>
      <c s="28" r="B27"/>
      <c t="str" s="122" r="C27">
        <f>C26+1</f>
        <v>18</v>
      </c>
      <c t="str" s="203" r="D27">
        <f>+$D$7</f>
        <v> $  1.750.000,00 </v>
      </c>
      <c t="str" s="207" r="E27">
        <f>C27/$G$6</f>
        <v>0,0321</v>
      </c>
      <c t="str" s="203" r="F27">
        <f>D27*E27</f>
        <v> $  56.149,73 </v>
      </c>
      <c t="str" s="208" r="G27">
        <f>G26-F27</f>
        <v> $  1.816.577,54 </v>
      </c>
      <c s="28" r="H27"/>
    </row>
    <row customHeight="1" r="28" ht="13.5">
      <c s="72" r="A28"/>
      <c s="28" r="B28"/>
      <c t="str" s="122" r="C28">
        <f>C27+1</f>
        <v>19</v>
      </c>
      <c t="str" s="203" r="D28">
        <f>+$D$7</f>
        <v> $  1.750.000,00 </v>
      </c>
      <c t="str" s="207" r="E28">
        <f>C28/$G$6</f>
        <v>0,0339</v>
      </c>
      <c t="str" s="203" r="F28">
        <f>D28*E28</f>
        <v> $  59.269,16 </v>
      </c>
      <c t="str" s="208" r="G28">
        <f>G27-F28</f>
        <v> $  1.757.308,38 </v>
      </c>
      <c s="28" r="H28"/>
    </row>
    <row customHeight="1" r="29" ht="13.5">
      <c s="72" r="A29"/>
      <c s="28" r="B29"/>
      <c t="str" s="122" r="C29">
        <f>C28+1</f>
        <v>20</v>
      </c>
      <c t="str" s="203" r="D29">
        <f>+$D$7</f>
        <v> $  1.750.000,00 </v>
      </c>
      <c t="str" s="207" r="E29">
        <f>C29/$G$6</f>
        <v>0,0357</v>
      </c>
      <c t="str" s="203" r="F29">
        <f>D29*E29</f>
        <v> $  62.388,59 </v>
      </c>
      <c t="str" s="208" r="G29">
        <f>G28-F29</f>
        <v> $  1.694.919,79 </v>
      </c>
      <c s="28" r="H29"/>
    </row>
    <row customHeight="1" r="30" ht="13.5">
      <c s="72" r="A30"/>
      <c s="28" r="B30"/>
      <c t="str" s="122" r="C30">
        <f>C29+1</f>
        <v>21</v>
      </c>
      <c t="str" s="203" r="D30">
        <f>+$D$7</f>
        <v> $  1.750.000,00 </v>
      </c>
      <c t="str" s="207" r="E30">
        <f>C30/$G$6</f>
        <v>0,0374</v>
      </c>
      <c t="str" s="203" r="F30">
        <f>D30*E30</f>
        <v> $  65.508,02 </v>
      </c>
      <c t="str" s="208" r="G30">
        <f>G29-F30</f>
        <v> $  1.629.411,76 </v>
      </c>
      <c s="28" r="H30"/>
    </row>
    <row customHeight="1" r="31" ht="13.5">
      <c s="72" r="A31"/>
      <c s="28" r="B31"/>
      <c t="str" s="122" r="C31">
        <f>C30+1</f>
        <v>22</v>
      </c>
      <c t="str" s="203" r="D31">
        <f>+$D$7</f>
        <v> $  1.750.000,00 </v>
      </c>
      <c t="str" s="207" r="E31">
        <f>C31/$G$6</f>
        <v>0,0392</v>
      </c>
      <c t="str" s="203" r="F31">
        <f>D31*E31</f>
        <v> $  68.627,45 </v>
      </c>
      <c t="str" s="208" r="G31">
        <f>G30-F31</f>
        <v> $  1.560.784,31 </v>
      </c>
      <c s="28" r="H31"/>
    </row>
    <row customHeight="1" r="32" ht="13.5">
      <c s="72" r="A32"/>
      <c s="28" r="B32"/>
      <c t="str" s="122" r="C32">
        <f>C31+1</f>
        <v>23</v>
      </c>
      <c t="str" s="203" r="D32">
        <f>+$D$7</f>
        <v> $  1.750.000,00 </v>
      </c>
      <c t="str" s="207" r="E32">
        <f>C32/$G$6</f>
        <v>0,0410</v>
      </c>
      <c t="str" s="203" r="F32">
        <f>D32*E32</f>
        <v> $  71.746,88 </v>
      </c>
      <c t="str" s="208" r="G32">
        <f>G31-F32</f>
        <v> $  1.489.037,43 </v>
      </c>
      <c s="28" r="H32"/>
    </row>
    <row customHeight="1" r="33" ht="13.5">
      <c s="72" r="A33"/>
      <c s="28" r="B33"/>
      <c t="str" s="122" r="C33">
        <f>C32+1</f>
        <v>24</v>
      </c>
      <c t="str" s="203" r="D33">
        <f>+$D$7</f>
        <v> $  1.750.000,00 </v>
      </c>
      <c t="str" s="207" r="E33">
        <f>C33/$G$6</f>
        <v>0,0428</v>
      </c>
      <c t="str" s="203" r="F33">
        <f>D33*E33</f>
        <v> $  74.866,31 </v>
      </c>
      <c t="str" s="208" r="G33">
        <f>G32-F33</f>
        <v> $  1.414.171,12 </v>
      </c>
      <c s="28" r="H33"/>
    </row>
    <row customHeight="1" r="34" ht="13.5">
      <c s="72" r="A34"/>
      <c s="28" r="B34"/>
      <c t="str" s="122" r="C34">
        <f>C33+1</f>
        <v>25</v>
      </c>
      <c t="str" s="203" r="D34">
        <f>+$D$7</f>
        <v> $  1.750.000,00 </v>
      </c>
      <c t="str" s="207" r="E34">
        <f>C34/$G$6</f>
        <v>0,0446</v>
      </c>
      <c t="str" s="203" r="F34">
        <f>D34*E34</f>
        <v> $  77.985,74 </v>
      </c>
      <c t="str" s="208" r="G34">
        <f>G33-F34</f>
        <v> $  1.336.185,38 </v>
      </c>
      <c s="28" r="H34"/>
    </row>
    <row customHeight="1" r="35" ht="13.5">
      <c s="72" r="A35"/>
      <c s="28" r="B35"/>
      <c t="str" s="122" r="C35">
        <f>C34+1</f>
        <v>26</v>
      </c>
      <c t="str" s="203" r="D35">
        <f>+$D$7</f>
        <v> $  1.750.000,00 </v>
      </c>
      <c t="str" s="207" r="E35">
        <f>C35/$G$6</f>
        <v>0,0463</v>
      </c>
      <c t="str" s="203" r="F35">
        <f>D35*E35</f>
        <v> $  81.105,17 </v>
      </c>
      <c t="str" s="208" r="G35">
        <f>G34-F35</f>
        <v> $  1.255.080,21 </v>
      </c>
      <c s="28" r="H35"/>
    </row>
    <row customHeight="1" r="36" ht="13.5">
      <c s="72" r="A36"/>
      <c s="28" r="B36"/>
      <c t="str" s="122" r="C36">
        <f>C35+1</f>
        <v>27</v>
      </c>
      <c t="str" s="203" r="D36">
        <f>+$D$7</f>
        <v> $  1.750.000,00 </v>
      </c>
      <c t="str" s="207" r="E36">
        <f>C36/$G$6</f>
        <v>0,0481</v>
      </c>
      <c t="str" s="203" r="F36">
        <f>D36*E36</f>
        <v> $  84.224,60 </v>
      </c>
      <c t="str" s="208" r="G36">
        <f>G35-F36</f>
        <v> $  1.170.855,61 </v>
      </c>
      <c s="28" r="H36"/>
    </row>
    <row customHeight="1" r="37" ht="13.5">
      <c s="72" r="A37"/>
      <c s="28" r="B37"/>
      <c t="str" s="122" r="C37">
        <f>C36+1</f>
        <v>28</v>
      </c>
      <c t="str" s="203" r="D37">
        <f>+$D$7</f>
        <v> $  1.750.000,00 </v>
      </c>
      <c t="str" s="207" r="E37">
        <f>C37/$G$6</f>
        <v>0,0499</v>
      </c>
      <c t="str" s="203" r="F37">
        <f>D37*E37</f>
        <v> $  87.344,03 </v>
      </c>
      <c t="str" s="208" r="G37">
        <f>G36-F37</f>
        <v> $  1.083.511,59 </v>
      </c>
      <c s="28" r="H37"/>
    </row>
    <row customHeight="1" r="38" ht="13.5">
      <c s="72" r="A38"/>
      <c s="28" r="B38"/>
      <c t="str" s="122" r="C38">
        <f>C37+1</f>
        <v>29</v>
      </c>
      <c t="str" s="203" r="D38">
        <f>+$D$7</f>
        <v> $  1.750.000,00 </v>
      </c>
      <c t="str" s="207" r="E38">
        <f>C38/$G$6</f>
        <v>0,0517</v>
      </c>
      <c t="str" s="203" r="F38">
        <f>D38*E38</f>
        <v> $  90.463,46 </v>
      </c>
      <c t="str" s="208" r="G38">
        <f>G37-F38</f>
        <v> $  993.048,13 </v>
      </c>
      <c s="28" r="H38"/>
    </row>
    <row customHeight="1" r="39" ht="13.5">
      <c s="72" r="A39"/>
      <c s="28" r="B39"/>
      <c t="str" s="122" r="C39">
        <f>C38+1</f>
        <v>30</v>
      </c>
      <c t="str" s="203" r="D39">
        <f>+$D$7</f>
        <v> $  1.750.000,00 </v>
      </c>
      <c t="str" s="207" r="E39">
        <f>C39/$G$6</f>
        <v>0,0535</v>
      </c>
      <c t="str" s="203" r="F39">
        <f>D39*E39</f>
        <v> $  93.582,89 </v>
      </c>
      <c t="str" s="208" r="G39">
        <f>G38-F39</f>
        <v> $  899.465,24 </v>
      </c>
      <c s="28" r="H39"/>
    </row>
    <row customHeight="1" r="40" ht="13.5">
      <c s="72" r="A40"/>
      <c s="28" r="B40"/>
      <c t="str" s="122" r="C40">
        <f>C39+1</f>
        <v>31</v>
      </c>
      <c t="str" s="203" r="D40">
        <f>+$D$7</f>
        <v> $  1.750.000,00 </v>
      </c>
      <c t="str" s="207" r="E40">
        <f>C40/$G$6</f>
        <v>0,0553</v>
      </c>
      <c t="str" s="203" r="F40">
        <f>D40*E40</f>
        <v> $  96.702,32 </v>
      </c>
      <c t="str" s="208" r="G40">
        <f>G39-F40</f>
        <v> $  802.762,92 </v>
      </c>
      <c s="28" r="H40"/>
    </row>
    <row customHeight="1" r="41" ht="13.5">
      <c s="72" r="A41"/>
      <c s="28" r="B41"/>
      <c t="str" s="122" r="C41">
        <f>C40+1</f>
        <v>32</v>
      </c>
      <c t="str" s="203" r="D41">
        <f>+$D$7</f>
        <v> $  1.750.000,00 </v>
      </c>
      <c t="str" s="207" r="E41">
        <f>C41/$G$6</f>
        <v>0,0570</v>
      </c>
      <c t="str" s="203" r="F41">
        <f>D41*E41</f>
        <v> $  99.821,75 </v>
      </c>
      <c t="str" s="208" r="G41">
        <f>G40-F41</f>
        <v> $  702.941,18 </v>
      </c>
      <c s="28" r="H41"/>
    </row>
    <row customHeight="1" r="42" ht="13.5">
      <c s="72" r="A42"/>
      <c s="28" r="B42"/>
      <c t="str" s="122" r="C42">
        <f>C41+1</f>
        <v>33</v>
      </c>
      <c t="str" s="203" r="D42">
        <f>+$D$7</f>
        <v> $  1.750.000,00 </v>
      </c>
      <c t="str" s="207" r="E42">
        <f>C42/$G$6</f>
        <v>0,0588</v>
      </c>
      <c t="str" s="203" r="F42">
        <f>D42*E42</f>
        <v> $  102.941,18 </v>
      </c>
      <c t="str" s="208" r="G42">
        <f>G41-F42</f>
        <v> $  600.000,00 </v>
      </c>
      <c s="28" r="H42"/>
    </row>
    <row customHeight="1" r="43" ht="13.5">
      <c s="72" r="A43"/>
      <c s="28" r="B43"/>
      <c s="39" r="C43"/>
      <c t="s" s="209" r="D43">
        <v>263</v>
      </c>
      <c t="str" s="210" r="E43">
        <f>SUM(E10:E42)</f>
        <v>1,0000</v>
      </c>
      <c t="str" s="211" r="F43">
        <f>SUM(F10:F42)</f>
        <v> $  1.750.000,00 </v>
      </c>
      <c t="str" s="212" r="G43">
        <f>+G42-D6</f>
        <v> $  0,00 </v>
      </c>
      <c s="28" r="H43"/>
    </row>
    <row customHeight="1" r="44" ht="13.5">
      <c s="72" r="A44"/>
      <c s="28" r="B44"/>
      <c s="39" r="C44"/>
      <c s="213" r="D44"/>
      <c s="213" r="E44"/>
      <c s="214" r="F44"/>
      <c s="213" r="G44"/>
      <c s="215" r="H44"/>
    </row>
  </sheetData>
  <mergeCells count="1">
    <mergeCell ref="F5:G5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75"/>
  <cols>
    <col min="1" customWidth="1" max="1" width="8.14"/>
    <col min="2" customWidth="1" max="2" width="2.71"/>
    <col min="3" customWidth="1" max="3" width="16.29"/>
    <col min="4" customWidth="1" max="4" width="16.14"/>
    <col min="5" customWidth="1" max="5" width="11.71"/>
    <col min="6" customWidth="1" max="6" width="11.14"/>
    <col min="7" customWidth="1" max="7" width="15.57"/>
    <col min="8" customWidth="1" max="8" width="9.86"/>
    <col min="9" customWidth="1" max="9" width="28.43"/>
    <col min="10" customWidth="1" max="11" width="11.29"/>
    <col min="12" customWidth="1" max="12" width="17.29"/>
  </cols>
  <sheetData>
    <row customHeight="1" r="1" ht="15.75">
      <c s="72" r="A1"/>
      <c s="72" r="B1"/>
      <c s="72" r="C1"/>
      <c s="72" r="D1"/>
      <c s="72" r="E1"/>
      <c s="72" r="F1"/>
      <c s="72" r="G1"/>
      <c s="72" r="H1"/>
      <c s="72" r="I1"/>
      <c s="72" r="J1"/>
      <c s="72" r="K1"/>
      <c s="72" r="L1"/>
    </row>
    <row customHeight="1" r="2" ht="15.0">
      <c s="192" r="A2"/>
      <c s="193" r="B2"/>
      <c s="194" r="C2"/>
      <c s="194" r="D2"/>
      <c s="194" r="E2"/>
      <c s="194" r="F2"/>
      <c s="194" r="G2"/>
      <c s="194" r="H2"/>
      <c s="216" r="I2"/>
      <c s="216" r="J2"/>
      <c s="216" r="K2"/>
      <c s="216" r="L2"/>
    </row>
    <row customHeight="1" r="3" ht="15.75">
      <c s="192" r="A3"/>
      <c s="193" r="B3"/>
      <c t="s" s="196" r="C3">
        <v>264</v>
      </c>
      <c s="194" r="D3"/>
      <c s="194" r="E3"/>
      <c s="194" r="F3"/>
      <c s="194" r="G3"/>
      <c s="194" r="H3"/>
      <c s="216" r="I3"/>
      <c s="216" r="J3"/>
      <c s="216" r="K3"/>
      <c s="216" r="L3"/>
    </row>
    <row customHeight="1" r="4" ht="12.75">
      <c s="197" r="A4"/>
      <c s="39" r="B4"/>
      <c s="198" r="C4"/>
      <c s="194" r="D4"/>
      <c s="194" r="E4"/>
      <c s="194" r="F4"/>
      <c s="194" r="G4"/>
      <c s="194" r="H4"/>
      <c s="194" r="I4"/>
      <c s="194" r="J4"/>
      <c s="194" r="K4"/>
      <c s="194" r="L4"/>
    </row>
    <row customHeight="1" r="5" ht="12.75">
      <c s="197" r="A5"/>
      <c s="39" r="B5"/>
      <c t="s" s="203" r="C5">
        <v>265</v>
      </c>
      <c t="str" s="203" r="D5">
        <f>+$J$16</f>
        <v> $  47.678,00 </v>
      </c>
      <c s="194" r="E5"/>
      <c t="s" s="201" r="F5">
        <v>266</v>
      </c>
      <c s="194" r="H5"/>
      <c t="s" s="43" r="I5">
        <v>267</v>
      </c>
      <c t="s" s="43" r="J5">
        <v>268</v>
      </c>
      <c t="s" s="43" r="K5">
        <v>269</v>
      </c>
      <c s="194" r="L5"/>
    </row>
    <row customHeight="1" r="6" ht="12.75">
      <c s="197" r="A6"/>
      <c s="39" r="B6"/>
      <c t="s" s="203" r="C6">
        <v>270</v>
      </c>
      <c t="str" s="203" r="D6">
        <f>+D5-D7</f>
        <v> $  38.142,40 </v>
      </c>
      <c s="194" r="E6"/>
      <c t="s" s="204" r="F6">
        <v>271</v>
      </c>
      <c t="str" s="205" r="G6">
        <f>(COUNT(C10:C14)*(COUNT(C10:C14)+1))/2</f>
        <v>15</v>
      </c>
      <c s="194" r="H6"/>
      <c t="s" s="217" r="I6">
        <v>272</v>
      </c>
      <c s="218" r="J6">
        <v>6000.0</v>
      </c>
      <c s="219" r="K6">
        <v>1200.0</v>
      </c>
    </row>
    <row customHeight="1" r="7" ht="12.75">
      <c s="197" r="A7"/>
      <c s="39" r="B7"/>
      <c t="s" s="203" r="C7">
        <v>273</v>
      </c>
      <c t="str" s="203" r="D7">
        <f>+K16</f>
        <v> $  9.535,60 </v>
      </c>
      <c s="194" r="E7"/>
      <c s="39" r="F7"/>
      <c s="39" r="G7"/>
      <c s="194" r="H7"/>
      <c t="s" s="220" r="I7">
        <v>274</v>
      </c>
      <c s="221" r="J7">
        <v>6300.0</v>
      </c>
      <c s="219" r="K7">
        <v>1260.0</v>
      </c>
    </row>
    <row customHeight="1" r="8" ht="12.75">
      <c s="197" r="A8"/>
      <c s="39" r="B8"/>
      <c s="194" r="C8"/>
      <c s="194" r="D8"/>
      <c s="39" r="E8"/>
      <c s="39" r="F8"/>
      <c s="39" r="G8"/>
      <c s="39" r="H8"/>
      <c t="s" s="220" r="I8">
        <v>275</v>
      </c>
      <c s="221" r="J8">
        <v>1800.0</v>
      </c>
      <c s="219" r="K8">
        <v>360.0</v>
      </c>
    </row>
    <row customHeight="1" r="9" ht="25.5">
      <c s="197" r="A9"/>
      <c s="39" r="B9"/>
      <c t="s" s="43" r="C9">
        <v>276</v>
      </c>
      <c t="s" s="43" r="D9">
        <v>277</v>
      </c>
      <c t="s" s="43" r="E9">
        <v>278</v>
      </c>
      <c t="s" s="43" r="F9">
        <v>279</v>
      </c>
      <c t="s" s="43" r="G9">
        <v>280</v>
      </c>
      <c s="206" r="H9"/>
      <c t="s" s="220" r="I9">
        <v>281</v>
      </c>
      <c s="221" r="J9">
        <v>5992.0</v>
      </c>
      <c s="219" r="K9">
        <v>1198.4</v>
      </c>
    </row>
    <row customHeight="1" r="10" ht="13.5">
      <c s="72" r="A10"/>
      <c s="28" r="B10"/>
      <c s="122" r="C10">
        <v>1.0</v>
      </c>
      <c t="str" s="203" r="D10">
        <f>$D$6</f>
        <v> $  38.142,40 </v>
      </c>
      <c t="str" s="222" r="E10">
        <f>C10/$G$6</f>
        <v>0,07</v>
      </c>
      <c t="str" s="203" r="F10">
        <f>D10*E10</f>
        <v> $  2.542,83 </v>
      </c>
      <c t="str" s="203" r="G10">
        <f>D5-F10</f>
        <v> $  45.135,17 </v>
      </c>
      <c s="28" r="H10"/>
      <c t="s" s="220" r="I10">
        <v>282</v>
      </c>
      <c s="221" r="J10">
        <v>19586.0</v>
      </c>
      <c s="219" r="K10">
        <v>3917.2</v>
      </c>
    </row>
    <row customHeight="1" r="11" ht="13.5">
      <c s="72" r="A11"/>
      <c s="28" r="B11"/>
      <c t="str" s="122" r="C11">
        <f>C10+1</f>
        <v>2</v>
      </c>
      <c t="str" s="203" r="D11">
        <f>$D$6</f>
        <v> $  38.142,40 </v>
      </c>
      <c t="str" s="222" r="E11">
        <f>C11/$G$6</f>
        <v>0,13</v>
      </c>
      <c t="str" s="203" r="F11">
        <f>D11*E11</f>
        <v> $  5.085,65 </v>
      </c>
      <c t="str" s="203" r="G11">
        <f>D5-F10-F11</f>
        <v> $  40.049,52 </v>
      </c>
      <c s="28" r="H11"/>
      <c t="s" s="220" r="I11">
        <v>283</v>
      </c>
      <c s="223" r="J11">
        <v>8000.0</v>
      </c>
      <c s="219" r="K11">
        <v>1600.0</v>
      </c>
    </row>
    <row customHeight="1" r="12" ht="13.5">
      <c s="72" r="A12"/>
      <c s="28" r="B12"/>
      <c t="str" s="122" r="C12">
        <f>C11+1</f>
        <v>3</v>
      </c>
      <c t="str" s="203" r="D12">
        <f>$D$6</f>
        <v> $  38.142,40 </v>
      </c>
      <c t="str" s="222" r="E12">
        <f>C12/$G$6</f>
        <v>0,20</v>
      </c>
      <c t="str" s="203" r="F12">
        <f>D12*E12</f>
        <v> $  7.628,48 </v>
      </c>
      <c t="str" s="203" r="G12">
        <f>D5-F10-F11-F12</f>
        <v> $  32.421,04 </v>
      </c>
      <c s="28" r="H12"/>
      <c s="224" r="I12"/>
      <c s="224" r="J12"/>
      <c s="224" r="K12"/>
      <c s="39" r="L12"/>
    </row>
    <row customHeight="1" r="13" ht="13.5">
      <c s="72" r="A13"/>
      <c s="28" r="B13"/>
      <c t="str" s="122" r="C13">
        <f>C12+1</f>
        <v>4</v>
      </c>
      <c t="str" s="203" r="D13">
        <f>$D$6</f>
        <v> $  38.142,40 </v>
      </c>
      <c t="str" s="222" r="E13">
        <f>C13/$G$6</f>
        <v>0,27</v>
      </c>
      <c t="str" s="203" r="F13">
        <f>D13*E13</f>
        <v> $  10.171,31 </v>
      </c>
      <c t="str" s="203" r="G13">
        <f>D5-F10-F11-F12-F13</f>
        <v> $  22.249,73 </v>
      </c>
      <c s="28" r="H13"/>
      <c s="224" r="I13"/>
      <c s="224" r="J13"/>
      <c s="224" r="K13"/>
      <c s="39" r="L13"/>
    </row>
    <row customHeight="1" r="14" ht="13.5">
      <c s="72" r="A14"/>
      <c s="28" r="B14"/>
      <c t="str" s="122" r="C14">
        <f>C13+1</f>
        <v>5</v>
      </c>
      <c t="str" s="203" r="D14">
        <f>$D$6</f>
        <v> $  38.142,40 </v>
      </c>
      <c t="str" s="222" r="E14">
        <f>C14/$G$6</f>
        <v>0,33</v>
      </c>
      <c t="str" s="203" r="F14">
        <f>D14*E14</f>
        <v> $  12.714,13 </v>
      </c>
      <c t="str" s="203" r="G14">
        <f>D5-F10-F11-F12-F13-F14</f>
        <v> $  9.535,60 </v>
      </c>
      <c s="28" r="H14"/>
      <c s="224" r="I14"/>
      <c s="224" r="J14"/>
      <c s="224" r="K14"/>
      <c s="39" r="L14"/>
    </row>
    <row customHeight="1" r="15" ht="13.5">
      <c s="72" r="A15"/>
      <c s="28" r="B15"/>
      <c s="39" r="C15"/>
      <c t="s" s="209" r="D15">
        <v>284</v>
      </c>
      <c t="str" s="210" r="E15">
        <f>SUM(E10:E14)</f>
        <v>1,00</v>
      </c>
      <c t="str" s="211" r="F15">
        <f>SUM(F10:F14)</f>
        <v> $  38.142,40 </v>
      </c>
      <c t="str" s="212" r="G15">
        <f>+G14-D7</f>
        <v> $  -0,00 </v>
      </c>
      <c s="28" r="H15"/>
      <c s="41" r="I15"/>
      <c s="225" r="J15"/>
      <c s="225" r="K15"/>
      <c s="39" r="L15"/>
    </row>
    <row customHeight="1" r="16" ht="14.25">
      <c s="72" r="A16"/>
      <c s="28" r="B16"/>
      <c s="39" r="C16"/>
      <c s="39" r="D16"/>
      <c s="39" r="E16"/>
      <c s="39" r="F16"/>
      <c s="39" r="G16"/>
      <c s="39" r="H16"/>
      <c s="194" r="I16"/>
      <c t="str" s="225" r="J16">
        <f>SUM(J6:J15)</f>
        <v> $  47.678,00 </v>
      </c>
      <c t="str" s="225" r="K16">
        <f>SUM(K6:K15)</f>
        <v> $  9.535,60 </v>
      </c>
      <c s="39" r="L16"/>
    </row>
    <row customHeight="1" r="17" ht="14.25">
      <c s="72" r="A17"/>
      <c s="28" r="B17"/>
      <c s="39" r="C17"/>
      <c s="39" r="D17"/>
      <c s="39" r="E17"/>
      <c s="39" r="F17"/>
      <c s="39" r="G17"/>
      <c s="39" r="H17"/>
      <c s="39" r="I17"/>
      <c s="39" r="J17"/>
      <c s="39" r="K17"/>
      <c s="39" r="L17"/>
    </row>
    <row customHeight="1" r="18" ht="15.75">
      <c s="72" r="A18"/>
      <c s="72" r="B18"/>
      <c s="72" r="C18"/>
      <c s="72" r="D18"/>
      <c s="72" r="E18"/>
      <c s="72" r="F18"/>
      <c s="72" r="G18"/>
      <c s="72" r="H18"/>
      <c s="72" r="I18"/>
      <c s="72" r="J18"/>
      <c s="72" r="K18"/>
      <c s="72" r="L18"/>
    </row>
    <row customHeight="1" r="19" ht="15.75">
      <c s="72" r="A19"/>
      <c s="72" r="B19"/>
      <c s="72" r="C19"/>
      <c s="72" r="D19"/>
      <c s="72" r="E19"/>
      <c s="72" r="F19"/>
      <c s="72" r="G19"/>
      <c s="72" r="H19"/>
      <c s="72" r="I19"/>
      <c s="72" r="J19"/>
      <c s="72" r="K19"/>
      <c s="72" r="L19"/>
    </row>
    <row customHeight="1" r="20" ht="15.75">
      <c s="72" r="A20"/>
      <c s="72" r="B20"/>
      <c s="72" r="C20"/>
      <c s="72" r="D20"/>
      <c s="72" r="E20"/>
      <c s="72" r="F20"/>
      <c s="72" r="G20"/>
      <c s="72" r="H20"/>
      <c s="72" r="I20"/>
      <c s="72" r="J20"/>
      <c s="72" r="K20"/>
      <c s="72" r="L20"/>
    </row>
  </sheetData>
  <mergeCells count="1">
    <mergeCell ref="F5:G5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75"/>
  <cols>
    <col min="1" customWidth="1" max="1" width="17.29"/>
    <col min="2" customWidth="1" max="2" width="2.71"/>
    <col min="3" customWidth="1" max="3" width="16.86"/>
    <col min="4" customWidth="1" max="4" width="16.14"/>
    <col min="5" customWidth="1" max="5" width="12.14"/>
    <col min="6" customWidth="1" max="6" width="11.14"/>
    <col min="7" customWidth="1" max="7" width="15.57"/>
    <col min="8" customWidth="1" max="8" width="17.29"/>
  </cols>
  <sheetData>
    <row customHeight="1" r="1" ht="15.75">
      <c s="72" r="A1"/>
      <c s="72" r="B1"/>
      <c s="72" r="C1"/>
      <c s="72" r="D1"/>
      <c s="72" r="E1"/>
      <c s="72" r="F1"/>
      <c s="72" r="G1"/>
      <c s="72" r="H1"/>
    </row>
    <row customHeight="1" r="2" ht="12.75">
      <c s="192" r="A2"/>
      <c s="193" r="B2"/>
      <c s="194" r="C2"/>
      <c s="194" r="D2"/>
      <c s="194" r="E2"/>
      <c s="194" r="F2"/>
      <c s="194" r="G2"/>
      <c s="194" r="H2"/>
    </row>
    <row customHeight="1" r="3" ht="15.75">
      <c s="192" r="A3"/>
      <c s="193" r="B3"/>
      <c t="s" s="196" r="C3">
        <v>285</v>
      </c>
      <c s="194" r="D3"/>
      <c s="194" r="E3"/>
      <c s="194" r="F3"/>
      <c s="194" r="G3"/>
      <c s="194" r="H3"/>
    </row>
    <row customHeight="1" r="4" ht="12.75">
      <c s="197" r="A4"/>
      <c s="39" r="B4"/>
      <c s="198" r="C4"/>
      <c s="194" r="D4"/>
      <c s="194" r="E4"/>
      <c s="194" r="F4"/>
      <c s="194" r="G4"/>
      <c s="194" r="H4"/>
    </row>
    <row customHeight="1" r="5" ht="12.75">
      <c s="197" r="A5"/>
      <c s="39" r="B5"/>
      <c t="s" s="226" r="C5">
        <v>286</v>
      </c>
      <c s="200" r="D5">
        <v>987198.0</v>
      </c>
      <c s="194" r="E5"/>
      <c t="s" s="201" r="F5">
        <v>287</v>
      </c>
      <c s="194" r="H5"/>
    </row>
    <row customHeight="1" r="6" ht="12.75">
      <c s="197" r="A6"/>
      <c s="39" r="B6"/>
      <c t="s" s="203" r="C6">
        <v>288</v>
      </c>
      <c t="str" s="203" r="D6">
        <f>+D5-D7</f>
        <v> $  825.038,60 </v>
      </c>
      <c s="194" r="E6"/>
      <c t="s" s="204" r="F6">
        <v>289</v>
      </c>
      <c t="str" s="204" r="G6">
        <f>(COUNT(C10:C14)*(COUNT(C10:C14)+1))/2</f>
        <v>15</v>
      </c>
      <c s="194" r="H6"/>
    </row>
    <row customHeight="1" r="7" ht="12.75">
      <c s="197" r="A7"/>
      <c s="39" r="B7"/>
      <c t="s" s="226" r="C7">
        <v>290</v>
      </c>
      <c s="200" r="D7">
        <v>162159.4</v>
      </c>
      <c s="194" r="E7"/>
      <c s="39" r="F7"/>
      <c s="39" r="G7"/>
      <c s="194" r="H7"/>
    </row>
    <row customHeight="1" r="8" ht="12.75">
      <c s="197" r="A8"/>
      <c s="39" r="B8"/>
      <c s="194" r="C8"/>
      <c s="194" r="D8"/>
      <c s="39" r="E8"/>
      <c s="39" r="F8"/>
      <c s="39" r="G8"/>
      <c s="39" r="H8"/>
    </row>
    <row customHeight="1" r="9" ht="25.5">
      <c s="197" r="A9"/>
      <c s="39" r="B9"/>
      <c t="s" s="43" r="C9">
        <v>291</v>
      </c>
      <c t="s" s="43" r="D9">
        <v>292</v>
      </c>
      <c t="s" s="43" r="E9">
        <v>293</v>
      </c>
      <c t="s" s="43" r="F9">
        <v>294</v>
      </c>
      <c t="s" s="43" r="G9">
        <v>295</v>
      </c>
      <c s="206" r="H9"/>
    </row>
    <row customHeight="1" r="10" ht="13.5">
      <c s="72" r="A10"/>
      <c s="28" r="B10"/>
      <c s="122" r="C10">
        <v>1.0</v>
      </c>
      <c t="str" s="203" r="D10">
        <f>$D$6</f>
        <v> $  825.038,60 </v>
      </c>
      <c t="str" s="222" r="E10">
        <f>C10/$G$6</f>
        <v>0,07</v>
      </c>
      <c t="str" s="203" r="F10">
        <f>D10*E10</f>
        <v> $  55.002,57 </v>
      </c>
      <c t="str" s="208" r="G10">
        <f>D5-F10</f>
        <v> $  932.195,43 </v>
      </c>
      <c s="28" r="H10"/>
    </row>
    <row customHeight="1" r="11" ht="13.5">
      <c s="72" r="A11"/>
      <c s="28" r="B11"/>
      <c t="str" s="122" r="C11">
        <f>C10+1</f>
        <v>2</v>
      </c>
      <c t="str" s="203" r="D11">
        <f>$D$6</f>
        <v> $  825.038,60 </v>
      </c>
      <c t="str" s="222" r="E11">
        <f>C11/$G$6</f>
        <v>0,13</v>
      </c>
      <c t="str" s="203" r="F11">
        <f>D11*E11</f>
        <v> $  110.005,15 </v>
      </c>
      <c t="str" s="208" r="G11">
        <f>D5-F10-F11</f>
        <v> $  822.190,28 </v>
      </c>
      <c s="28" r="H11"/>
    </row>
    <row customHeight="1" r="12" ht="13.5">
      <c s="72" r="A12"/>
      <c s="28" r="B12"/>
      <c t="str" s="122" r="C12">
        <f>C11+1</f>
        <v>3</v>
      </c>
      <c t="str" s="203" r="D12">
        <f>$D$6</f>
        <v> $  825.038,60 </v>
      </c>
      <c t="str" s="222" r="E12">
        <f>C12/$G$6</f>
        <v>0,20</v>
      </c>
      <c t="str" s="203" r="F12">
        <f>D12*E12</f>
        <v> $  165.007,72 </v>
      </c>
      <c t="str" s="208" r="G12">
        <f>D5-F10-F11-F12</f>
        <v> $  657.182,56 </v>
      </c>
      <c s="28" r="H12"/>
    </row>
    <row customHeight="1" r="13" ht="13.5">
      <c s="72" r="A13"/>
      <c s="28" r="B13"/>
      <c t="str" s="122" r="C13">
        <f>C12+1</f>
        <v>4</v>
      </c>
      <c t="str" s="203" r="D13">
        <f>$D$6</f>
        <v> $  825.038,60 </v>
      </c>
      <c t="str" s="222" r="E13">
        <f>C13/$G$6</f>
        <v>0,27</v>
      </c>
      <c t="str" s="203" r="F13">
        <f>D13*E13</f>
        <v> $  220.010,29 </v>
      </c>
      <c t="str" s="208" r="G13">
        <f>D5-F10-F11-F12-F13</f>
        <v> $  437.172,27 </v>
      </c>
      <c s="28" r="H13"/>
    </row>
    <row customHeight="1" r="14" ht="13.5">
      <c s="72" r="A14"/>
      <c s="28" r="B14"/>
      <c t="str" s="122" r="C14">
        <f>C13+1</f>
        <v>5</v>
      </c>
      <c t="str" s="203" r="D14">
        <f>$D$6</f>
        <v> $  825.038,60 </v>
      </c>
      <c t="str" s="222" r="E14">
        <f>C14/$G$6</f>
        <v>0,33</v>
      </c>
      <c t="str" s="203" r="F14">
        <f>D14*E14</f>
        <v> $  275.012,87 </v>
      </c>
      <c t="str" s="208" r="G14">
        <f>D5-F10-F11-F12-F13-F14</f>
        <v> $  162.159,40 </v>
      </c>
      <c s="28" r="H14"/>
    </row>
    <row customHeight="1" r="15" ht="13.5">
      <c s="72" r="A15"/>
      <c s="28" r="B15"/>
      <c s="39" r="C15"/>
      <c t="s" s="209" r="D15">
        <v>296</v>
      </c>
      <c t="str" s="210" r="E15">
        <f>SUM(E10:E14)</f>
        <v>1,00</v>
      </c>
      <c t="str" s="211" r="F15">
        <f>SUM(F10:F14)</f>
        <v> $  825.038,60 </v>
      </c>
      <c t="str" s="212" r="G15">
        <f>+G14-D7</f>
        <v> $  0,00 </v>
      </c>
      <c s="28" r="H15"/>
    </row>
    <row customHeight="1" r="16" ht="14.25">
      <c s="72" r="A16"/>
      <c s="28" r="B16"/>
      <c s="39" r="C16"/>
      <c s="39" r="D16"/>
      <c s="39" r="E16"/>
      <c s="39" r="F16"/>
      <c s="39" r="G16"/>
      <c s="28" r="H16"/>
    </row>
    <row customHeight="1" r="17" ht="14.25">
      <c s="72" r="A17"/>
      <c s="28" r="B17"/>
      <c s="39" r="C17"/>
      <c s="39" r="D17"/>
      <c s="39" r="E17"/>
      <c s="39" r="F17"/>
      <c s="39" r="G17"/>
      <c s="39" r="H17"/>
    </row>
    <row customHeight="1" r="18" ht="15.75">
      <c s="72" r="A18"/>
      <c s="72" r="B18"/>
      <c s="72" r="C18"/>
      <c s="72" r="D18"/>
      <c s="72" r="E18"/>
      <c s="72" r="F18"/>
      <c s="72" r="G18"/>
      <c s="72" r="H18"/>
    </row>
    <row customHeight="1" r="19" ht="15.75">
      <c s="72" r="A19"/>
      <c s="72" r="B19"/>
      <c s="72" r="C19"/>
      <c s="72" r="D19"/>
      <c s="72" r="E19"/>
      <c s="72" r="F19"/>
      <c s="72" r="G19"/>
      <c s="72" r="H19"/>
    </row>
    <row customHeight="1" r="20" ht="15.75">
      <c s="72" r="A20"/>
      <c s="72" r="B20"/>
      <c s="72" r="C20"/>
      <c s="72" r="D20"/>
      <c s="72" r="E20"/>
      <c s="72" r="F20"/>
      <c s="72" r="G20"/>
      <c s="72" r="H20"/>
    </row>
  </sheetData>
  <mergeCells count="1">
    <mergeCell ref="F5:G5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75"/>
  <cols>
    <col min="1" customWidth="1" max="1" width="9.86"/>
    <col min="2" customWidth="1" max="2" width="2.71"/>
    <col min="3" customWidth="1" max="4" width="15.71"/>
    <col min="5" customWidth="1" max="5" width="11.86"/>
    <col min="6" customWidth="1" max="6" width="11.14"/>
    <col min="7" customWidth="1" max="7" width="12.57"/>
    <col min="8" customWidth="1" max="8" width="14.86"/>
    <col min="9" customWidth="1" max="9" width="23.14"/>
    <col min="10" customWidth="1" max="11" width="11.29"/>
    <col min="12" customWidth="1" max="12" width="17.29"/>
  </cols>
  <sheetData>
    <row customHeight="1" r="1" ht="15.75">
      <c s="72" r="A1"/>
      <c s="72" r="B1"/>
      <c s="72" r="C1"/>
      <c s="72" r="D1"/>
      <c s="72" r="E1"/>
      <c s="72" r="F1"/>
      <c s="72" r="G1"/>
      <c s="72" r="H1"/>
      <c s="72" r="I1"/>
      <c s="72" r="J1"/>
      <c s="72" r="K1"/>
      <c s="72" r="L1"/>
    </row>
    <row customHeight="1" r="2" ht="15.0">
      <c s="192" r="A2"/>
      <c s="193" r="B2"/>
      <c s="194" r="C2"/>
      <c s="194" r="D2"/>
      <c s="194" r="E2"/>
      <c s="194" r="F2"/>
      <c s="194" r="G2"/>
      <c s="194" r="H2"/>
      <c s="216" r="I2"/>
      <c s="216" r="J2"/>
      <c s="216" r="K2"/>
      <c s="216" r="L2"/>
    </row>
    <row customHeight="1" r="3" ht="18.75">
      <c s="192" r="A3"/>
      <c s="193" r="B3"/>
      <c t="s" s="227" r="C3">
        <v>297</v>
      </c>
      <c s="194" r="D3"/>
      <c s="194" r="E3"/>
      <c s="194" r="F3"/>
      <c s="194" r="G3"/>
      <c s="194" r="H3"/>
      <c s="216" r="I3"/>
      <c s="216" r="J3"/>
      <c s="216" r="K3"/>
      <c s="216" r="L3"/>
    </row>
    <row customHeight="1" r="4" ht="12.75">
      <c s="197" r="A4"/>
      <c s="39" r="B4"/>
      <c s="198" r="C4"/>
      <c s="194" r="D4"/>
      <c s="194" r="E4"/>
      <c s="194" r="F4"/>
      <c s="194" r="G4"/>
      <c s="194" r="H4"/>
      <c s="194" r="I4"/>
      <c s="194" r="J4"/>
      <c s="194" r="K4"/>
      <c s="194" r="L4"/>
    </row>
    <row customHeight="1" r="5" ht="12.75">
      <c s="197" r="A5"/>
      <c s="39" r="B5"/>
      <c t="s" s="203" r="C5">
        <v>298</v>
      </c>
      <c t="str" s="203" r="D5">
        <f>+J16</f>
        <v> $  58.500,00 </v>
      </c>
      <c s="194" r="E5"/>
      <c t="s" s="201" r="F5">
        <v>299</v>
      </c>
      <c s="194" r="H5"/>
      <c t="s" s="43" r="I5">
        <v>300</v>
      </c>
      <c t="s" s="43" r="J5">
        <v>301</v>
      </c>
      <c t="s" s="43" r="K5">
        <v>302</v>
      </c>
      <c s="194" r="L5"/>
    </row>
    <row customHeight="1" r="6" ht="12.75">
      <c s="197" r="A6"/>
      <c s="39" r="B6"/>
      <c t="s" s="203" r="C6">
        <v>303</v>
      </c>
      <c t="str" s="203" r="D6">
        <f>+D5-D7</f>
        <v> $  46.800,00 </v>
      </c>
      <c s="194" r="E6"/>
      <c t="s" s="204" r="F6">
        <v>304</v>
      </c>
      <c t="str" s="205" r="G6">
        <f>(COUNT(C10:C12)*(COUNT(C10:C12)+1))/2</f>
        <v>6</v>
      </c>
      <c s="194" r="H6"/>
      <c t="s" s="228" r="I6">
        <v>305</v>
      </c>
      <c s="225" r="J6">
        <v>58500.0</v>
      </c>
      <c t="str" s="35" r="K6">
        <f>5850*2</f>
        <v> $  11.700,00 </v>
      </c>
      <c s="194" r="L6"/>
    </row>
    <row customHeight="1" r="7" ht="12.75">
      <c s="197" r="A7"/>
      <c s="39" r="B7"/>
      <c t="s" s="203" r="C7">
        <v>306</v>
      </c>
      <c t="str" s="203" r="D7">
        <f>+K16</f>
        <v> $  11.700,00 </v>
      </c>
      <c s="194" r="E7"/>
      <c s="39" r="F7"/>
      <c s="39" r="G7"/>
      <c s="194" r="H7"/>
      <c s="229" r="I7"/>
      <c s="225" r="J7"/>
      <c s="225" r="K7"/>
      <c s="194" r="L7"/>
    </row>
    <row customHeight="1" r="8" ht="12.75">
      <c s="197" r="A8"/>
      <c s="39" r="B8"/>
      <c s="194" r="C8"/>
      <c s="194" r="D8"/>
      <c s="39" r="E8"/>
      <c s="39" r="F8"/>
      <c s="39" r="G8"/>
      <c s="39" r="H8"/>
      <c s="229" r="I8"/>
      <c s="225" r="J8"/>
      <c s="225" r="K8"/>
      <c s="194" r="L8"/>
    </row>
    <row customHeight="1" r="9" ht="25.5">
      <c s="197" r="A9"/>
      <c s="39" r="B9"/>
      <c t="s" s="43" r="C9">
        <v>307</v>
      </c>
      <c t="s" s="43" r="D9">
        <v>308</v>
      </c>
      <c t="s" s="43" r="E9">
        <v>309</v>
      </c>
      <c t="s" s="43" r="F9">
        <v>310</v>
      </c>
      <c t="s" s="43" r="G9">
        <v>311</v>
      </c>
      <c s="206" r="H9"/>
      <c s="229" r="I9"/>
      <c s="225" r="J9"/>
      <c s="225" r="K9"/>
      <c s="194" r="L9"/>
    </row>
    <row customHeight="1" r="10" ht="13.5">
      <c s="72" r="A10"/>
      <c s="28" r="B10"/>
      <c s="122" r="C10">
        <v>1.0</v>
      </c>
      <c t="str" s="203" r="D10">
        <f>$D$7</f>
        <v> $  11.700,00 </v>
      </c>
      <c t="str" s="222" r="E10">
        <f>C10/$G$6</f>
        <v>0,17</v>
      </c>
      <c t="str" s="203" r="F10">
        <f>D10*E10</f>
        <v> $  1.950,00 </v>
      </c>
      <c t="str" s="208" r="G10">
        <f>+D5-F10</f>
        <v> $  56.550,00 </v>
      </c>
      <c s="28" r="H10"/>
      <c s="41" r="I10"/>
      <c s="225" r="J10"/>
      <c s="225" r="K10"/>
      <c s="39" r="L10"/>
    </row>
    <row customHeight="1" r="11" ht="13.5">
      <c s="72" r="A11"/>
      <c s="28" r="B11"/>
      <c s="122" r="C11">
        <v>2.0</v>
      </c>
      <c t="str" s="203" r="D11">
        <f>$D$7</f>
        <v> $  11.700,00 </v>
      </c>
      <c t="str" s="222" r="E11">
        <f>C11/$G$6</f>
        <v>0,33</v>
      </c>
      <c t="str" s="203" r="F11">
        <f>D11*E11</f>
        <v> $  3.900,00 </v>
      </c>
      <c t="str" s="208" r="G11">
        <f>+G10-F11</f>
        <v> $  52.650,00 </v>
      </c>
      <c s="28" r="H11"/>
      <c s="41" r="I11"/>
      <c s="225" r="J11"/>
      <c s="225" r="K11"/>
      <c s="39" r="L11"/>
    </row>
    <row customHeight="1" r="12" ht="13.5">
      <c s="72" r="A12"/>
      <c s="28" r="B12"/>
      <c s="122" r="C12">
        <v>3.0</v>
      </c>
      <c t="str" s="203" r="D12">
        <f>$D$7</f>
        <v> $  11.700,00 </v>
      </c>
      <c t="str" s="222" r="E12">
        <f>C12/$G$6</f>
        <v>0,50</v>
      </c>
      <c t="str" s="203" r="F12">
        <f>D12*E12</f>
        <v> $  5.850,00 </v>
      </c>
      <c t="str" s="208" r="G12">
        <f>+G11-F12</f>
        <v> $  46.800,00 </v>
      </c>
      <c s="28" r="H12"/>
      <c s="41" r="I12"/>
      <c s="225" r="J12"/>
      <c s="225" r="K12"/>
      <c s="39" r="L12"/>
    </row>
    <row customHeight="1" r="13" ht="13.5">
      <c s="72" r="A13"/>
      <c s="28" r="B13"/>
      <c s="39" r="C13"/>
      <c t="s" s="209" r="D13">
        <v>312</v>
      </c>
      <c t="str" s="210" r="E13">
        <f>SUM(E8:E12)</f>
        <v>1</v>
      </c>
      <c t="str" s="211" r="F13">
        <f>SUM(F10:F12)</f>
        <v> $  11.700,00 </v>
      </c>
      <c t="str" s="212" r="G13">
        <f>+G12-D6</f>
        <v> $  -   </v>
      </c>
      <c s="28" r="H13"/>
      <c s="41" r="I13"/>
      <c s="225" r="J13"/>
      <c s="225" r="K13"/>
      <c s="39" r="L13"/>
    </row>
    <row customHeight="1" r="14" ht="14.25">
      <c s="72" r="A14"/>
      <c s="28" r="B14"/>
      <c s="39" r="C14"/>
      <c s="39" r="D14"/>
      <c s="39" r="E14"/>
      <c s="39" r="F14"/>
      <c s="39" r="G14"/>
      <c s="39" r="H14"/>
      <c s="41" r="I14"/>
      <c s="225" r="J14"/>
      <c s="225" r="K14"/>
      <c s="39" r="L14"/>
    </row>
    <row customHeight="1" r="15" ht="14.25">
      <c s="72" r="A15"/>
      <c s="28" r="B15"/>
      <c s="39" r="C15"/>
      <c s="39" r="D15"/>
      <c s="39" r="E15"/>
      <c s="39" r="F15"/>
      <c s="39" r="G15"/>
      <c s="39" r="H15"/>
      <c s="41" r="I15"/>
      <c s="225" r="J15"/>
      <c s="225" r="K15"/>
      <c s="39" r="L15"/>
    </row>
    <row customHeight="1" r="16" ht="14.25">
      <c s="72" r="A16"/>
      <c s="28" r="B16"/>
      <c s="39" r="C16"/>
      <c s="39" r="D16"/>
      <c s="39" r="E16"/>
      <c s="39" r="F16"/>
      <c s="39" r="G16"/>
      <c s="39" r="H16"/>
      <c s="194" r="I16"/>
      <c t="str" s="225" r="J16">
        <f>SUM(J6:J15)</f>
        <v> $  58.500,00 </v>
      </c>
      <c t="str" s="225" r="K16">
        <f>SUM(K6:K15)</f>
        <v> $  11.700,00 </v>
      </c>
      <c s="39" r="L16"/>
    </row>
    <row customHeight="1" r="17" ht="14.25">
      <c s="72" r="A17"/>
      <c s="28" r="B17"/>
      <c s="39" r="C17"/>
      <c s="39" r="D17"/>
      <c s="39" r="E17"/>
      <c s="39" r="F17"/>
      <c s="39" r="G17"/>
      <c s="39" r="H17"/>
      <c s="39" r="I17"/>
      <c s="39" r="J17"/>
      <c s="39" r="K17"/>
      <c s="39" r="L17"/>
    </row>
    <row customHeight="1" r="18" ht="15.75">
      <c s="72" r="A18"/>
      <c s="72" r="B18"/>
      <c s="72" r="C18"/>
      <c s="72" r="D18"/>
      <c s="72" r="E18"/>
      <c s="72" r="F18"/>
      <c s="72" r="G18"/>
      <c s="72" r="H18"/>
      <c s="72" r="I18"/>
      <c s="72" r="J18"/>
      <c s="72" r="K18"/>
      <c s="72" r="L18"/>
    </row>
    <row customHeight="1" r="19" ht="15.75">
      <c s="72" r="A19"/>
      <c s="72" r="B19"/>
      <c s="72" r="C19"/>
      <c s="72" r="D19"/>
      <c s="72" r="E19"/>
      <c s="72" r="F19"/>
      <c s="72" r="G19"/>
      <c s="72" r="H19"/>
      <c s="72" r="I19"/>
      <c s="72" r="J19"/>
      <c s="72" r="K19"/>
      <c s="72" r="L19"/>
    </row>
    <row customHeight="1" r="20" ht="15.75">
      <c s="72" r="A20"/>
      <c s="72" r="B20"/>
      <c s="72" r="C20"/>
      <c s="72" r="D20"/>
      <c s="72" r="E20"/>
      <c s="72" r="F20"/>
      <c s="72" r="G20"/>
      <c s="72" r="H20"/>
      <c s="72" r="I20"/>
      <c s="72" r="J20"/>
      <c s="72" r="K20"/>
      <c s="72" r="L20"/>
    </row>
  </sheetData>
  <mergeCells count="1">
    <mergeCell ref="F5:G5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75"/>
  <cols>
    <col min="1" customWidth="1" max="2" width="11.43"/>
    <col min="3" customWidth="1" max="3" width="17.71"/>
    <col min="4" customWidth="1" max="4" width="16.86"/>
    <col min="5" customWidth="1" max="8" width="11.43"/>
    <col min="9" customWidth="1" max="9" width="35.71"/>
    <col min="10" customWidth="1" max="12" width="11.43"/>
  </cols>
  <sheetData>
    <row customHeight="1" r="1" ht="12.75">
      <c s="192" r="A1"/>
      <c s="192" r="B1"/>
      <c s="192" r="C1"/>
      <c s="192" r="D1"/>
      <c s="192" r="E1"/>
      <c s="192" r="F1"/>
      <c s="192" r="G1"/>
      <c s="192" r="H1"/>
      <c s="192" r="I1"/>
      <c s="192" r="J1"/>
      <c s="192" r="K1"/>
      <c s="192" r="L1"/>
    </row>
    <row customHeight="1" r="2" ht="15.0">
      <c s="192" r="A2"/>
      <c s="230" r="B2"/>
      <c s="194" r="C2"/>
      <c s="194" r="D2"/>
      <c s="194" r="E2"/>
      <c s="194" r="F2"/>
      <c s="194" r="G2"/>
      <c s="194" r="H2"/>
      <c s="216" r="I2"/>
      <c s="216" r="J2"/>
      <c s="216" r="K2"/>
      <c s="193" r="L2"/>
    </row>
    <row customHeight="1" r="3" ht="18.75">
      <c s="192" r="A3"/>
      <c s="230" r="B3"/>
      <c t="s" s="227" r="C3">
        <v>313</v>
      </c>
      <c s="194" r="D3"/>
      <c s="194" r="E3"/>
      <c s="194" r="F3"/>
      <c s="194" r="G3"/>
      <c s="194" r="H3"/>
      <c s="216" r="I3"/>
      <c s="216" r="J3"/>
      <c s="216" r="K3"/>
      <c s="193" r="L3"/>
    </row>
    <row customHeight="1" r="4" ht="12.75">
      <c s="192" r="A4"/>
      <c s="230" r="B4"/>
      <c s="198" r="C4"/>
      <c s="194" r="D4"/>
      <c s="194" r="E4"/>
      <c s="194" r="F4"/>
      <c s="194" r="G4"/>
      <c s="194" r="H4"/>
      <c t="s" s="43" r="I4">
        <v>314</v>
      </c>
      <c t="s" s="43" r="J4">
        <v>315</v>
      </c>
      <c t="s" s="43" r="K4">
        <v>316</v>
      </c>
      <c s="193" r="L4"/>
    </row>
    <row customHeight="1" r="5" ht="12.75">
      <c s="192" r="A5"/>
      <c s="230" r="B5"/>
      <c t="s" s="203" r="C5">
        <v>317</v>
      </c>
      <c t="str" s="203" r="D5">
        <f>+J15</f>
        <v> $  191.075,00 </v>
      </c>
      <c s="194" r="E5"/>
      <c t="s" s="201" r="F5">
        <v>318</v>
      </c>
      <c s="194" r="H5"/>
      <c t="s" s="231" r="I5">
        <v>319</v>
      </c>
      <c s="35" r="J5">
        <v>15156.0</v>
      </c>
      <c s="35" r="K5">
        <v>3031.2</v>
      </c>
      <c s="193" r="L5"/>
    </row>
    <row customHeight="1" r="6" ht="12.75">
      <c s="192" r="A6"/>
      <c s="230" r="B6"/>
      <c t="s" s="203" r="C6">
        <v>320</v>
      </c>
      <c t="str" s="203" r="D6">
        <f>+D5-D7</f>
        <v> $  152.860,00 </v>
      </c>
      <c s="194" r="E6"/>
      <c t="s" s="204" r="F6">
        <v>321</v>
      </c>
      <c t="str" s="205" r="G6">
        <f>(COUNT(C10:C14)*(COUNT(C10:C14)+1))/2</f>
        <v>15</v>
      </c>
      <c s="194" r="H6"/>
      <c t="s" s="232" r="I6">
        <v>322</v>
      </c>
      <c s="35" r="J6">
        <v>10104.0</v>
      </c>
      <c s="35" r="K6">
        <v>2020.8</v>
      </c>
      <c s="193" r="L6"/>
    </row>
    <row customHeight="1" r="7" ht="12.75">
      <c s="192" r="A7"/>
      <c s="230" r="B7"/>
      <c t="s" s="203" r="C7">
        <v>323</v>
      </c>
      <c t="str" s="203" r="D7">
        <f>+K15</f>
        <v> $  38.215,00 </v>
      </c>
      <c s="194" r="E7"/>
      <c s="39" r="F7"/>
      <c s="39" r="G7"/>
      <c s="194" r="H7"/>
      <c t="s" s="232" r="I7">
        <v>324</v>
      </c>
      <c s="35" r="J7">
        <v>16840.0</v>
      </c>
      <c s="35" r="K7">
        <v>3368.0</v>
      </c>
      <c s="193" r="L7"/>
    </row>
    <row customHeight="1" r="8" ht="12.75">
      <c s="192" r="A8"/>
      <c s="230" r="B8"/>
      <c s="194" r="C8"/>
      <c s="194" r="D8"/>
      <c s="39" r="E8"/>
      <c s="39" r="F8"/>
      <c s="39" r="G8"/>
      <c s="39" r="H8"/>
      <c t="s" s="232" r="I8">
        <v>325</v>
      </c>
      <c s="35" r="J8">
        <v>67360.0</v>
      </c>
      <c s="35" r="K8">
        <v>13472.0</v>
      </c>
      <c s="193" r="L8"/>
    </row>
    <row customHeight="1" r="9" ht="38.25">
      <c s="192" r="A9"/>
      <c s="230" r="B9"/>
      <c t="s" s="43" r="C9">
        <v>326</v>
      </c>
      <c t="s" s="43" r="D9">
        <v>327</v>
      </c>
      <c t="s" s="43" r="E9">
        <v>328</v>
      </c>
      <c t="s" s="43" r="F9">
        <v>329</v>
      </c>
      <c t="s" s="43" r="G9">
        <v>330</v>
      </c>
      <c s="206" r="H9"/>
      <c t="s" s="220" r="I9">
        <v>331</v>
      </c>
      <c s="35" r="J9">
        <v>16840.0</v>
      </c>
      <c s="35" r="K9">
        <v>3368.0</v>
      </c>
      <c s="193" r="L9"/>
    </row>
    <row customHeight="1" r="10" ht="12.75">
      <c s="192" r="A10"/>
      <c s="230" r="B10"/>
      <c s="122" r="C10">
        <v>1.0</v>
      </c>
      <c t="str" s="203" r="D10">
        <f>$D$6</f>
        <v> $  152.860,00 </v>
      </c>
      <c t="str" s="222" r="E10">
        <f>C10/$G$6</f>
        <v>0,07</v>
      </c>
      <c t="str" s="208" r="F10">
        <f>D10*E10</f>
        <v> $  10.190,67 </v>
      </c>
      <c t="str" s="208" r="G10">
        <f>D5-F10</f>
        <v> $  180.884,33 </v>
      </c>
      <c s="28" r="H10"/>
      <c t="s" s="220" r="I10">
        <v>332</v>
      </c>
      <c s="35" r="J10">
        <v>25260.0</v>
      </c>
      <c s="35" r="K10">
        <v>5052.0</v>
      </c>
      <c s="193" r="L10"/>
    </row>
    <row customHeight="1" r="11" ht="12.75">
      <c s="192" r="A11"/>
      <c s="230" r="B11"/>
      <c s="122" r="C11">
        <v>2.0</v>
      </c>
      <c t="str" s="203" r="D11">
        <f>$D$6</f>
        <v> $  152.860,00 </v>
      </c>
      <c t="str" s="222" r="E11">
        <f>C11/$G$6</f>
        <v>0,13</v>
      </c>
      <c t="str" s="208" r="F11">
        <f>D11*E11</f>
        <v> $  20.381,33 </v>
      </c>
      <c t="str" s="208" r="G11">
        <f>G10-F11</f>
        <v> $  160.503,00 </v>
      </c>
      <c s="28" r="H11"/>
      <c t="s" s="220" r="I11">
        <v>333</v>
      </c>
      <c s="35" r="J11">
        <v>19366.0</v>
      </c>
      <c s="35" r="K11">
        <v>3873.2</v>
      </c>
      <c s="193" r="L11"/>
    </row>
    <row customHeight="1" r="12" ht="12.75">
      <c s="192" r="A12"/>
      <c s="230" r="B12"/>
      <c s="122" r="C12">
        <v>3.0</v>
      </c>
      <c t="str" s="203" r="D12">
        <f>$D$6</f>
        <v> $  152.860,00 </v>
      </c>
      <c t="str" s="222" r="E12">
        <f>C12/$G$6</f>
        <v>0,20</v>
      </c>
      <c t="str" s="208" r="F12">
        <f>D12*E12</f>
        <v> $  30.572,00 </v>
      </c>
      <c t="str" s="208" r="G12">
        <f>G11-F12</f>
        <v> $  129.931,00 </v>
      </c>
      <c s="28" r="H12"/>
      <c t="s" s="217" r="I12">
        <v>334</v>
      </c>
      <c s="35" r="J12">
        <v>1649.0</v>
      </c>
      <c s="35" r="K12">
        <v>329.8</v>
      </c>
      <c s="193" r="L12"/>
    </row>
    <row customHeight="1" r="13" ht="12.75">
      <c s="192" r="A13"/>
      <c s="230" r="B13"/>
      <c s="122" r="C13">
        <v>4.0</v>
      </c>
      <c t="str" s="203" r="D13">
        <f>$D$6</f>
        <v> $  152.860,00 </v>
      </c>
      <c t="str" s="222" r="E13">
        <f>C13/$G$6</f>
        <v>0,27</v>
      </c>
      <c t="str" s="208" r="F13">
        <f>D13*E13</f>
        <v> $  40.762,67 </v>
      </c>
      <c t="str" s="208" r="G13">
        <f>G12-F13</f>
        <v> $  89.168,33 </v>
      </c>
      <c s="28" r="H13"/>
      <c t="s" s="220" r="I13">
        <v>335</v>
      </c>
      <c s="35" r="J13">
        <v>13500.0</v>
      </c>
      <c s="35" r="K13">
        <v>2700.0</v>
      </c>
      <c s="193" r="L13"/>
    </row>
    <row customHeight="1" r="14" ht="12.75">
      <c s="192" r="A14"/>
      <c s="230" r="B14"/>
      <c s="122" r="C14">
        <v>5.0</v>
      </c>
      <c t="str" s="203" r="D14">
        <f>$D$6</f>
        <v> $  152.860,00 </v>
      </c>
      <c t="str" s="222" r="E14">
        <f>C14/$G$6</f>
        <v>0,33</v>
      </c>
      <c t="str" s="208" r="F14">
        <f>D14*E14</f>
        <v> $  50.953,33 </v>
      </c>
      <c t="str" s="208" r="G14">
        <f>G13-F14</f>
        <v> $  38.215,00 </v>
      </c>
      <c s="28" r="H14"/>
      <c t="s" s="233" r="I14">
        <v>336</v>
      </c>
      <c s="35" r="J14">
        <v>5000.0</v>
      </c>
      <c s="35" r="K14">
        <v>1000.0</v>
      </c>
      <c s="193" r="L14"/>
    </row>
    <row customHeight="1" r="15" ht="12.75">
      <c s="192" r="A15"/>
      <c s="230" r="B15"/>
      <c s="39" r="C15"/>
      <c t="s" s="209" r="D15">
        <v>337</v>
      </c>
      <c t="str" s="210" r="E15">
        <f>SUM(E10:E14)</f>
        <v>1,00</v>
      </c>
      <c t="str" s="211" r="F15">
        <f>SUM(F12:F14)</f>
        <v> $  122.288,00 </v>
      </c>
      <c t="str" s="212" r="G15">
        <f>+G14-D7</f>
        <v> $  0,00 </v>
      </c>
      <c s="28" r="H15"/>
      <c s="194" r="I15"/>
      <c t="str" s="225" r="J15">
        <f>SUM(J5:J14)</f>
        <v> $  191.075,00 </v>
      </c>
      <c t="str" s="225" r="K15">
        <f>SUM(K5:K14)</f>
        <v> $  38.215,00 </v>
      </c>
      <c s="193" r="L15"/>
    </row>
    <row customHeight="1" r="16" ht="12.75">
      <c s="192" r="A16"/>
      <c s="230" r="B16"/>
      <c s="193" r="C16"/>
      <c s="193" r="D16"/>
      <c s="193" r="E16"/>
      <c s="193" r="F16"/>
      <c s="193" r="G16"/>
      <c s="193" r="H16"/>
      <c s="193" r="I16"/>
      <c s="193" r="J16"/>
      <c s="193" r="K16"/>
      <c s="193" r="L16"/>
    </row>
    <row customHeight="1" r="17" ht="12.75">
      <c s="192" r="A17"/>
      <c s="192" r="B17"/>
      <c s="192" r="C17"/>
      <c s="192" r="D17"/>
      <c s="192" r="E17"/>
      <c s="192" r="F17"/>
      <c s="192" r="G17"/>
      <c s="192" r="H17"/>
      <c s="192" r="I17"/>
      <c s="192" r="J17"/>
      <c s="192" r="K17"/>
      <c s="192" r="L17"/>
    </row>
    <row customHeight="1" r="18" ht="12.75">
      <c s="192" r="A18"/>
      <c s="192" r="B18"/>
      <c s="192" r="C18"/>
      <c s="192" r="D18"/>
      <c s="192" r="E18"/>
      <c s="192" r="F18"/>
      <c s="192" r="G18"/>
      <c s="192" r="H18"/>
      <c s="192" r="I18"/>
      <c s="192" r="J18"/>
      <c s="192" r="K18"/>
      <c s="192" r="L18"/>
    </row>
    <row customHeight="1" r="19" ht="12.75">
      <c s="192" r="A19"/>
      <c s="192" r="B19"/>
      <c s="192" r="C19"/>
      <c s="192" r="D19"/>
      <c s="192" r="E19"/>
      <c s="192" r="F19"/>
      <c s="192" r="G19"/>
      <c s="192" r="H19"/>
      <c s="192" r="I19"/>
      <c s="192" r="J19"/>
      <c s="192" r="K19"/>
      <c s="192" r="L19"/>
    </row>
    <row customHeight="1" r="20" ht="12.75">
      <c s="192" r="A20"/>
      <c s="192" r="B20"/>
      <c s="192" r="C20"/>
      <c s="192" r="D20"/>
      <c s="192" r="E20"/>
      <c s="192" r="F20"/>
      <c s="192" r="G20"/>
      <c s="192" r="H20"/>
      <c s="192" r="I20"/>
      <c s="192" r="J20"/>
      <c s="192" r="K20"/>
      <c s="192" r="L20"/>
    </row>
  </sheetData>
  <mergeCells count="1">
    <mergeCell ref="F5:G5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75"/>
  <cols>
    <col min="1" customWidth="1" max="1" width="17.29"/>
    <col min="2" customWidth="1" max="2" width="2.71"/>
    <col min="3" customWidth="1" max="3" width="5.0"/>
    <col min="4" customWidth="1" max="4" width="22.29"/>
    <col min="5" customWidth="1" max="5" width="13.57"/>
    <col min="6" customWidth="1" max="10" width="15.29"/>
    <col min="11" customWidth="1" max="11" width="17.29"/>
  </cols>
  <sheetData>
    <row customHeight="1" r="1" ht="15.75">
      <c s="72" r="A1"/>
      <c s="72" r="B1"/>
      <c s="72" r="C1"/>
      <c s="72" r="D1"/>
      <c s="72" r="E1"/>
      <c s="72" r="F1"/>
      <c s="72" r="G1"/>
      <c s="72" r="H1"/>
      <c s="72" r="I1"/>
      <c s="72" r="J1"/>
      <c s="72" r="K1"/>
    </row>
    <row customHeight="1" r="2" ht="15.75">
      <c s="72" r="A2"/>
      <c s="193" r="B2"/>
      <c s="194" r="C2"/>
      <c s="28" r="D2"/>
      <c s="28" r="E2"/>
      <c s="28" r="F2"/>
      <c s="28" r="G2"/>
      <c s="28" r="H2"/>
      <c s="28" r="I2"/>
      <c s="28" r="J2"/>
      <c s="28" r="K2"/>
    </row>
    <row customHeight="1" r="3" ht="15.75">
      <c s="72" r="A3"/>
      <c s="193" r="B3"/>
      <c t="s" s="227" r="C3">
        <v>338</v>
      </c>
      <c s="28" r="D3"/>
      <c s="28" r="E3"/>
      <c s="28" r="F3"/>
      <c s="28" r="G3"/>
      <c s="28" r="H3"/>
      <c s="28" r="I3"/>
      <c s="28" r="J3"/>
      <c s="28" r="K3"/>
    </row>
    <row customHeight="1" r="4" ht="15.75">
      <c s="72" r="A4"/>
      <c s="193" r="B4"/>
      <c s="196" r="C4"/>
      <c s="28" r="D4"/>
      <c s="28" r="E4"/>
      <c s="28" r="F4"/>
      <c s="28" r="G4"/>
      <c s="28" r="H4"/>
      <c s="28" r="I4"/>
      <c s="28" r="J4"/>
      <c s="28" r="K4"/>
    </row>
    <row customHeight="1" r="5" ht="15.75">
      <c s="72" r="A5"/>
      <c s="193" r="B5"/>
      <c t="s" s="234" r="C5">
        <v>339</v>
      </c>
      <c s="28" r="D5"/>
      <c s="28" r="E5"/>
      <c s="28" r="F5"/>
      <c s="28" r="G5"/>
      <c s="28" r="H5"/>
      <c s="28" r="I5"/>
      <c s="28" r="J5"/>
      <c s="28" r="K5"/>
    </row>
    <row customHeight="1" r="6" ht="15.75">
      <c s="72" r="A6"/>
      <c s="28" r="B6"/>
      <c s="28" r="C6"/>
      <c s="28" r="D6"/>
      <c s="28" r="E6"/>
      <c s="28" r="F6"/>
      <c s="28" r="G6"/>
      <c s="28" r="H6"/>
      <c s="28" r="I6"/>
      <c s="28" r="J6"/>
      <c s="28" r="K6"/>
    </row>
    <row customHeight="1" r="7" ht="17.25">
      <c s="137" r="A7"/>
      <c s="235" r="B7"/>
      <c s="49" r="C7"/>
      <c s="49" r="D7"/>
      <c t="s" s="43" r="E7">
        <v>340</v>
      </c>
      <c t="s" s="43" r="F7">
        <v>341</v>
      </c>
      <c t="s" s="43" r="G7">
        <v>342</v>
      </c>
      <c t="s" s="43" r="H7">
        <v>343</v>
      </c>
      <c t="s" s="43" r="I7">
        <v>344</v>
      </c>
      <c t="s" s="43" r="J7">
        <v>345</v>
      </c>
      <c s="236" r="K7"/>
    </row>
    <row customHeight="1" r="8" ht="17.25">
      <c s="72" r="A8"/>
      <c s="39" r="B8"/>
      <c s="28" r="C8"/>
      <c t="s" s="33" r="D8">
        <v>346</v>
      </c>
      <c t="str" s="237" r="E8">
        <f>+'Amortización Edificio'!G10</f>
        <v> $  2.346.880,57 </v>
      </c>
      <c t="str" s="237" r="F8">
        <f>+'Amortización Edificio'!G10</f>
        <v> $  2.346.880,57 </v>
      </c>
      <c t="str" s="237" r="G8">
        <f>+'Amortización Edificio'!G11</f>
        <v> $  2.340.641,71 </v>
      </c>
      <c t="str" s="237" r="H8">
        <f>+'Amortización Edificio'!G12</f>
        <v> $  2.331.283,42 </v>
      </c>
      <c t="str" s="237" r="I8">
        <f>+'Amortización Edificio'!G13</f>
        <v> $  2.318.805,70 </v>
      </c>
      <c t="str" s="237" r="J8">
        <f>+'Amortización Edificio'!G14</f>
        <v> $  2.303.208,56 </v>
      </c>
      <c s="238" r="K8"/>
    </row>
    <row customHeight="1" r="9" ht="17.25">
      <c s="72" r="A9"/>
      <c s="39" r="B9"/>
      <c s="28" r="C9"/>
      <c t="s" s="33" r="D9">
        <v>347</v>
      </c>
      <c t="str" s="237" r="E9">
        <f>+'Amortización Muebles y Utiles'!D5</f>
        <v> $  47.678,00 </v>
      </c>
      <c t="str" s="237" r="F9">
        <f>+'Amortización Muebles y Utiles'!G10</f>
        <v> $  45.135,17 </v>
      </c>
      <c t="str" s="237" r="G9">
        <f>+'Amortización Muebles y Utiles'!G11</f>
        <v> $  40.049,52 </v>
      </c>
      <c t="str" s="237" r="H9">
        <f>+'Amortización Muebles y Utiles'!G12</f>
        <v> $  32.421,04 </v>
      </c>
      <c t="str" s="237" r="I9">
        <f>+'Amortización Muebles y Utiles'!G13</f>
        <v> $  22.249,73 </v>
      </c>
      <c t="str" s="237" r="J9">
        <f>+'Amortización Muebles y Utiles'!G14</f>
        <v> $  9.535,60 </v>
      </c>
      <c s="238" r="K9"/>
    </row>
    <row customHeight="1" r="10" ht="17.25">
      <c s="72" r="A10"/>
      <c s="39" r="B10"/>
      <c s="28" r="C10"/>
      <c t="s" s="33" r="D10">
        <v>348</v>
      </c>
      <c t="str" s="237" r="E10">
        <f>+'Amortización Rodados'!D5</f>
        <v> $  987.198,00 </v>
      </c>
      <c t="str" s="237" r="F10">
        <f>+'Amortización Rodados'!G10</f>
        <v> $  932.195,43 </v>
      </c>
      <c t="str" s="237" r="G10">
        <f>+'Amortización Rodados'!G11</f>
        <v> $  822.190,28 </v>
      </c>
      <c t="str" s="237" r="H10">
        <f>+'Amortización Rodados'!G12</f>
        <v> $  657.182,56 </v>
      </c>
      <c t="str" s="237" r="I10">
        <f>+'Amortización Rodados'!G13</f>
        <v> $  437.172,27 </v>
      </c>
      <c t="str" s="237" r="J10">
        <f>+'Amortización Rodados'!G14</f>
        <v> $  162.159,40 </v>
      </c>
      <c s="238" r="K10"/>
    </row>
    <row customHeight="1" r="11" ht="17.25">
      <c s="72" r="A11"/>
      <c s="39" r="B11"/>
      <c s="28" r="C11"/>
      <c t="s" s="33" r="D11">
        <v>349</v>
      </c>
      <c t="str" s="237" r="E11">
        <f>+'Amortización Informática'!G10</f>
        <v> $  56.550,00 </v>
      </c>
      <c t="str" s="237" r="F11">
        <f>+'Amortización Informática'!G10</f>
        <v> $  56.550,00 </v>
      </c>
      <c t="str" s="237" r="G11">
        <f>+'Amortización Informática'!G11</f>
        <v> $  52.650,00 </v>
      </c>
      <c t="str" s="237" r="H11">
        <f>+'Amortización Informática'!G12</f>
        <v> $  46.800,00 </v>
      </c>
      <c s="237" r="I11">
        <v>0.0</v>
      </c>
      <c s="237" r="J11">
        <v>0.0</v>
      </c>
      <c s="238" r="K11"/>
    </row>
    <row customHeight="1" r="12" ht="17.25">
      <c s="72" r="A12"/>
      <c s="39" r="B12"/>
      <c s="28" r="C12"/>
      <c t="s" s="33" r="D12">
        <v>350</v>
      </c>
      <c t="str" s="239" r="E12">
        <f>+'Amortización Máquinas'!D5</f>
        <v> $  191.075,00 </v>
      </c>
      <c t="str" s="239" r="F12">
        <f>+E12</f>
        <v> $  191.075,00 </v>
      </c>
      <c t="str" s="239" r="G12">
        <f>+F12</f>
        <v> $  191.075,00 </v>
      </c>
      <c t="str" s="239" r="H12">
        <f>+G12</f>
        <v> $  191.075,00 </v>
      </c>
      <c t="str" s="239" r="I12">
        <f>+H12</f>
        <v> $  191.075,00 </v>
      </c>
      <c t="str" s="239" r="J12">
        <f>+I12</f>
        <v> $  191.075,00 </v>
      </c>
      <c s="238" r="K12"/>
    </row>
    <row customHeight="1" r="13" ht="17.25">
      <c s="72" r="A13"/>
      <c s="28" r="B13"/>
      <c s="28" r="C13"/>
      <c t="s" s="240" r="D13">
        <v>351</v>
      </c>
      <c t="str" s="241" r="E13">
        <f>SUM(E8:E12)</f>
        <v> $  3.629.381,57 </v>
      </c>
      <c t="str" s="190" r="F13">
        <f>SUM(F8:F12)</f>
        <v> $  3.571.836,17 </v>
      </c>
      <c t="str" s="190" r="G13">
        <f>SUM(G8:G12)</f>
        <v> $  3.446.606,51 </v>
      </c>
      <c t="str" s="240" r="H13">
        <f>SUM(H8:H12)</f>
        <v> $  3.258.762,02 </v>
      </c>
      <c t="str" s="241" r="I13">
        <f>SUM(I8:I12)</f>
        <v> $  2.969.302,70 </v>
      </c>
      <c t="str" s="190" r="J13">
        <f>SUM(J8:J12)</f>
        <v> $  2.665.978,56 </v>
      </c>
      <c s="242" r="K13"/>
    </row>
    <row customHeight="1" r="14" ht="17.25">
      <c s="72" r="A14"/>
      <c s="28" r="B14"/>
      <c s="28" r="C14"/>
      <c t="s" s="243" r="D14">
        <v>352</v>
      </c>
      <c t="str" s="244" r="E14">
        <f>+E13*Consideraciones!D13</f>
        <v> $  762.170,13 </v>
      </c>
      <c s="28" r="F14"/>
      <c s="28" r="G14"/>
      <c s="28" r="H14"/>
      <c s="28" r="I14"/>
      <c s="28" r="J14"/>
      <c s="28" r="K14"/>
    </row>
    <row customHeight="1" r="15" ht="18.0">
      <c s="72" r="A15"/>
      <c s="28" r="B15"/>
      <c s="28" r="C15"/>
      <c s="28" r="D15"/>
      <c s="28" r="E15"/>
      <c s="28" r="F15"/>
      <c s="28" r="G15"/>
      <c s="28" r="H15"/>
      <c s="28" r="I15"/>
      <c s="28" r="J15"/>
      <c s="28" r="K15"/>
    </row>
    <row customHeight="1" r="16" ht="18.0">
      <c s="72" r="A16"/>
      <c s="28" r="B16"/>
      <c t="s" s="234" r="C16">
        <v>353</v>
      </c>
      <c s="28" r="D16"/>
      <c s="28" r="E16"/>
      <c s="28" r="F16"/>
      <c s="28" r="G16"/>
      <c s="28" r="H16"/>
      <c s="28" r="I16"/>
      <c s="28" r="J16"/>
      <c s="28" r="K16"/>
    </row>
    <row customHeight="1" r="17" ht="18.0">
      <c s="72" r="A17"/>
      <c s="28" r="B17"/>
      <c s="234" r="C17"/>
      <c s="28" r="D17"/>
      <c s="28" r="E17"/>
      <c s="28" r="F17"/>
      <c s="28" r="G17"/>
      <c s="28" r="H17"/>
      <c s="28" r="I17"/>
      <c s="28" r="J17"/>
      <c s="28" r="K17"/>
    </row>
    <row customHeight="1" r="18" ht="17.25">
      <c s="72" r="A18"/>
      <c s="28" r="B18"/>
      <c s="28" r="C18"/>
      <c s="28" r="D18"/>
      <c t="s" s="43" r="E18">
        <v>354</v>
      </c>
      <c t="s" s="43" r="F18">
        <v>355</v>
      </c>
      <c t="s" s="43" r="G18">
        <v>356</v>
      </c>
      <c t="s" s="43" r="H18">
        <v>357</v>
      </c>
      <c t="s" s="43" r="I18">
        <v>358</v>
      </c>
      <c t="s" s="43" r="J18">
        <v>359</v>
      </c>
      <c s="28" r="K18"/>
    </row>
    <row customHeight="1" r="19" ht="17.25">
      <c s="72" r="A19"/>
      <c s="28" r="B19"/>
      <c s="28" r="C19"/>
      <c t="s" s="33" r="D19">
        <v>360</v>
      </c>
      <c s="237" r="E19">
        <v>0.0</v>
      </c>
      <c t="str" s="237" r="F19">
        <f>+'Amortización Edificio'!F10</f>
        <v> $  3.119,43 </v>
      </c>
      <c t="str" s="237" r="G19">
        <f>+'Amortización Edificio'!F11</f>
        <v> $  6.238,86 </v>
      </c>
      <c t="str" s="237" r="H19">
        <f>+'Amortización Edificio'!F12</f>
        <v> $  9.358,29 </v>
      </c>
      <c t="str" s="237" r="I19">
        <f>+'Amortización Edificio'!F13</f>
        <v> $  12.477,72 </v>
      </c>
      <c t="str" s="237" r="J19">
        <f>+'Amortización Edificio'!F14</f>
        <v> $  15.597,15 </v>
      </c>
      <c s="28" r="K19"/>
    </row>
    <row customHeight="1" r="20" ht="17.25">
      <c s="72" r="A20"/>
      <c s="28" r="B20"/>
      <c s="28" r="C20"/>
      <c t="s" s="33" r="D20">
        <v>361</v>
      </c>
      <c s="237" r="E20">
        <v>0.0</v>
      </c>
      <c t="str" s="237" r="F20">
        <f>+'Amortización Muebles y Utiles'!F10</f>
        <v> $  2.542,83 </v>
      </c>
      <c t="str" s="237" r="G20">
        <f>+'Amortización Muebles y Utiles'!F11</f>
        <v> $  5.085,65 </v>
      </c>
      <c t="str" s="237" r="H20">
        <f>+'Amortización Muebles y Utiles'!F12</f>
        <v> $  7.628,48 </v>
      </c>
      <c t="str" s="237" r="I20">
        <f>+'Amortización Muebles y Utiles'!F13</f>
        <v> $  10.171,31 </v>
      </c>
      <c t="str" s="237" r="J20">
        <f>+'Amortización Muebles y Utiles'!F14</f>
        <v> $  12.714,13 </v>
      </c>
      <c s="28" r="K20"/>
    </row>
    <row customHeight="1" r="21" ht="17.25">
      <c s="72" r="A21"/>
      <c s="28" r="B21"/>
      <c s="28" r="C21"/>
      <c t="s" s="33" r="D21">
        <v>362</v>
      </c>
      <c s="237" r="E21">
        <v>0.0</v>
      </c>
      <c t="str" s="237" r="F21">
        <f>+'Amortización Rodados'!F10</f>
        <v> $  55.002,57 </v>
      </c>
      <c t="str" s="237" r="G21">
        <f>+'Amortización Rodados'!F11</f>
        <v> $  110.005,15 </v>
      </c>
      <c t="str" s="237" r="H21">
        <f>+'Amortización Rodados'!F12</f>
        <v> $  165.007,72 </v>
      </c>
      <c t="str" s="237" r="I21">
        <f>+'Amortización Rodados'!F13</f>
        <v> $  220.010,29 </v>
      </c>
      <c t="str" s="237" r="J21">
        <f>+'Amortización Rodados'!F14</f>
        <v> $  275.012,87 </v>
      </c>
      <c s="28" r="K21"/>
    </row>
    <row customHeight="1" r="22" ht="17.25">
      <c s="72" r="A22"/>
      <c s="28" r="B22"/>
      <c s="28" r="C22"/>
      <c t="s" s="33" r="D22">
        <v>363</v>
      </c>
      <c s="237" r="E22">
        <v>0.0</v>
      </c>
      <c t="str" s="237" r="F22">
        <f>+'Amortización Informática'!F10</f>
        <v> $  1.950,00 </v>
      </c>
      <c t="str" s="237" r="G22">
        <f>+'Amortización Informática'!F11</f>
        <v> $  3.900,00 </v>
      </c>
      <c t="str" s="237" r="H22">
        <f>+'Amortización Informática'!F12</f>
        <v> $  5.850,00 </v>
      </c>
      <c s="237" r="I22">
        <v>0.0</v>
      </c>
      <c s="237" r="J22">
        <v>0.0</v>
      </c>
      <c s="28" r="K22"/>
    </row>
    <row customHeight="1" r="23" ht="17.25">
      <c s="72" r="A23"/>
      <c s="28" r="B23"/>
      <c s="28" r="C23"/>
      <c t="s" s="33" r="D23">
        <v>364</v>
      </c>
      <c s="237" r="E23">
        <v>0.0</v>
      </c>
      <c t="str" s="237" r="F23">
        <f>+'Amortización Máquinas'!F10</f>
        <v> $  10.190,67 </v>
      </c>
      <c t="str" s="237" r="G23">
        <f>+'Amortización Máquinas'!F11</f>
        <v> $  20.381,33 </v>
      </c>
      <c t="str" s="237" r="H23">
        <f>+'Amortización Máquinas'!F12</f>
        <v> $  30.572,00 </v>
      </c>
      <c t="str" s="237" r="I23">
        <f>+'Amortización Máquinas'!F13</f>
        <v> $  40.762,67 </v>
      </c>
      <c t="str" s="237" r="J23">
        <f>+'Amortización Máquinas'!F14</f>
        <v> $  50.953,33 </v>
      </c>
      <c s="28" r="K23"/>
    </row>
    <row customHeight="1" r="24" ht="17.25">
      <c s="72" r="A24"/>
      <c s="28" r="B24"/>
      <c s="28" r="C24"/>
      <c t="s" s="240" r="D24">
        <v>365</v>
      </c>
      <c s="241" r="E24">
        <v>0.0</v>
      </c>
      <c t="str" s="240" r="F24">
        <f>SUM(F19:F23)</f>
        <v> $  72.805,50 </v>
      </c>
      <c t="str" s="240" r="G24">
        <f>SUM(G19:G23)</f>
        <v> $  145.610,99 </v>
      </c>
      <c t="str" s="240" r="H24">
        <f>SUM(H19:H23)</f>
        <v> $  218.416,49 </v>
      </c>
      <c t="str" s="240" r="I24">
        <f>SUM(I19:I23)</f>
        <v> $  283.421,99 </v>
      </c>
      <c t="str" s="240" r="J24">
        <f>SUM(J19:J23)</f>
        <v> $  354.277,48 </v>
      </c>
      <c s="28" r="K24"/>
    </row>
    <row customHeight="1" r="25" ht="15.75">
      <c s="72" r="A25"/>
      <c s="28" r="B25"/>
      <c s="28" r="C25"/>
      <c s="28" r="D25"/>
      <c s="28" r="E25"/>
      <c s="28" r="F25"/>
      <c s="28" r="G25"/>
      <c s="28" r="H25"/>
      <c s="28" r="I25"/>
      <c s="28" r="J25"/>
      <c s="28" r="K25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75"/>
  <cols>
    <col min="1" customWidth="1" max="1" width="17.29"/>
    <col min="2" customWidth="1" max="2" width="2.71"/>
    <col min="3" customWidth="1" max="3" width="18.71"/>
    <col min="4" customWidth="1" max="4" width="13.57"/>
    <col min="5" customWidth="1" max="5" width="13.0"/>
    <col min="6" customWidth="1" max="6" width="13.57"/>
    <col min="7" customWidth="1" max="7" width="13.14"/>
    <col min="8" customWidth="1" max="8" width="15.71"/>
    <col min="9" customWidth="1" max="9" width="17.29"/>
  </cols>
  <sheetData>
    <row customHeight="1" r="1" ht="15.75">
      <c s="72" r="A1"/>
      <c s="72" r="B1"/>
      <c s="72" r="C1"/>
      <c s="72" r="D1"/>
      <c s="72" r="E1"/>
      <c s="72" r="F1"/>
      <c s="72" r="G1"/>
      <c s="72" r="H1"/>
      <c s="72" r="I1"/>
    </row>
    <row customHeight="1" r="2" ht="15.75">
      <c s="72" r="A2"/>
      <c s="193" r="B2"/>
      <c s="194" r="C2"/>
      <c s="28" r="D2"/>
      <c s="28" r="E2"/>
      <c s="28" r="F2"/>
      <c s="28" r="G2"/>
      <c s="28" r="H2"/>
      <c s="28" r="I2"/>
    </row>
    <row customHeight="1" r="3" ht="15.75">
      <c s="72" r="A3"/>
      <c s="193" r="B3"/>
      <c t="s" s="227" r="C3">
        <v>366</v>
      </c>
      <c s="28" r="D3"/>
      <c s="28" r="E3"/>
      <c s="28" r="F3"/>
      <c s="28" r="G3"/>
      <c s="28" r="H3"/>
      <c s="28" r="I3"/>
    </row>
    <row customHeight="1" r="4" ht="15.75">
      <c s="72" r="A4"/>
      <c s="193" r="B4"/>
      <c s="28" r="C4"/>
      <c s="28" r="D4"/>
      <c s="28" r="E4"/>
      <c s="28" r="F4"/>
      <c s="28" r="G4"/>
      <c s="28" r="H4"/>
      <c s="28" r="I4"/>
    </row>
    <row customHeight="1" r="5" ht="25.5">
      <c s="137" r="A5"/>
      <c s="49" r="B5"/>
      <c t="s" s="43" r="C5">
        <v>367</v>
      </c>
      <c t="s" s="43" r="D5">
        <v>368</v>
      </c>
      <c t="s" s="43" r="E5">
        <v>369</v>
      </c>
      <c t="s" s="43" r="F5">
        <v>370</v>
      </c>
      <c t="s" s="43" r="G5">
        <v>371</v>
      </c>
      <c s="49" r="H5"/>
      <c s="49" r="I5"/>
    </row>
    <row customHeight="1" r="6" ht="13.5">
      <c s="72" r="A6"/>
      <c s="235" r="B6"/>
      <c t="s" s="34" r="C6">
        <v>372</v>
      </c>
      <c s="35" r="D6">
        <v>100000.0</v>
      </c>
      <c t="s" s="34" r="E6">
        <v>373</v>
      </c>
      <c s="78" r="F6">
        <v>2000000.0</v>
      </c>
      <c t="str" s="245" r="G6">
        <f>F6/F12</f>
        <v>44,53%</v>
      </c>
      <c s="246" r="H6"/>
      <c s="28" r="I6"/>
    </row>
    <row customHeight="1" r="7" ht="13.5">
      <c s="72" r="A7"/>
      <c s="39" r="B7"/>
      <c s="247" r="C7"/>
      <c s="248" r="D7"/>
      <c s="249" r="E7"/>
      <c s="250" r="F7"/>
      <c s="39" r="G7"/>
      <c s="28" r="H7"/>
      <c s="28" r="I7"/>
    </row>
    <row customHeight="1" r="8" ht="13.5">
      <c s="72" r="A8"/>
      <c s="39" r="B8"/>
      <c t="s" s="34" r="C8">
        <v>374</v>
      </c>
      <c t="str" s="80" r="D8">
        <f>'Activo no Corriente'!E14</f>
        <v> $  762.170,13 </v>
      </c>
      <c t="s" s="34" r="E8">
        <v>375</v>
      </c>
      <c t="str" s="80" r="F8">
        <f>+D12-F6</f>
        <v> $  2.491.551,70 </v>
      </c>
      <c t="str" s="251" r="G8">
        <f>F8/F12</f>
        <v>55,47%</v>
      </c>
      <c s="28" r="H8"/>
      <c s="28" r="I8"/>
    </row>
    <row customHeight="1" r="9" ht="13.5">
      <c s="72" r="A9"/>
      <c s="39" r="B9"/>
      <c s="249" r="C9"/>
      <c s="250" r="D9"/>
      <c s="39" r="E9"/>
      <c s="252" r="F9"/>
      <c s="39" r="G9"/>
      <c s="39" r="H9"/>
      <c s="39" r="I9"/>
    </row>
    <row customHeight="1" r="10" ht="13.5">
      <c s="72" r="A10"/>
      <c s="39" r="B10"/>
      <c t="s" s="34" r="C10">
        <v>376</v>
      </c>
      <c t="str" s="80" r="D10">
        <f>'Activo no Corriente'!E13</f>
        <v> $  3.629.381,57 </v>
      </c>
      <c s="39" r="E10"/>
      <c s="252" r="F10"/>
      <c s="39" r="G10"/>
      <c s="39" r="H10"/>
      <c s="39" r="I10"/>
    </row>
    <row customHeight="1" r="11" ht="13.5">
      <c s="72" r="A11"/>
      <c s="39" r="B11"/>
      <c s="39" r="C11"/>
      <c s="253" r="D11"/>
      <c s="39" r="E11"/>
      <c s="252" r="F11"/>
      <c s="39" r="G11"/>
      <c s="39" r="H11"/>
      <c s="28" r="I11"/>
    </row>
    <row customHeight="1" r="12" ht="13.5">
      <c s="72" r="A12"/>
      <c s="28" r="B12"/>
      <c t="s" s="254" r="C12">
        <v>377</v>
      </c>
      <c t="str" s="255" r="D12">
        <f>SUM(D6:D10)</f>
        <v> $  4.491.551,70 </v>
      </c>
      <c s="256" r="E12"/>
      <c t="str" s="255" r="F12">
        <f>SUM(F6:F8)</f>
        <v> $  4.491.551,70 </v>
      </c>
      <c t="str" s="257" r="G12">
        <f>G8+G6</f>
        <v>100%</v>
      </c>
      <c t="str" s="255" r="H12">
        <f>D12-F12</f>
        <v> $  -   </v>
      </c>
      <c s="39" r="I12"/>
    </row>
    <row customHeight="1" r="13" ht="13.5">
      <c s="72" r="A13"/>
      <c s="28" r="B13"/>
      <c s="39" r="C13"/>
      <c s="253" r="D13"/>
      <c s="39" r="E13"/>
      <c s="252" r="F13"/>
      <c s="39" r="G13"/>
      <c s="39" r="H13"/>
      <c s="39" r="I13"/>
    </row>
    <row customHeight="1" r="14" ht="24.0">
      <c s="72" r="A14"/>
      <c s="28" r="B14"/>
      <c t="s" s="258" r="C14">
        <v>378</v>
      </c>
      <c s="259" r="D14">
        <v>0.2</v>
      </c>
      <c t="s" s="43" r="E14">
        <v>379</v>
      </c>
      <c t="s" s="258" r="F14">
        <v>380</v>
      </c>
      <c t="str" s="260" r="G14">
        <f>+Consideraciones!D14</f>
        <v>35,00%</v>
      </c>
      <c t="s" s="261" r="H14">
        <v>381</v>
      </c>
      <c s="28" r="I14"/>
    </row>
    <row customHeight="1" r="15" ht="24.0">
      <c s="72" r="A15"/>
      <c s="28" r="B15"/>
      <c t="str" s="262" r="E15">
        <f>D14*G6</f>
        <v>8,91%</v>
      </c>
      <c t="str" s="245" r="H15">
        <f>E15*(1-G14)</f>
        <v>5,79%</v>
      </c>
      <c s="28" r="I15"/>
    </row>
    <row customHeight="1" r="16" ht="15.75">
      <c s="72" r="A16"/>
      <c s="28" r="B16"/>
      <c s="39" r="C16"/>
      <c s="39" r="D16"/>
      <c s="39" r="E16"/>
      <c s="39" r="F16"/>
      <c s="39" r="G16"/>
      <c s="39" r="H16"/>
      <c s="28" r="I16"/>
    </row>
    <row customHeight="1" r="17" ht="12.75">
      <c s="72" r="A17"/>
      <c s="28" r="B17"/>
      <c t="s" s="34" r="C17">
        <v>382</v>
      </c>
      <c s="263" r="D17">
        <v>0.2</v>
      </c>
      <c t="str" s="262" r="E17">
        <f>D17*G8</f>
        <v>11,09%</v>
      </c>
      <c s="39" r="F17"/>
      <c s="39" r="G17"/>
      <c s="39" r="H17"/>
      <c s="28" r="I17"/>
    </row>
    <row customHeight="1" r="18" ht="15.75">
      <c s="72" r="A18"/>
      <c s="28" r="B18"/>
      <c s="28" r="C18"/>
      <c s="28" r="D18"/>
      <c s="28" r="E18"/>
      <c s="28" r="F18"/>
      <c s="28" r="G18"/>
      <c s="28" r="H18"/>
      <c s="28" r="I18"/>
    </row>
    <row customHeight="1" r="19" ht="12.75">
      <c s="72" r="A19"/>
      <c s="28" r="B19"/>
      <c t="s" s="34" r="C19">
        <v>383</v>
      </c>
      <c t="str" s="262" r="D19">
        <f>E17+H15</f>
        <v>16,88%</v>
      </c>
      <c s="39" r="E19"/>
      <c s="39" r="F19"/>
      <c s="28" r="G19"/>
      <c s="28" r="H19"/>
      <c s="28" r="I19"/>
    </row>
    <row customHeight="1" r="20" ht="15.75">
      <c s="72" r="A20"/>
      <c s="28" r="B20"/>
      <c t="s" s="34" r="C20">
        <v>384</v>
      </c>
      <c s="263" r="D20">
        <v>0.3</v>
      </c>
      <c t="s" s="125" r="E20">
        <v>385</v>
      </c>
      <c s="125" r="F20">
        <v>12.0</v>
      </c>
      <c s="28" r="G20"/>
      <c s="28" r="H20"/>
      <c s="28" r="I20"/>
    </row>
    <row customHeight="1" r="21" ht="15.75">
      <c s="72" r="A21"/>
      <c s="28" r="B21"/>
      <c t="s" s="34" r="C21">
        <v>386</v>
      </c>
      <c t="str" s="262" r="D21">
        <f>EFFECT(D20,F20)</f>
        <v>34,49%</v>
      </c>
      <c s="39" r="E21"/>
      <c s="39" r="F21"/>
      <c s="28" r="G21"/>
      <c s="28" r="H21"/>
      <c s="28" r="I21"/>
    </row>
    <row customHeight="1" r="22" ht="15.75">
      <c s="72" r="A22"/>
      <c s="28" r="B22"/>
      <c s="28" r="C22"/>
      <c s="28" r="D22"/>
      <c s="28" r="E22"/>
      <c s="28" r="F22"/>
      <c s="28" r="G22"/>
      <c s="28" r="H22"/>
      <c s="28" r="I22"/>
    </row>
  </sheetData>
  <mergeCells count="4">
    <mergeCell ref="F14:F15"/>
    <mergeCell ref="G14:G15"/>
    <mergeCell ref="D14:D15"/>
    <mergeCell ref="C14:C15"/>
  </mergeCells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75"/>
  <cols>
    <col min="1" customWidth="1" max="2" width="2.71"/>
    <col min="3" customWidth="1" max="3" width="14.0"/>
    <col min="4" customWidth="1" max="4" width="12.43"/>
    <col min="5" customWidth="1" max="8" width="19.43"/>
    <col min="9" customWidth="1" max="9" width="16.71"/>
    <col min="10" customWidth="1" max="17" width="11.29"/>
    <col min="18" customWidth="1" max="18" width="17.29"/>
  </cols>
  <sheetData>
    <row customHeight="1" r="1" ht="15.75">
      <c s="72" r="A1"/>
      <c s="72" r="B1"/>
      <c s="72" r="C1"/>
      <c s="72" r="D1"/>
      <c s="72" r="E1"/>
      <c s="72" r="F1"/>
      <c s="72" r="G1"/>
      <c s="72" r="H1"/>
      <c s="72" r="I1"/>
      <c s="72" r="J1"/>
      <c s="72" r="K1"/>
      <c s="72" r="L1"/>
      <c s="72" r="M1"/>
      <c s="72" r="N1"/>
      <c s="72" r="O1"/>
      <c s="72" r="P1"/>
      <c s="72" r="Q1"/>
      <c s="72" r="R1"/>
    </row>
    <row customHeight="1" r="2" ht="15.75">
      <c s="72" r="A2"/>
      <c s="193" r="B2"/>
      <c s="194" r="C2"/>
      <c s="28" r="D2"/>
      <c s="28" r="E2"/>
      <c s="28" r="F2"/>
      <c s="28" r="G2"/>
      <c s="28" r="H2"/>
      <c s="28" r="I2"/>
      <c s="28" r="J2"/>
      <c s="28" r="K2"/>
      <c s="28" r="L2"/>
      <c s="28" r="M2"/>
      <c s="72" r="N2"/>
      <c s="72" r="O2"/>
      <c s="72" r="P2"/>
      <c s="72" r="Q2"/>
      <c s="72" r="R2"/>
    </row>
    <row customHeight="1" r="3" ht="15.75">
      <c s="72" r="A3"/>
      <c s="193" r="B3"/>
      <c t="s" s="227" r="C3">
        <v>387</v>
      </c>
      <c s="28" r="D3"/>
      <c s="28" r="E3"/>
      <c s="28" r="F3"/>
      <c s="28" r="G3"/>
      <c s="28" r="H3"/>
      <c s="28" r="I3"/>
      <c s="28" r="J3"/>
      <c s="28" r="K3"/>
      <c s="28" r="L3"/>
      <c s="28" r="M3"/>
      <c s="72" r="N3"/>
      <c s="72" r="O3"/>
      <c s="72" r="P3"/>
      <c s="72" r="Q3"/>
      <c s="72" r="R3"/>
    </row>
    <row customHeight="1" r="4" ht="15.75">
      <c s="72" r="A4"/>
      <c s="39" r="B4"/>
      <c s="28" r="C4"/>
      <c s="28" r="D4"/>
      <c s="28" r="E4"/>
      <c s="28" r="F4"/>
      <c s="28" r="G4"/>
      <c s="28" r="H4"/>
      <c s="28" r="I4"/>
      <c s="28" r="J4"/>
      <c s="28" r="K4"/>
      <c s="28" r="L4"/>
      <c s="28" r="M4"/>
      <c s="72" r="N4"/>
      <c s="72" r="O4"/>
      <c s="72" r="P4"/>
      <c s="72" r="Q4"/>
      <c s="72" r="R4"/>
    </row>
    <row customHeight="1" r="5" ht="13.5">
      <c s="72" r="A5"/>
      <c s="39" r="B5"/>
      <c s="84" r="C5"/>
      <c t="s" s="34" r="D5">
        <v>388</v>
      </c>
      <c t="str" s="64" r="E5">
        <f>+'Gastos Fijos de Fabricación'!K20+'Gastos de Comercialización'!K43+'Gastos Adm y Finanzas'!F32+'Activo no Corriente'!F24</f>
        <v> $  4.530.511,90 </v>
      </c>
      <c s="39" r="F5"/>
      <c s="115" r="G5"/>
      <c s="39" r="H5"/>
      <c s="39" r="I5"/>
      <c s="39" r="J5"/>
      <c s="39" r="K5"/>
      <c s="39" r="L5"/>
      <c s="39" r="M5"/>
      <c s="72" r="N5"/>
      <c s="72" r="O5"/>
      <c s="72" r="P5"/>
      <c s="72" r="Q5"/>
      <c s="72" r="R5"/>
    </row>
    <row customHeight="1" r="6" ht="13.5">
      <c s="72" r="A6"/>
      <c s="39" r="B6"/>
      <c s="84" r="C6"/>
      <c t="s" s="34" r="D6">
        <v>389</v>
      </c>
      <c t="str" s="64" r="E6">
        <f>+Mercado!K7</f>
        <v> $  0,71 </v>
      </c>
      <c s="39" r="F6"/>
      <c t="s" s="264" r="G6">
        <v>390</v>
      </c>
      <c t="str" s="265" r="H6">
        <f>+E7+E8</f>
        <v>0,15</v>
      </c>
      <c t="s" s="266" r="I6">
        <v>391</v>
      </c>
      <c s="39" r="J6"/>
      <c s="39" r="K6"/>
      <c s="39" r="L6"/>
      <c s="39" r="M6"/>
      <c s="72" r="N6"/>
      <c s="72" r="O6"/>
      <c s="72" r="P6"/>
      <c s="72" r="Q6"/>
      <c s="72" r="R6"/>
    </row>
    <row customHeight="1" r="7" ht="13.5">
      <c s="72" r="A7"/>
      <c s="39" r="B7"/>
      <c s="84" r="C7"/>
      <c t="s" s="34" r="D7">
        <v>392</v>
      </c>
      <c t="str" s="64" r="E7">
        <f>+'Costos Variables de Fabricación'!L26</f>
        <v> $  0,11 </v>
      </c>
      <c s="39" r="F7"/>
      <c s="267" r="G7"/>
      <c s="39" r="H7"/>
      <c s="39" r="I7"/>
      <c s="39" r="J7"/>
      <c s="39" r="K7"/>
      <c s="39" r="L7"/>
      <c s="39" r="M7"/>
      <c s="72" r="N7"/>
      <c s="72" r="O7"/>
      <c s="72" r="P7"/>
      <c s="72" r="Q7"/>
      <c s="72" r="R7"/>
    </row>
    <row customHeight="1" r="8" ht="13.5">
      <c s="72" r="A8"/>
      <c s="39" r="B8"/>
      <c s="39" r="C8"/>
      <c t="s" s="34" r="D8">
        <v>393</v>
      </c>
      <c t="str" s="64" r="E8">
        <f>+'Gastos de Comercialización'!K43/Mercado!M12</f>
        <v> $  0,04 </v>
      </c>
      <c s="28" r="F8"/>
      <c s="39" r="G8"/>
      <c s="39" r="H8"/>
      <c s="39" r="I8"/>
      <c s="39" r="J8"/>
      <c s="39" r="K8"/>
      <c s="39" r="L8"/>
      <c s="39" r="M8"/>
      <c s="72" r="N8"/>
      <c s="72" r="O8"/>
      <c s="72" r="P8"/>
      <c s="72" r="Q8"/>
      <c s="72" r="R8"/>
    </row>
    <row customHeight="1" r="9" ht="14.25">
      <c s="72" r="A9"/>
      <c s="28" r="B9"/>
      <c s="39" r="C9"/>
      <c s="39" r="D9"/>
      <c s="39" r="E9"/>
      <c s="39" r="F9"/>
      <c s="39" r="G9"/>
      <c s="39" r="H9"/>
      <c s="39" r="I9"/>
      <c s="39" r="J9"/>
      <c s="39" r="K9"/>
      <c s="39" r="L9"/>
      <c s="39" r="M9"/>
      <c s="72" r="N9"/>
      <c s="72" r="O9"/>
      <c s="72" r="P9"/>
      <c s="72" r="Q9"/>
      <c s="72" r="R9"/>
    </row>
    <row customHeight="1" r="10" ht="13.5">
      <c s="72" r="A10"/>
      <c s="28" r="B10"/>
      <c s="39" r="C10"/>
      <c t="s" s="266" r="D10">
        <v>394</v>
      </c>
      <c t="str" s="268" r="E10">
        <f>+E5/(E6-E7-E8)</f>
        <v>  8.150.774,17 </v>
      </c>
      <c t="s" s="269" r="F10">
        <v>395</v>
      </c>
      <c t="s" s="266" r="G10">
        <v>396</v>
      </c>
      <c t="str" s="270" r="H10">
        <f>+E10*E6</f>
        <v> $  5.762.597,34 </v>
      </c>
      <c t="s" s="266" r="I10">
        <v>397</v>
      </c>
      <c s="39" r="J10"/>
      <c s="39" r="K10"/>
      <c s="39" r="L10"/>
      <c s="39" r="M10"/>
      <c s="72" r="N10"/>
      <c s="72" r="O10"/>
      <c s="72" r="P10"/>
      <c s="72" r="Q10"/>
      <c s="72" r="R10"/>
    </row>
    <row customHeight="1" r="11" ht="14.25">
      <c s="72" r="A11"/>
      <c s="28" r="B11"/>
      <c s="39" r="C11"/>
      <c s="39" r="D11"/>
      <c s="39" r="E11"/>
      <c s="39" r="F11"/>
      <c s="39" r="G11"/>
      <c s="39" r="H11"/>
      <c s="39" r="I11"/>
      <c s="39" r="J11"/>
      <c s="39" r="K11"/>
      <c s="39" r="L11"/>
      <c s="39" r="M11"/>
      <c s="72" r="N11"/>
      <c s="72" r="O11"/>
      <c s="72" r="P11"/>
      <c s="72" r="Q11"/>
      <c s="72" r="R11"/>
    </row>
    <row customHeight="1" r="12" ht="14.25">
      <c s="72" r="A12"/>
      <c s="28" r="B12"/>
      <c s="39" r="C12"/>
      <c s="39" r="D12"/>
      <c s="39" r="E12"/>
      <c s="39" r="F12"/>
      <c s="39" r="G12"/>
      <c s="39" r="H12"/>
      <c s="271" r="I12"/>
      <c s="39" r="J12"/>
      <c s="39" r="K12"/>
      <c s="39" r="L12"/>
      <c s="39" r="M12"/>
      <c s="72" r="N12"/>
      <c s="72" r="O12"/>
      <c s="72" r="P12"/>
      <c s="72" r="Q12"/>
      <c s="72" r="R12"/>
    </row>
    <row customHeight="1" r="13" ht="13.5">
      <c s="72" r="A13"/>
      <c s="28" r="B13"/>
      <c s="39" r="C13"/>
      <c t="s" s="43" r="D13">
        <v>398</v>
      </c>
      <c t="s" s="43" r="E13">
        <v>399</v>
      </c>
      <c t="s" s="43" r="F13">
        <v>400</v>
      </c>
      <c t="s" s="43" r="G13">
        <v>401</v>
      </c>
      <c t="s" s="43" r="H13">
        <v>402</v>
      </c>
      <c t="s" s="43" r="I13">
        <v>403</v>
      </c>
      <c s="39" r="J13"/>
      <c s="39" r="K13"/>
      <c s="39" r="L13"/>
      <c s="39" r="M13"/>
      <c s="72" r="N13"/>
      <c s="72" r="O13"/>
      <c s="72" r="P13"/>
      <c s="72" r="Q13"/>
      <c s="72" r="R13"/>
    </row>
    <row customHeight="1" r="14" ht="13.5">
      <c s="72" r="A14"/>
      <c s="28" r="B14"/>
      <c s="39" r="C14"/>
      <c s="272" r="D14">
        <v>0.0</v>
      </c>
      <c t="str" s="64" r="E14">
        <f>+D14*$E$6</f>
        <v> $  -   </v>
      </c>
      <c t="str" s="64" r="F14">
        <f>+$E$5</f>
        <v> $  4.530.511,90 </v>
      </c>
      <c t="str" s="64" r="G14">
        <f>+D14*H6</f>
        <v> $  -   </v>
      </c>
      <c t="str" s="64" r="H14">
        <f>+G14+F14</f>
        <v> $  4.530.511,90 </v>
      </c>
      <c t="str" s="64" r="I14">
        <f>+E14-F14-G14</f>
        <v> $  -4.530.511,90 </v>
      </c>
      <c s="39" r="J14"/>
      <c s="39" r="K14"/>
      <c s="39" r="L14"/>
      <c s="39" r="M14"/>
      <c s="72" r="N14"/>
      <c s="72" r="O14"/>
      <c s="72" r="P14"/>
      <c s="72" r="Q14"/>
      <c s="72" r="R14"/>
    </row>
    <row customHeight="1" r="15" ht="13.5">
      <c s="72" r="A15"/>
      <c s="28" r="B15"/>
      <c s="39" r="C15"/>
      <c s="123" r="D15">
        <v>2232005.0</v>
      </c>
      <c t="str" s="64" r="E15">
        <f>+D15*$E$6</f>
        <v> $  1.578.027,54 </v>
      </c>
      <c t="str" s="64" r="F15">
        <f>+$E$5</f>
        <v> $  4.530.511,90 </v>
      </c>
      <c t="str" s="64" r="G15">
        <f>+D15*$H$6</f>
        <v> $  337.393,82 </v>
      </c>
      <c t="str" s="64" r="H15">
        <f>+G15+F15</f>
        <v> $  4.867.905,72 </v>
      </c>
      <c t="str" s="64" r="I15">
        <f>+E15-F15-G15</f>
        <v> $  -3.289.878,19 </v>
      </c>
      <c s="39" r="J15"/>
      <c s="39" r="K15"/>
      <c s="39" r="L15"/>
      <c s="39" r="M15"/>
      <c s="72" r="N15"/>
      <c s="72" r="O15"/>
      <c s="72" r="P15"/>
      <c s="72" r="Q15"/>
      <c s="72" r="R15"/>
    </row>
    <row customHeight="1" r="16" ht="13.5">
      <c s="72" r="A16"/>
      <c s="28" r="B16"/>
      <c s="39" r="C16"/>
      <c s="123" r="D16">
        <v>4471027.0</v>
      </c>
      <c t="str" s="64" r="E16">
        <f>+D16*$E$6</f>
        <v> $  3.161.016,09 </v>
      </c>
      <c t="str" s="64" r="F16">
        <f>+$E$5</f>
        <v> $  4.530.511,90 </v>
      </c>
      <c t="str" s="64" r="G16">
        <f>+D16*$H$6</f>
        <v> $  675.848,35 </v>
      </c>
      <c t="str" s="64" r="H16">
        <f>+G16+F16</f>
        <v> $  5.206.360,25 </v>
      </c>
      <c t="str" s="64" r="I16">
        <f>+E16-F16-G16</f>
        <v> $  -2.045.344,16 </v>
      </c>
      <c s="39" r="J16"/>
      <c s="39" r="K16"/>
      <c s="39" r="L16"/>
      <c s="39" r="M16"/>
      <c s="72" r="N16"/>
      <c s="72" r="O16"/>
      <c s="72" r="P16"/>
      <c s="72" r="Q16"/>
      <c s="72" r="R16"/>
    </row>
    <row customHeight="1" r="17" ht="13.5">
      <c s="72" r="A17"/>
      <c s="28" r="B17"/>
      <c s="39" r="C17"/>
      <c t="str" s="272" r="D17">
        <f>D18-1</f>
        <v>  8.150.774 </v>
      </c>
      <c t="str" s="64" r="E17">
        <f>+D17*$E$6</f>
        <v> $  5.762.597,22 </v>
      </c>
      <c t="str" s="64" r="F17">
        <f>+$E$5</f>
        <v> $  4.530.511,90 </v>
      </c>
      <c t="str" s="64" r="G17">
        <f>+D17*$H$6</f>
        <v> $  1.232.085,42 </v>
      </c>
      <c t="str" s="64" r="H17">
        <f>+G17+F17</f>
        <v> $  5.762.597,31 </v>
      </c>
      <c t="str" s="64" r="I17">
        <f>+E17-F17-G17</f>
        <v> $  -0,10 </v>
      </c>
      <c s="39" r="J17"/>
      <c s="39" r="K17"/>
      <c s="39" r="L17"/>
      <c s="39" r="M17"/>
      <c s="72" r="N17"/>
      <c s="72" r="O17"/>
      <c s="72" r="P17"/>
      <c s="72" r="Q17"/>
      <c s="72" r="R17"/>
    </row>
    <row customHeight="1" r="18" ht="13.5">
      <c s="72" r="A18"/>
      <c s="28" r="B18"/>
      <c t="s" s="273" r="C18">
        <v>404</v>
      </c>
      <c t="str" s="274" r="D18">
        <f>ROUNDUP(E10,0)</f>
        <v>  8.150.775 </v>
      </c>
      <c t="str" s="275" r="E18">
        <f>+D18*$E$6</f>
        <v> $  5.762.597,93 </v>
      </c>
      <c t="str" s="275" r="F18">
        <f>+$E$5</f>
        <v> $  4.530.511,90 </v>
      </c>
      <c t="str" s="275" r="G18">
        <f>+D18*$H$6</f>
        <v> $  1.232.085,57 </v>
      </c>
      <c t="str" s="275" r="H18">
        <f>+G18+F18</f>
        <v> $  5.762.597,46 </v>
      </c>
      <c t="str" s="275" r="I18">
        <f>+E18-F18-G18</f>
        <v> $  0,46 </v>
      </c>
      <c s="39" r="J18"/>
      <c s="39" r="K18"/>
      <c s="39" r="L18"/>
      <c s="39" r="M18"/>
      <c s="72" r="N18"/>
      <c s="72" r="O18"/>
      <c s="72" r="P18"/>
      <c s="72" r="Q18"/>
      <c s="72" r="R18"/>
    </row>
    <row customHeight="1" r="19" ht="13.5">
      <c s="72" r="A19"/>
      <c s="28" r="B19"/>
      <c s="39" r="C19"/>
      <c s="123" r="D19">
        <v>1.146E7</v>
      </c>
      <c t="str" s="64" r="E19">
        <f>+D19*$E$6</f>
        <v> $  8.102.220,00 </v>
      </c>
      <c t="str" s="64" r="F19">
        <f>+$E$5</f>
        <v> $  4.530.511,90 </v>
      </c>
      <c t="str" s="64" r="G19">
        <f>+D19*$H$6</f>
        <v> $  1.732.313,87 </v>
      </c>
      <c t="str" s="64" r="H19">
        <f>+G19+F19</f>
        <v> $  6.262.825,77 </v>
      </c>
      <c t="str" s="64" r="I19">
        <f>+E19-F19-G19</f>
        <v> $  1.839.394,23 </v>
      </c>
      <c s="39" r="J19"/>
      <c s="39" r="K19"/>
      <c s="39" r="L19"/>
      <c s="39" r="M19"/>
      <c s="72" r="N19"/>
      <c s="72" r="O19"/>
      <c s="72" r="P19"/>
      <c s="72" r="Q19"/>
      <c s="72" r="R19"/>
    </row>
    <row customHeight="1" r="20" ht="13.5">
      <c s="72" r="A20"/>
      <c s="28" r="B20"/>
      <c s="39" r="C20"/>
      <c s="123" r="D20">
        <v>1.2408E7</v>
      </c>
      <c t="str" s="64" r="E20">
        <f>+D20*$E$6</f>
        <v> $  8.772.456,00 </v>
      </c>
      <c t="str" s="64" r="F20">
        <f>+$E$5</f>
        <v> $  4.530.511,90 </v>
      </c>
      <c t="str" s="64" r="G20">
        <f>+D20*$H$6</f>
        <v> $  1.875.615,23 </v>
      </c>
      <c t="str" s="64" r="H20">
        <f>+G20+F20</f>
        <v> $  6.406.127,13 </v>
      </c>
      <c t="str" s="64" r="I20">
        <f>+E20-F20-G20</f>
        <v> $  2.366.328,87 </v>
      </c>
      <c s="39" r="J20"/>
      <c s="39" r="K20"/>
      <c s="39" r="L20"/>
      <c s="39" r="M20"/>
      <c s="72" r="N20"/>
      <c s="72" r="O20"/>
      <c s="72" r="P20"/>
      <c s="72" r="Q20"/>
      <c s="72" r="R20"/>
    </row>
    <row customHeight="1" r="21" ht="13.5">
      <c s="72" r="A21"/>
      <c s="28" r="B21"/>
      <c s="39" r="C21"/>
      <c s="123" r="D21">
        <v>1.37008E7</v>
      </c>
      <c t="str" s="64" r="E21">
        <f>+D21*$E$6</f>
        <v> $  9.686.465,60 </v>
      </c>
      <c t="str" s="64" r="F21">
        <f>+$E$5</f>
        <v> $  4.530.511,90 </v>
      </c>
      <c t="str" s="64" r="G21">
        <f>+D21*$H$6</f>
        <v> $  2.071.037,17 </v>
      </c>
      <c t="str" s="64" r="H21">
        <f>+G21+F21</f>
        <v> $  6.601.549,06 </v>
      </c>
      <c t="str" s="64" r="I21">
        <f>+E21-F21-G21</f>
        <v> $  3.084.916,54 </v>
      </c>
      <c s="39" r="J21"/>
      <c s="39" r="K21"/>
      <c s="39" r="L21"/>
      <c s="39" r="M21"/>
      <c s="72" r="N21"/>
      <c s="72" r="O21"/>
      <c s="72" r="P21"/>
      <c s="72" r="Q21"/>
      <c s="72" r="R21"/>
    </row>
    <row customHeight="1" r="22" ht="13.5">
      <c s="72" r="A22"/>
      <c s="28" r="B22"/>
      <c s="39" r="C22"/>
      <c s="123" r="D22">
        <v>1.399E7</v>
      </c>
      <c t="str" s="64" r="E22">
        <f>+D22*$E$6</f>
        <v> $  9.890.930,00 </v>
      </c>
      <c t="str" s="64" r="F22">
        <f>+$E$5</f>
        <v> $  4.530.511,90 </v>
      </c>
      <c t="str" s="64" r="G22">
        <f>+D22*$H$6</f>
        <v> $  2.114.753,15 </v>
      </c>
      <c t="str" s="64" r="H22">
        <f>+G22+F22</f>
        <v> $  6.645.265,05 </v>
      </c>
      <c t="str" s="64" r="I22">
        <f>+E22-F22-G22</f>
        <v> $  3.245.664,95 </v>
      </c>
      <c s="39" r="J22"/>
      <c s="39" r="K22"/>
      <c s="39" r="L22"/>
      <c s="39" r="M22"/>
      <c s="72" r="N22"/>
      <c s="72" r="O22"/>
      <c s="72" r="P22"/>
      <c s="72" r="Q22"/>
      <c s="72" r="R22"/>
    </row>
    <row customHeight="1" r="23" ht="13.5">
      <c s="72" r="A23"/>
      <c s="28" r="B23"/>
      <c t="s" s="273" r="C23">
        <v>405</v>
      </c>
      <c t="str" s="274" r="D23">
        <f>Mercado!F7</f>
        <v>  16.200.000 </v>
      </c>
      <c t="str" s="64" r="E23">
        <f>+D23*$E$6</f>
        <v> $  11.453.400,00 </v>
      </c>
      <c t="str" s="64" r="F23">
        <f>+$E$5</f>
        <v> $  4.530.511,90 </v>
      </c>
      <c t="str" s="64" r="G23">
        <f>+D23*$H$6</f>
        <v> $  2.448.820,66 </v>
      </c>
      <c t="str" s="64" r="H23">
        <f>+G23+F23</f>
        <v> $  6.979.332,56 </v>
      </c>
      <c t="str" s="64" r="I23">
        <f>+E23-F23-G23</f>
        <v> $  4.474.067,44 </v>
      </c>
      <c s="39" r="J23"/>
      <c s="39" r="K23"/>
      <c s="39" r="L23"/>
      <c s="39" r="M23"/>
      <c s="72" r="N23"/>
      <c s="72" r="O23"/>
      <c s="72" r="P23"/>
      <c s="72" r="Q23"/>
      <c s="72" r="R23"/>
    </row>
    <row customHeight="1" r="24" ht="14.25">
      <c s="72" r="A24"/>
      <c s="28" r="B24"/>
      <c s="39" r="C24"/>
      <c s="39" r="D24"/>
      <c s="39" r="E24"/>
      <c s="39" r="F24"/>
      <c s="39" r="G24"/>
      <c s="39" r="H24"/>
      <c s="39" r="I24"/>
      <c s="39" r="J24"/>
      <c s="39" r="K24"/>
      <c s="39" r="L24"/>
      <c s="39" r="M24"/>
      <c s="72" r="N24"/>
      <c s="72" r="O24"/>
      <c s="72" r="P24"/>
      <c s="72" r="Q24"/>
      <c s="72" r="R24"/>
    </row>
    <row customHeight="1" r="25" ht="13.5">
      <c s="72" r="A25"/>
      <c s="28" r="B25"/>
      <c s="39" r="C25"/>
      <c s="39" r="D25"/>
      <c s="39" r="E25"/>
      <c s="39" r="F25"/>
      <c s="39" r="G25"/>
      <c s="39" r="H25"/>
      <c s="39" r="I25"/>
      <c s="39" r="J25"/>
      <c s="39" r="K25"/>
      <c s="39" r="L25"/>
      <c s="39" r="M25"/>
      <c s="72" r="N25"/>
      <c s="72" r="O25"/>
      <c s="72" r="P25"/>
      <c s="72" r="Q25"/>
      <c s="72" r="R25"/>
    </row>
    <row customHeight="1" r="26" ht="13.5">
      <c s="72" r="A26"/>
      <c s="28" r="B26"/>
      <c t="s" s="276" r="C26">
        <v>406</v>
      </c>
      <c t="str" s="277" r="D26">
        <f>+D18/D23</f>
        <v>  0,50 </v>
      </c>
      <c t="s" s="276" r="E26">
        <v>407</v>
      </c>
      <c t="str" s="277" r="F26">
        <f>+D26*Consideraciones!D7</f>
        <v>  6,04 </v>
      </c>
      <c t="s" s="276" r="G26">
        <v>408</v>
      </c>
      <c t="str" s="277" r="H26">
        <f>+Consideraciones!D8*D26</f>
        <v>  183,64 </v>
      </c>
      <c t="s" s="276" r="I26">
        <v>409</v>
      </c>
      <c s="39" r="J26"/>
      <c s="39" r="K26"/>
      <c s="39" r="L26"/>
      <c s="39" r="M26"/>
      <c s="72" r="N26"/>
      <c s="72" r="O26"/>
      <c s="72" r="P26"/>
      <c s="72" r="Q26"/>
      <c s="72" r="R26"/>
    </row>
    <row customHeight="1" r="27" ht="14.25">
      <c s="72" r="A27"/>
      <c s="28" r="B27"/>
      <c s="39" r="C27"/>
      <c s="39" r="D27"/>
      <c s="39" r="E27"/>
      <c s="39" r="F27"/>
      <c s="39" r="G27"/>
      <c s="39" r="H27"/>
      <c s="39" r="I27"/>
      <c s="39" r="J27"/>
      <c s="39" r="K27"/>
      <c s="39" r="L27"/>
      <c s="39" r="M27"/>
      <c s="72" r="N27"/>
      <c s="72" r="O27"/>
      <c s="72" r="P27"/>
      <c s="72" r="Q27"/>
      <c s="72" r="R27"/>
    </row>
    <row customHeight="1" r="28" ht="14.25">
      <c s="72" r="A28"/>
      <c s="28" r="B28"/>
      <c s="39" r="C28"/>
      <c s="39" r="D28"/>
      <c s="39" r="E28"/>
      <c s="39" r="F28"/>
      <c s="39" r="G28"/>
      <c s="39" r="H28"/>
      <c s="39" r="I28"/>
      <c s="39" r="J28"/>
      <c s="39" r="K28"/>
      <c s="39" r="L28"/>
      <c s="39" r="M28"/>
      <c s="72" r="N28"/>
      <c s="72" r="O28"/>
      <c s="72" r="P28"/>
      <c s="72" r="Q28"/>
      <c s="72" r="R28"/>
    </row>
    <row customHeight="1" r="29" ht="14.25">
      <c s="72" r="A29"/>
      <c s="28" r="B29"/>
      <c t="s" s="227" r="C29">
        <v>410</v>
      </c>
      <c s="39" r="D29"/>
      <c s="39" r="E29"/>
      <c s="39" r="F29"/>
      <c s="39" r="G29"/>
      <c s="39" r="H29"/>
      <c s="39" r="I29"/>
      <c s="39" r="J29"/>
      <c s="278" r="K29"/>
      <c s="39" r="L29"/>
      <c s="39" r="M29"/>
      <c s="72" r="N29"/>
      <c s="72" r="O29"/>
      <c s="72" r="P29"/>
      <c s="72" r="Q29"/>
      <c s="72" r="R29"/>
    </row>
    <row customHeight="1" r="30" ht="14.25">
      <c s="72" r="A30"/>
      <c s="28" r="B30"/>
      <c s="39" r="C30"/>
      <c s="39" r="D30"/>
      <c s="39" r="E30"/>
      <c s="39" r="F30"/>
      <c s="39" r="G30"/>
      <c s="39" r="H30"/>
      <c s="39" r="I30"/>
      <c s="39" r="J30"/>
      <c s="39" r="K30"/>
      <c s="39" r="L30"/>
      <c s="39" r="M30"/>
      <c s="72" r="N30"/>
      <c s="72" r="O30"/>
      <c s="72" r="P30"/>
      <c s="72" r="Q30"/>
      <c s="72" r="R30"/>
    </row>
    <row customHeight="1" r="31" ht="13.5">
      <c s="72" r="A31"/>
      <c s="28" r="B31"/>
      <c s="84" r="C31"/>
      <c t="s" s="34" r="D31">
        <v>411</v>
      </c>
      <c t="str" s="64" r="E31">
        <f>+'Gastos Fijos de Fabricación'!K20+'Gastos de Comercialización'!K43+'Gastos Adm y Finanzas'!F32</f>
        <v> $  4.457.706,40 </v>
      </c>
      <c s="39" r="F31"/>
      <c s="39" r="G31"/>
      <c s="39" r="H31"/>
      <c s="39" r="I31"/>
      <c s="39" r="J31"/>
      <c s="39" r="K31"/>
      <c s="39" r="L31"/>
      <c s="39" r="M31"/>
      <c s="72" r="N31"/>
      <c s="72" r="O31"/>
      <c s="72" r="P31"/>
      <c s="72" r="Q31"/>
      <c s="72" r="R31"/>
    </row>
    <row customHeight="1" r="32" ht="13.5">
      <c s="72" r="A32"/>
      <c s="28" r="B32"/>
      <c s="84" r="C32"/>
      <c t="s" s="34" r="D32">
        <v>412</v>
      </c>
      <c t="str" s="64" r="E32">
        <f>+E6</f>
        <v> $  0,71 </v>
      </c>
      <c s="39" r="F32"/>
      <c t="s" s="264" r="G32">
        <v>413</v>
      </c>
      <c t="str" s="265" r="H32">
        <f>+E33+E34</f>
        <v>0,15</v>
      </c>
      <c t="s" s="266" r="I32">
        <v>414</v>
      </c>
      <c s="39" r="J32"/>
      <c s="39" r="K32"/>
      <c s="39" r="L32"/>
      <c s="39" r="M32"/>
      <c s="72" r="N32"/>
      <c s="72" r="O32"/>
      <c s="72" r="P32"/>
      <c s="72" r="Q32"/>
      <c s="72" r="R32"/>
    </row>
    <row customHeight="1" r="33" ht="13.5">
      <c s="72" r="A33"/>
      <c s="28" r="B33"/>
      <c s="84" r="C33"/>
      <c t="s" s="34" r="D33">
        <v>415</v>
      </c>
      <c t="str" s="64" r="E33">
        <f>+E7</f>
        <v> $  0,11 </v>
      </c>
      <c s="39" r="F33"/>
      <c s="39" r="G33"/>
      <c s="39" r="H33"/>
      <c s="39" r="I33"/>
      <c s="278" r="J33"/>
      <c s="39" r="K33"/>
      <c s="39" r="L33"/>
      <c s="39" r="M33"/>
      <c s="72" r="N33"/>
      <c s="72" r="O33"/>
      <c s="72" r="P33"/>
      <c s="72" r="Q33"/>
      <c s="72" r="R33"/>
    </row>
    <row customHeight="1" r="34" ht="13.5">
      <c s="72" r="A34"/>
      <c s="28" r="B34"/>
      <c s="39" r="C34"/>
      <c t="s" s="34" r="D34">
        <v>416</v>
      </c>
      <c t="str" s="64" r="E34">
        <f>+E8</f>
        <v> $  0,04 </v>
      </c>
      <c s="39" r="F34"/>
      <c s="39" r="G34"/>
      <c s="39" r="H34"/>
      <c s="39" r="I34"/>
      <c s="39" r="J34"/>
      <c s="39" r="K34"/>
      <c s="39" r="L34"/>
      <c s="39" r="M34"/>
      <c s="72" r="N34"/>
      <c s="72" r="O34"/>
      <c s="72" r="P34"/>
      <c s="72" r="Q34"/>
      <c s="72" r="R34"/>
    </row>
    <row customHeight="1" r="35" ht="14.25">
      <c s="72" r="A35"/>
      <c s="28" r="B35"/>
      <c s="39" r="C35"/>
      <c s="39" r="D35"/>
      <c s="39" r="E35"/>
      <c s="39" r="F35"/>
      <c s="39" r="G35"/>
      <c s="39" r="H35"/>
      <c s="39" r="I35"/>
      <c s="39" r="J35"/>
      <c s="39" r="K35"/>
      <c s="39" r="L35"/>
      <c s="39" r="M35"/>
      <c s="72" r="N35"/>
      <c s="72" r="O35"/>
      <c s="72" r="P35"/>
      <c s="72" r="Q35"/>
      <c s="72" r="R35"/>
    </row>
    <row customHeight="1" r="36" ht="13.5">
      <c s="72" r="A36"/>
      <c s="28" r="B36"/>
      <c s="39" r="C36"/>
      <c t="s" s="266" r="D36">
        <v>417</v>
      </c>
      <c t="str" s="279" r="E36">
        <f>+E31/(E32-E33-E34)</f>
        <v>  8.019.790,92 </v>
      </c>
      <c t="s" s="266" r="F36">
        <v>418</v>
      </c>
      <c t="s" s="266" r="G36">
        <v>419</v>
      </c>
      <c t="str" s="280" r="H36">
        <f>+E36*E32</f>
        <v> $  5.669.992,18 </v>
      </c>
      <c t="s" s="266" r="I36">
        <v>420</v>
      </c>
      <c s="39" r="J36"/>
      <c s="39" r="K36"/>
      <c s="39" r="L36"/>
      <c s="39" r="M36"/>
      <c s="72" r="N36"/>
      <c s="72" r="O36"/>
      <c s="72" r="P36"/>
      <c s="72" r="Q36"/>
      <c s="72" r="R36"/>
    </row>
    <row customHeight="1" r="37" ht="14.25">
      <c s="72" r="A37"/>
      <c s="28" r="B37"/>
      <c s="39" r="C37"/>
      <c s="39" r="D37"/>
      <c s="39" r="E37"/>
      <c s="39" r="F37"/>
      <c s="39" r="G37"/>
      <c s="39" r="H37"/>
      <c s="39" r="I37"/>
      <c s="39" r="J37"/>
      <c s="39" r="K37"/>
      <c s="39" r="L37"/>
      <c s="39" r="M37"/>
      <c s="72" r="N37"/>
      <c s="72" r="O37"/>
      <c s="72" r="P37"/>
      <c s="72" r="Q37"/>
      <c s="72" r="R37"/>
    </row>
    <row customHeight="1" r="38" ht="14.25">
      <c s="72" r="A38"/>
      <c s="28" r="B38"/>
      <c s="39" r="C38"/>
      <c s="39" r="D38"/>
      <c s="39" r="E38"/>
      <c s="39" r="F38"/>
      <c s="39" r="G38"/>
      <c s="39" r="H38"/>
      <c s="39" r="I38"/>
      <c s="39" r="J38"/>
      <c s="39" r="K38"/>
      <c s="39" r="L38"/>
      <c s="39" r="M38"/>
      <c s="72" r="N38"/>
      <c s="72" r="O38"/>
      <c s="72" r="P38"/>
      <c s="72" r="Q38"/>
      <c s="72" r="R38"/>
    </row>
    <row customHeight="1" r="39" ht="13.5">
      <c s="72" r="A39"/>
      <c s="28" r="B39"/>
      <c s="39" r="C39"/>
      <c t="s" s="43" r="D39">
        <v>421</v>
      </c>
      <c t="s" s="43" r="E39">
        <v>422</v>
      </c>
      <c t="s" s="43" r="F39">
        <v>423</v>
      </c>
      <c t="s" s="43" r="G39">
        <v>424</v>
      </c>
      <c t="s" s="43" r="H39">
        <v>425</v>
      </c>
      <c t="s" s="43" r="I39">
        <v>426</v>
      </c>
      <c s="39" r="J39"/>
      <c s="39" r="K39"/>
      <c s="39" r="L39"/>
      <c s="39" r="M39"/>
      <c s="72" r="N39"/>
      <c s="72" r="O39"/>
      <c s="72" r="P39"/>
      <c s="72" r="Q39"/>
      <c s="72" r="R39"/>
    </row>
    <row customHeight="1" r="40" ht="13.5">
      <c s="72" r="A40"/>
      <c s="28" r="B40"/>
      <c s="39" r="C40"/>
      <c s="272" r="D40">
        <v>0.0</v>
      </c>
      <c t="str" s="64" r="E40">
        <f>+D40*$E$6</f>
        <v> $  -   </v>
      </c>
      <c t="str" s="64" r="F40">
        <f>+$E$31</f>
        <v> $  4.457.706,40 </v>
      </c>
      <c t="str" s="64" r="G40">
        <f>+D40*$H$32</f>
        <v> $  -   </v>
      </c>
      <c t="str" s="64" r="H40">
        <f>+G40+F40</f>
        <v> $  4.457.706,40 </v>
      </c>
      <c t="str" s="64" r="I40">
        <f>+E40-H40</f>
        <v> $  -4.457.706,40 </v>
      </c>
      <c s="39" r="J40"/>
      <c s="39" r="K40"/>
      <c s="39" r="L40"/>
      <c s="39" r="M40"/>
      <c s="72" r="N40"/>
      <c s="72" r="O40"/>
      <c s="72" r="P40"/>
      <c s="72" r="Q40"/>
      <c s="72" r="R40"/>
    </row>
    <row customHeight="1" r="41" ht="13.5">
      <c s="72" r="A41"/>
      <c s="28" r="B41"/>
      <c s="39" r="C41"/>
      <c s="123" r="D41">
        <v>2000005.0</v>
      </c>
      <c t="str" s="64" r="E41">
        <f>+D41*$E$6</f>
        <v> $  1.414.003,54 </v>
      </c>
      <c t="str" s="64" r="F41">
        <f>+$E$31</f>
        <v> $  4.457.706,40 </v>
      </c>
      <c t="str" s="64" r="G41">
        <f>+D41*$H$32</f>
        <v> $  302.324,29 </v>
      </c>
      <c t="str" s="64" r="H41">
        <f>+G41+F41</f>
        <v> $  4.760.030,69 </v>
      </c>
      <c t="str" s="64" r="I41">
        <f>+E41-H41</f>
        <v> $  -3.346.027,16 </v>
      </c>
      <c s="39" r="J41"/>
      <c s="39" r="K41"/>
      <c s="39" r="L41"/>
      <c s="39" r="M41"/>
      <c s="72" r="N41"/>
      <c s="72" r="O41"/>
      <c s="72" r="P41"/>
      <c s="72" r="Q41"/>
      <c s="72" r="R41"/>
    </row>
    <row customHeight="1" r="42" ht="13.5">
      <c s="72" r="A42"/>
      <c s="28" r="B42"/>
      <c s="39" r="C42"/>
      <c s="123" r="D42">
        <v>4500027.0</v>
      </c>
      <c t="str" s="64" r="E42">
        <f>+D42*$E$6</f>
        <v> $  3.181.519,09 </v>
      </c>
      <c t="str" s="64" r="F42">
        <f>+$E$31</f>
        <v> $  4.457.706,40 </v>
      </c>
      <c t="str" s="64" r="G42">
        <f>+D42*$H$32</f>
        <v> $  680.232,04 </v>
      </c>
      <c t="str" s="64" r="H42">
        <f>+G42+F42</f>
        <v> $  5.137.938,44 </v>
      </c>
      <c t="str" s="64" r="I42">
        <f>+E42-H42</f>
        <v> $  -1.956.419,35 </v>
      </c>
      <c s="39" r="J42"/>
      <c s="39" r="K42"/>
      <c s="39" r="L42"/>
      <c s="39" r="M42"/>
      <c s="72" r="N42"/>
      <c s="72" r="O42"/>
      <c s="72" r="P42"/>
      <c s="72" r="Q42"/>
      <c s="72" r="R42"/>
    </row>
    <row customHeight="1" r="43" ht="13.5">
      <c s="72" r="A43"/>
      <c s="28" r="B43"/>
      <c s="39" r="C43"/>
      <c t="str" s="272" r="D43">
        <f>D44-1</f>
        <v>  8.019.790 </v>
      </c>
      <c t="str" s="64" r="E43">
        <f>+D43*$E$6</f>
        <v> $  5.669.991,53 </v>
      </c>
      <c t="str" s="64" r="F43">
        <f>+$E$31</f>
        <v> $  4.457.706,40 </v>
      </c>
      <c t="str" s="64" r="G43">
        <f>+D43*$H$32</f>
        <v> $  1.212.285,64 </v>
      </c>
      <c t="str" s="64" r="H43">
        <f>+G43+F43</f>
        <v> $  5.669.992,04 </v>
      </c>
      <c t="str" s="64" r="I43">
        <f>+E43-H43</f>
        <v> $  -0,51 </v>
      </c>
      <c s="39" r="J43"/>
      <c s="39" r="K43"/>
      <c s="39" r="L43"/>
      <c s="39" r="M43"/>
      <c s="72" r="N43"/>
      <c s="72" r="O43"/>
      <c s="72" r="P43"/>
      <c s="72" r="Q43"/>
      <c s="72" r="R43"/>
    </row>
    <row customHeight="1" r="44" ht="13.5">
      <c s="72" r="A44"/>
      <c s="28" r="B44"/>
      <c t="s" s="273" r="C44">
        <v>427</v>
      </c>
      <c t="str" s="274" r="D44">
        <f>ROUNDUP(E36,0)</f>
        <v>  8.019.791 </v>
      </c>
      <c t="str" s="275" r="E44">
        <f>+D44*$E$6</f>
        <v> $  5.669.992,24 </v>
      </c>
      <c t="str" s="275" r="F44">
        <f>+$E$31</f>
        <v> $  4.457.706,40 </v>
      </c>
      <c t="str" s="275" r="G44">
        <f>+D44*$H$32</f>
        <v> $  1.212.285,80 </v>
      </c>
      <c t="str" s="275" r="H44">
        <f>+G44+F44</f>
        <v> $  5.669.992,20 </v>
      </c>
      <c t="str" s="275" r="I44">
        <f>+E44-H44</f>
        <v> $  0,04 </v>
      </c>
      <c s="39" r="J44"/>
      <c s="39" r="K44"/>
      <c s="39" r="L44"/>
      <c s="39" r="M44"/>
      <c s="72" r="N44"/>
      <c s="72" r="O44"/>
      <c s="72" r="P44"/>
      <c s="72" r="Q44"/>
      <c s="72" r="R44"/>
    </row>
    <row customHeight="1" r="45" ht="13.5">
      <c s="72" r="A45"/>
      <c s="28" r="B45"/>
      <c s="39" r="C45"/>
      <c s="123" r="D45">
        <v>1.082E7</v>
      </c>
      <c t="str" s="64" r="E45">
        <f>+D45*$E$6</f>
        <v> $  7.649.740,00 </v>
      </c>
      <c t="str" s="64" r="F45">
        <f>+$E$31</f>
        <v> $  4.457.706,40 </v>
      </c>
      <c t="str" s="64" r="G45">
        <f>+D45*$H$32</f>
        <v> $  1.635.570,34 </v>
      </c>
      <c t="str" s="64" r="H45">
        <f>+G45+F45</f>
        <v> $  6.093.276,74 </v>
      </c>
      <c t="str" s="64" r="I45">
        <f>+E45-H45</f>
        <v> $  1.556.463,26 </v>
      </c>
      <c s="39" r="J45"/>
      <c s="39" r="K45"/>
      <c s="39" r="L45"/>
      <c s="39" r="M45"/>
      <c s="72" r="N45"/>
      <c s="72" r="O45"/>
      <c s="72" r="P45"/>
      <c s="72" r="Q45"/>
      <c s="72" r="R45"/>
    </row>
    <row customHeight="1" r="46" ht="13.5">
      <c s="72" r="A46"/>
      <c s="28" r="B46"/>
      <c s="39" r="C46"/>
      <c s="123" r="D46">
        <v>1.1408E7</v>
      </c>
      <c t="str" s="64" r="E46">
        <f>+D46*$E$6</f>
        <v> $  8.065.456,00 </v>
      </c>
      <c t="str" s="64" r="F46">
        <f>+$E$31</f>
        <v> $  4.457.706,40 </v>
      </c>
      <c t="str" s="64" r="G46">
        <f>+D46*$H$32</f>
        <v> $  1.724.453,46 </v>
      </c>
      <c t="str" s="64" r="H46">
        <f>+G46+F46</f>
        <v> $  6.182.159,86 </v>
      </c>
      <c t="str" s="64" r="I46">
        <f>+E46-H46</f>
        <v> $  1.883.296,14 </v>
      </c>
      <c s="281" r="J46"/>
      <c s="39" r="K46"/>
      <c s="39" r="L46"/>
      <c s="39" r="M46"/>
      <c s="72" r="N46"/>
      <c s="72" r="O46"/>
      <c s="72" r="P46"/>
      <c s="72" r="Q46"/>
      <c s="72" r="R46"/>
    </row>
    <row customHeight="1" r="47" ht="13.5">
      <c s="72" r="A47"/>
      <c s="28" r="B47"/>
      <c s="39" r="C47"/>
      <c s="123" r="D47">
        <v>1.25808E7</v>
      </c>
      <c t="str" s="64" r="E47">
        <f>+D47*$E$6</f>
        <v> $  8.894.625,60 </v>
      </c>
      <c t="str" s="64" r="F47">
        <f>+$E$31</f>
        <v> $  4.457.706,40 </v>
      </c>
      <c t="str" s="64" r="G47">
        <f>+D47*$H$32</f>
        <v> $  1.901.735,98 </v>
      </c>
      <c t="str" s="64" r="H47">
        <f>+G47+F47</f>
        <v> $  6.359.442,38 </v>
      </c>
      <c t="str" s="64" r="I47">
        <f>+E47-H47</f>
        <v> $  2.535.183,22 </v>
      </c>
      <c s="39" r="J47"/>
      <c s="39" r="K47"/>
      <c s="39" r="L47"/>
      <c s="39" r="M47"/>
      <c s="72" r="N47"/>
      <c s="72" r="O47"/>
      <c s="72" r="P47"/>
      <c s="72" r="Q47"/>
      <c s="72" r="R47"/>
    </row>
    <row customHeight="1" r="48" ht="13.5">
      <c s="72" r="A48"/>
      <c s="28" r="B48"/>
      <c s="39" r="C48"/>
      <c s="123" r="D48">
        <v>1.32E7</v>
      </c>
      <c t="str" s="64" r="E48">
        <f>+D48*$E$6</f>
        <v> $  9.332.400,00 </v>
      </c>
      <c t="str" s="64" r="F48">
        <f>+$E$31</f>
        <v> $  4.457.706,40 </v>
      </c>
      <c t="str" s="64" r="G48">
        <f>+D48*$H$32</f>
        <v> $  1.995.335,35 </v>
      </c>
      <c t="str" s="64" r="H48">
        <f>+G48+F48</f>
        <v> $  6.453.041,75 </v>
      </c>
      <c t="str" s="64" r="I48">
        <f>+E48-H48</f>
        <v> $  2.879.358,25 </v>
      </c>
      <c s="39" r="J48"/>
      <c s="39" r="K48"/>
      <c s="39" r="L48"/>
      <c s="39" r="M48"/>
      <c s="72" r="N48"/>
      <c s="72" r="O48"/>
      <c s="72" r="P48"/>
      <c s="72" r="Q48"/>
      <c s="72" r="R48"/>
    </row>
    <row customHeight="1" r="49" ht="13.5">
      <c s="72" r="A49"/>
      <c s="28" r="B49"/>
      <c t="s" s="273" r="C49">
        <v>428</v>
      </c>
      <c t="str" s="274" r="D49">
        <f>Mercado!F7</f>
        <v>  16.200.000 </v>
      </c>
      <c t="str" s="64" r="E49">
        <f>+D49*$E$6</f>
        <v> $  11.453.400,00 </v>
      </c>
      <c t="str" s="64" r="F49">
        <f>+$E$31</f>
        <v> $  4.457.706,40 </v>
      </c>
      <c t="str" s="64" r="G49">
        <f>+D49*$H$32</f>
        <v> $  2.448.820,66 </v>
      </c>
      <c t="str" s="64" r="H49">
        <f>+G49+F49</f>
        <v> $  6.906.527,06 </v>
      </c>
      <c t="str" s="64" r="I49">
        <f>+E49-H49</f>
        <v> $  4.546.872,94 </v>
      </c>
      <c s="39" r="J49"/>
      <c s="39" r="K49"/>
      <c s="39" r="L49"/>
      <c s="39" r="M49"/>
      <c s="72" r="N49"/>
      <c s="72" r="O49"/>
      <c s="72" r="P49"/>
      <c s="72" r="Q49"/>
      <c s="72" r="R49"/>
    </row>
    <row customHeight="1" r="50" ht="14.25">
      <c s="72" r="A50"/>
      <c s="28" r="B50"/>
      <c s="39" r="C50"/>
      <c s="39" r="D50"/>
      <c s="39" r="E50"/>
      <c s="39" r="F50"/>
      <c s="39" r="G50"/>
      <c s="39" r="H50"/>
      <c s="39" r="I50"/>
      <c s="39" r="J50"/>
      <c s="39" r="K50"/>
      <c s="39" r="L50"/>
      <c s="39" r="M50"/>
      <c s="72" r="N50"/>
      <c s="72" r="O50"/>
      <c s="72" r="P50"/>
      <c s="72" r="Q50"/>
      <c s="72" r="R50"/>
    </row>
    <row customHeight="1" r="51" ht="13.5">
      <c s="72" r="A51"/>
      <c s="28" r="B51"/>
      <c s="39" r="C51"/>
      <c s="39" r="D51"/>
      <c s="39" r="E51"/>
      <c s="39" r="F51"/>
      <c s="39" r="G51"/>
      <c s="39" r="H51"/>
      <c s="39" r="I51"/>
      <c s="39" r="J51"/>
      <c s="39" r="K51"/>
      <c s="39" r="L51"/>
      <c s="39" r="M51"/>
      <c s="72" r="N51"/>
      <c s="72" r="O51"/>
      <c s="72" r="P51"/>
      <c s="72" r="Q51"/>
      <c s="72" r="R51"/>
    </row>
    <row customHeight="1" r="52" ht="13.5">
      <c s="72" r="A52"/>
      <c s="28" r="B52"/>
      <c t="s" s="276" r="C52">
        <v>429</v>
      </c>
      <c t="str" s="277" r="D52">
        <f>+D44/D49</f>
        <v>  0,50 </v>
      </c>
      <c t="s" s="276" r="E52">
        <v>430</v>
      </c>
      <c t="str" s="277" r="F52">
        <f>+D52*Consideraciones!D7</f>
        <v>  5,94 </v>
      </c>
      <c t="s" s="276" r="G52">
        <v>431</v>
      </c>
      <c t="str" s="277" r="H52">
        <f>+Consideraciones!D8*D52</f>
        <v>  180,69 </v>
      </c>
      <c t="s" s="276" r="I52">
        <v>432</v>
      </c>
      <c s="39" r="J52"/>
      <c s="39" r="K52"/>
      <c s="39" r="L52"/>
      <c s="39" r="M52"/>
      <c s="72" r="N52"/>
      <c s="72" r="O52"/>
      <c s="72" r="P52"/>
      <c s="72" r="Q52"/>
      <c s="72" r="R52"/>
    </row>
    <row customHeight="1" r="53" ht="15.75">
      <c s="72" r="A53"/>
      <c s="28" r="B53"/>
      <c s="28" r="C53"/>
      <c s="28" r="D53"/>
      <c s="28" r="E53"/>
      <c s="28" r="F53"/>
      <c s="28" r="G53"/>
      <c s="28" r="H53"/>
      <c s="28" r="I53"/>
      <c s="28" r="J53"/>
      <c s="28" r="K53"/>
      <c s="28" r="L53"/>
      <c s="28" r="M53"/>
      <c s="72" r="N53"/>
      <c s="72" r="O53"/>
      <c s="72" r="P53"/>
      <c s="72" r="Q53"/>
      <c s="72" r="R53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75"/>
  <cols>
    <col min="1" customWidth="1" max="2" width="2.71"/>
    <col min="3" customWidth="1" max="3" width="54.71"/>
    <col min="4" customWidth="1" max="4" width="18.14"/>
    <col min="5" customWidth="1" max="5" width="9.86"/>
    <col min="6" customWidth="1" max="6" width="18.57"/>
    <col min="7" customWidth="1" max="7" width="10.71"/>
    <col min="8" customWidth="1" max="8" width="10.0"/>
    <col min="9" customWidth="1" max="9" width="18.86"/>
    <col min="10" customWidth="1" max="10" width="9.0"/>
    <col min="11" customWidth="1" max="11" width="10.0"/>
    <col min="12" customWidth="1" max="12" width="18.86"/>
    <col min="13" customWidth="1" max="13" width="9.0"/>
    <col min="14" customWidth="1" max="14" width="10.0"/>
    <col min="15" customWidth="1" max="15" width="19.29"/>
    <col min="16" customWidth="1" max="16" width="9.0"/>
    <col min="17" customWidth="1" max="17" width="9.86"/>
    <col min="18" customWidth="1" max="18" width="19.29"/>
    <col min="19" customWidth="1" max="19" width="9.0"/>
    <col min="20" customWidth="1" max="20" width="13.0"/>
    <col min="21" customWidth="1" max="21" width="17.29"/>
  </cols>
  <sheetData>
    <row customHeight="1" r="1" ht="15.75">
      <c s="72" r="A1"/>
      <c s="72" r="B1"/>
      <c s="72" r="C1"/>
      <c s="72" r="D1"/>
      <c s="72" r="E1"/>
      <c s="72" r="F1"/>
      <c s="72" r="G1"/>
      <c s="72" r="H1"/>
      <c s="72" r="I1"/>
      <c s="72" r="J1"/>
      <c s="72" r="K1"/>
      <c s="72" r="L1"/>
      <c s="72" r="M1"/>
      <c s="72" r="N1"/>
      <c s="72" r="O1"/>
      <c s="72" r="P1"/>
      <c s="72" r="Q1"/>
      <c s="72" r="R1"/>
      <c s="72" r="S1"/>
      <c s="72" r="T1"/>
      <c s="72" r="U1"/>
    </row>
    <row customHeight="1" r="2" ht="15.75">
      <c s="72" r="A2"/>
      <c s="193" r="B2"/>
      <c s="194" r="C2"/>
      <c s="28" r="D2"/>
      <c s="28" r="E2"/>
      <c s="28" r="F2"/>
      <c s="28" r="G2"/>
      <c s="28" r="H2"/>
      <c s="28" r="I2"/>
      <c s="28" r="J2"/>
      <c s="28" r="K2"/>
      <c s="28" r="L2"/>
      <c s="28" r="M2"/>
      <c s="28" r="N2"/>
      <c s="28" r="O2"/>
      <c s="28" r="P2"/>
      <c s="28" r="Q2"/>
      <c s="28" r="R2"/>
      <c s="28" r="S2"/>
      <c s="28" r="T2"/>
      <c s="28" r="U2"/>
    </row>
    <row customHeight="1" r="3" ht="15.75">
      <c s="72" r="A3"/>
      <c s="193" r="B3"/>
      <c t="s" s="227" r="C3">
        <v>433</v>
      </c>
      <c s="28" r="D3"/>
      <c s="28" r="E3"/>
      <c s="28" r="F3"/>
      <c s="28" r="G3"/>
      <c s="28" r="H3"/>
      <c s="28" r="I3"/>
      <c s="28" r="J3"/>
      <c s="28" r="K3"/>
      <c s="28" r="L3"/>
      <c s="28" r="M3"/>
      <c s="28" r="N3"/>
      <c s="28" r="O3"/>
      <c s="28" r="P3"/>
      <c s="28" r="Q3"/>
      <c s="28" r="R3"/>
      <c s="28" r="S3"/>
      <c s="28" r="T3"/>
      <c s="28" r="U3"/>
    </row>
    <row customHeight="1" r="4" ht="15.75">
      <c s="72" r="A4"/>
      <c s="193" r="B4"/>
      <c s="227" r="C4"/>
      <c s="28" r="D4"/>
      <c s="28" r="E4"/>
      <c s="28" r="F4"/>
      <c s="28" r="G4"/>
      <c s="28" r="H4"/>
      <c s="28" r="I4"/>
      <c s="28" r="J4"/>
      <c s="28" r="K4"/>
      <c s="28" r="L4"/>
      <c s="28" r="M4"/>
      <c s="28" r="N4"/>
      <c s="28" r="O4"/>
      <c s="28" r="P4"/>
      <c s="28" r="Q4"/>
      <c s="28" r="R4"/>
      <c s="28" r="S4"/>
      <c s="28" r="T4"/>
      <c s="28" r="U4"/>
    </row>
    <row customHeight="1" r="5" ht="15.75">
      <c s="72" r="A5"/>
      <c s="39" r="B5"/>
      <c t="s" s="74" r="C5">
        <v>434</v>
      </c>
      <c s="28" r="D5"/>
      <c s="28" r="E5"/>
      <c s="28" r="F5"/>
      <c s="28" r="G5"/>
      <c s="28" r="H5"/>
      <c s="28" r="I5"/>
      <c s="28" r="J5"/>
      <c s="28" r="K5"/>
      <c s="28" r="L5"/>
      <c s="28" r="M5"/>
      <c s="28" r="N5"/>
      <c s="28" r="O5"/>
      <c s="28" r="P5"/>
      <c s="28" r="Q5"/>
      <c s="28" r="R5"/>
      <c s="28" r="S5"/>
      <c s="28" r="T5"/>
      <c s="28" r="U5"/>
    </row>
    <row customHeight="1" r="6" ht="13.5">
      <c s="72" r="A6"/>
      <c s="28" r="B6"/>
      <c s="28" r="C6"/>
      <c t="s" s="282" r="D6">
        <v>435</v>
      </c>
      <c t="s" s="282" r="E6">
        <v>436</v>
      </c>
      <c t="s" s="283" r="F6">
        <v>437</v>
      </c>
      <c t="s" s="282" r="G6">
        <v>438</v>
      </c>
      <c t="s" s="282" r="H6">
        <v>439</v>
      </c>
      <c t="s" s="283" r="I6">
        <v>440</v>
      </c>
      <c t="s" s="282" r="J6">
        <v>441</v>
      </c>
      <c t="s" s="282" r="K6">
        <v>442</v>
      </c>
      <c t="s" s="283" r="L6">
        <v>443</v>
      </c>
      <c t="s" s="282" r="M6">
        <v>444</v>
      </c>
      <c t="s" s="282" r="N6">
        <v>445</v>
      </c>
      <c t="s" s="283" r="O6">
        <v>446</v>
      </c>
      <c t="s" s="282" r="P6">
        <v>447</v>
      </c>
      <c t="s" s="282" r="Q6">
        <v>448</v>
      </c>
      <c t="s" s="283" r="R6">
        <v>449</v>
      </c>
      <c s="39" r="S6"/>
      <c s="39" r="T6"/>
      <c s="39" r="U6"/>
    </row>
    <row customHeight="1" r="7" ht="13.5">
      <c s="72" r="A7"/>
      <c s="28" r="B7"/>
      <c t="s" s="104" r="C7">
        <v>450</v>
      </c>
      <c t="str" s="182" r="D7">
        <f>+Mercado!M7</f>
        <v>  12.798.000 </v>
      </c>
      <c t="str" s="80" r="E7">
        <f>+Mercado!K7</f>
        <v> $  0,71 </v>
      </c>
      <c t="str" s="139" r="F7">
        <f>D7*E7</f>
        <v> $  9.048.186,00 </v>
      </c>
      <c t="str" s="272" r="G7">
        <f>+Mercado!M8</f>
        <v>  13.446.000 </v>
      </c>
      <c t="str" s="80" r="H7">
        <f>+Mercado!K8</f>
        <v> $  0,87 </v>
      </c>
      <c t="str" s="139" r="I7">
        <f>G7*H7</f>
        <v> $  11.692.776,06 </v>
      </c>
      <c t="str" s="272" r="J7">
        <f>+Mercado!M9</f>
        <v>  13.770.000 </v>
      </c>
      <c t="str" s="80" r="K7">
        <f>+Mercado!K9</f>
        <v> $  1,07 </v>
      </c>
      <c t="str" s="139" r="L7">
        <f>J7*K7</f>
        <v> $  14.728.671,53 </v>
      </c>
      <c t="str" s="272" r="M7">
        <f>+Mercado!M10</f>
        <v>  13.932.000 </v>
      </c>
      <c t="str" s="80" r="N7">
        <f>+Mercado!K10</f>
        <v> $  1,32 </v>
      </c>
      <c t="str" s="139" r="O7">
        <f>M7*N7</f>
        <v> $  18.329.398,52 </v>
      </c>
      <c t="str" s="272" r="P7">
        <f>+Mercado!M11</f>
        <v>  14.094.000 </v>
      </c>
      <c t="str" s="80" r="Q7">
        <f>+Mercado!K11</f>
        <v> $  1,62 </v>
      </c>
      <c t="str" s="139" r="R7">
        <f>P7*Q7</f>
        <v> $  22.807.313,21 </v>
      </c>
      <c s="39" r="S7"/>
      <c s="39" r="T7"/>
      <c s="39" r="U7"/>
    </row>
    <row customHeight="1" r="8" ht="13.5">
      <c s="72" r="A8"/>
      <c s="28" r="B8"/>
      <c t="s" s="104" r="C8">
        <v>451</v>
      </c>
      <c t="str" s="182" r="D8">
        <f>+D7</f>
        <v>  12.798.000 </v>
      </c>
      <c t="str" s="80" r="E8">
        <f>+'Costos Variables de Fabricación'!L27*E7</f>
        <v> $  0,11 </v>
      </c>
      <c t="str" s="139" r="F8">
        <f>-D8*E8</f>
        <v> $  -1.444.580,60 </v>
      </c>
      <c t="str" s="272" r="G8">
        <f>+G7</f>
        <v>  13.446.000 </v>
      </c>
      <c t="str" s="80" r="H8">
        <f>+'Costos Variables de Fabricación'!L27*H7</f>
        <v> $  0,14 </v>
      </c>
      <c t="str" s="139" r="I8">
        <f>-G8*H8</f>
        <v> $  -1.866.800,43 </v>
      </c>
      <c t="str" s="272" r="J8">
        <f>+J7</f>
        <v>  13.770.000 </v>
      </c>
      <c t="str" s="80" r="K8">
        <f>+'Costos Variables de Fabricación'!L27*K7</f>
        <v> $  0,17 </v>
      </c>
      <c t="str" s="139" r="L8">
        <f>-J8*K8</f>
        <v> $  -2.351.493,79 </v>
      </c>
      <c t="str" s="272" r="M8">
        <f>+M7</f>
        <v>  13.932.000 </v>
      </c>
      <c t="str" s="80" r="N8">
        <f>+'Costos Variables de Fabricación'!L27*N7</f>
        <v> $  0,21 </v>
      </c>
      <c t="str" s="139" r="O8">
        <f>-M8*N8</f>
        <v> $  -2.926.364,86 </v>
      </c>
      <c t="str" s="272" r="P8">
        <f>+P7</f>
        <v>  14.094.000 </v>
      </c>
      <c t="str" s="80" r="Q8">
        <f>+'Costos Variables de Fabricación'!L27*Q7</f>
        <v> $  0,26 </v>
      </c>
      <c t="str" s="139" r="R8">
        <f>-P8*Q8</f>
        <v> $  -3.641.282,60 </v>
      </c>
      <c s="39" r="S8"/>
      <c s="39" r="T8"/>
      <c s="39" r="U8"/>
    </row>
    <row customHeight="1" r="9" ht="13.5">
      <c s="72" r="A9"/>
      <c s="28" r="B9"/>
      <c t="s" s="104" r="C9">
        <v>452</v>
      </c>
      <c t="str" s="182" r="D9">
        <f>+D7</f>
        <v>  12.798.000 </v>
      </c>
      <c t="str" s="80" r="E9">
        <f>+'Gastos de Comercialización'!L12*E7</f>
        <v> $  0,03 </v>
      </c>
      <c t="str" s="139" r="F9">
        <f>-D9*E9</f>
        <v> $  -431.446,18 </v>
      </c>
      <c t="str" s="272" r="G9">
        <f>+G7</f>
        <v>  13.446.000 </v>
      </c>
      <c t="str" s="80" r="H9">
        <f>+'Gastos de Comercialización'!L17*H7</f>
        <v> $  0,04 </v>
      </c>
      <c t="str" s="139" r="I9">
        <f>-G9*H9</f>
        <v> $  -557.548,61 </v>
      </c>
      <c t="str" s="272" r="J9">
        <f>+J7</f>
        <v>  13.770.000 </v>
      </c>
      <c t="str" s="80" r="K9">
        <f>+'Gastos de Comercialización'!L22*K7</f>
        <v> $  0,05 </v>
      </c>
      <c t="str" s="139" r="L9">
        <f>-J9*K9</f>
        <v> $  -702.309,72 </v>
      </c>
      <c t="str" s="272" r="M9">
        <f>+M7</f>
        <v>  13.932.000 </v>
      </c>
      <c t="str" s="80" r="N9">
        <f>+'Gastos de Comercialización'!L27*N7</f>
        <v> $  0,06 </v>
      </c>
      <c t="str" s="139" r="O9">
        <f>-M9*N9</f>
        <v> $  -874.003,79 </v>
      </c>
      <c t="str" s="272" r="P9">
        <f>+P7</f>
        <v>  14.094.000 </v>
      </c>
      <c t="str" s="80" r="Q9">
        <f>+'Gastos de Comercialización'!L32*Q7</f>
        <v> $  0,06 </v>
      </c>
      <c t="str" s="139" r="R9">
        <f>-P9*Q9</f>
        <v> $  -884.166,63 </v>
      </c>
      <c s="39" r="S9"/>
      <c s="39" r="T9"/>
      <c s="39" r="U9"/>
    </row>
    <row customHeight="1" r="10" ht="13.5">
      <c s="72" r="A10"/>
      <c s="28" r="B10"/>
      <c t="s" s="284" r="C10">
        <v>453</v>
      </c>
      <c s="285" r="D10"/>
      <c s="286" r="E10"/>
      <c t="str" s="287" r="F10">
        <f>SUM(F7:F9)</f>
        <v> $  7.172.159,22 </v>
      </c>
      <c s="288" r="G10"/>
      <c s="286" r="H10"/>
      <c t="str" s="287" r="I10">
        <f>SUM(I7:I9)</f>
        <v> $  9.268.427,03 </v>
      </c>
      <c s="288" r="J10"/>
      <c s="286" r="K10"/>
      <c t="str" s="287" r="L10">
        <f>SUM(L7:L9)</f>
        <v> $  11.674.868,02 </v>
      </c>
      <c s="288" r="M10"/>
      <c s="286" r="N10"/>
      <c t="str" s="287" r="O10">
        <f>SUM(O7:O9)</f>
        <v> $  14.529.029,87 </v>
      </c>
      <c s="288" r="P10"/>
      <c s="286" r="Q10"/>
      <c t="str" s="287" r="R10">
        <f>SUM(R7:R9)</f>
        <v> $  18.281.863,98 </v>
      </c>
      <c s="39" r="S10"/>
      <c s="39" r="T10"/>
      <c s="39" r="U10"/>
    </row>
    <row customHeight="1" r="11" ht="13.5">
      <c s="72" r="A11"/>
      <c s="28" r="B11"/>
      <c s="155" r="C11"/>
      <c s="289" r="D11"/>
      <c s="289" r="E11"/>
      <c s="290" r="F11"/>
      <c s="289" r="G11"/>
      <c s="289" r="H11"/>
      <c s="290" r="I11"/>
      <c s="289" r="J11"/>
      <c s="289" r="K11"/>
      <c s="290" r="L11"/>
      <c s="289" r="M11"/>
      <c s="289" r="N11"/>
      <c s="290" r="O11"/>
      <c s="289" r="P11"/>
      <c s="289" r="Q11"/>
      <c s="290" r="R11"/>
      <c s="39" r="S11"/>
      <c s="39" r="T11"/>
      <c s="39" r="U11"/>
    </row>
    <row customHeight="1" r="12" ht="13.5">
      <c s="72" r="A12"/>
      <c s="28" r="B12"/>
      <c t="s" s="180" r="C12">
        <v>454</v>
      </c>
      <c s="291" r="D12"/>
      <c s="292" r="E12"/>
      <c t="str" s="293" r="F12">
        <f>-'Gastos Fijos de Fabricación'!K20</f>
        <v> $  -1.151.916,80 </v>
      </c>
      <c s="291" r="G12"/>
      <c s="292" r="H12"/>
      <c t="str" s="293" r="I12">
        <f>-'Gastos Fijos de Fabricación'!K20</f>
        <v> $  -1.151.916,80 </v>
      </c>
      <c s="291" r="J12"/>
      <c s="292" r="K12"/>
      <c t="str" s="293" r="L12">
        <f>-'Gastos Fijos de Fabricación'!K20</f>
        <v> $  -1.151.916,80 </v>
      </c>
      <c s="291" r="M12"/>
      <c s="292" r="N12"/>
      <c t="str" s="293" r="O12">
        <f>-'Gastos Fijos de Fabricación'!K20</f>
        <v> $  -1.151.916,80 </v>
      </c>
      <c s="291" r="P12"/>
      <c s="292" r="Q12"/>
      <c t="str" s="294" r="R12">
        <f>-'Gastos Fijos de Fabricación'!K20</f>
        <v> $  -1.151.916,80 </v>
      </c>
      <c s="39" r="S12"/>
      <c s="39" r="T12"/>
      <c s="39" r="U12"/>
    </row>
    <row customHeight="1" r="13" ht="13.5">
      <c s="72" r="A13"/>
      <c s="28" r="B13"/>
      <c t="s" s="180" r="C13">
        <v>455</v>
      </c>
      <c s="291" r="D13"/>
      <c s="292" r="E13"/>
      <c t="str" s="293" r="F13">
        <f>-'Gastos de Comercialización'!K43</f>
        <v> $  -520.999,60 </v>
      </c>
      <c s="291" r="G13"/>
      <c s="292" r="H13"/>
      <c t="str" s="293" r="I13">
        <f>-'Gastos de Comercialización'!K43</f>
        <v> $  -520.999,60 </v>
      </c>
      <c s="291" r="J13"/>
      <c s="292" r="K13"/>
      <c t="str" s="293" r="L13">
        <f>-'Gastos de Comercialización'!K43</f>
        <v> $  -520.999,60 </v>
      </c>
      <c s="291" r="M13"/>
      <c s="292" r="N13"/>
      <c t="str" s="293" r="O13">
        <f>-'Gastos de Comercialización'!K43</f>
        <v> $  -520.999,60 </v>
      </c>
      <c s="291" r="P13"/>
      <c s="292" r="Q13"/>
      <c t="str" s="294" r="R13">
        <f>-'Gastos de Comercialización'!K43</f>
        <v> $  -520.999,60 </v>
      </c>
      <c s="39" r="S13"/>
      <c s="39" r="T13"/>
      <c s="39" r="U13"/>
    </row>
    <row customHeight="1" r="14" ht="13.5">
      <c s="72" r="A14"/>
      <c s="28" r="B14"/>
      <c t="s" s="180" r="C14">
        <v>456</v>
      </c>
      <c s="291" r="D14"/>
      <c s="292" r="E14"/>
      <c t="str" s="293" r="F14">
        <f>-'Gastos Adm y Finanzas'!F32</f>
        <v> $  -2.784.790,00 </v>
      </c>
      <c s="291" r="G14"/>
      <c s="292" r="H14"/>
      <c t="str" s="293" r="I14">
        <f>-'Gastos Adm y Finanzas'!F32</f>
        <v> $  -2.784.790,00 </v>
      </c>
      <c s="291" r="J14"/>
      <c s="292" r="K14"/>
      <c t="str" s="293" r="L14">
        <f>-'Gastos Adm y Finanzas'!F32</f>
        <v> $  -2.784.790,00 </v>
      </c>
      <c s="291" r="M14"/>
      <c s="292" r="N14"/>
      <c t="str" s="293" r="O14">
        <f>-'Gastos Adm y Finanzas'!F32</f>
        <v> $  -2.784.790,00 </v>
      </c>
      <c s="291" r="P14"/>
      <c s="292" r="Q14"/>
      <c t="str" s="294" r="R14">
        <f>-'Gastos Adm y Finanzas'!F32</f>
        <v> $  -2.784.790,00 </v>
      </c>
      <c s="39" r="S14"/>
      <c s="39" r="T14"/>
      <c s="39" r="U14"/>
    </row>
    <row customHeight="1" r="15" ht="30.0">
      <c s="295" r="A15"/>
      <c s="296" r="B15"/>
      <c t="s" s="297" r="C15">
        <v>457</v>
      </c>
      <c s="298" r="D15"/>
      <c s="298" r="E15"/>
      <c t="str" s="299" r="F15">
        <f>SUM(F10:F14)</f>
        <v> $  2.714.452,82 </v>
      </c>
      <c s="298" r="G15"/>
      <c s="298" r="H15"/>
      <c t="str" s="299" r="I15">
        <f>SUM(I10:I14)</f>
        <v> $  4.810.720,63 </v>
      </c>
      <c s="298" r="J15"/>
      <c s="298" r="K15"/>
      <c t="str" s="299" r="L15">
        <f>SUM(L10:L14)</f>
        <v> $  7.217.161,62 </v>
      </c>
      <c s="298" r="M15"/>
      <c s="298" r="N15"/>
      <c t="str" s="299" r="O15">
        <f>SUM(O10:O14)</f>
        <v> $  10.071.323,47 </v>
      </c>
      <c s="298" r="P15"/>
      <c s="298" r="Q15"/>
      <c t="str" s="300" r="R15">
        <f>SUM(R10:R14)</f>
        <v> $  13.824.157,58 </v>
      </c>
      <c s="301" r="S15"/>
      <c s="301" r="T15"/>
      <c s="301" r="U15"/>
    </row>
    <row customHeight="1" r="16" ht="13.5">
      <c s="72" r="A16"/>
      <c s="28" r="B16"/>
      <c s="302" r="C16"/>
      <c s="115" r="D16"/>
      <c s="115" r="E16"/>
      <c s="303" r="F16"/>
      <c s="115" r="G16"/>
      <c s="115" r="H16"/>
      <c s="303" r="I16"/>
      <c s="115" r="J16"/>
      <c s="115" r="K16"/>
      <c s="303" r="L16"/>
      <c s="115" r="M16"/>
      <c s="115" r="N16"/>
      <c s="303" r="O16"/>
      <c s="115" r="P16"/>
      <c s="115" r="Q16"/>
      <c s="303" r="R16"/>
      <c s="39" r="S16"/>
      <c s="39" r="T16"/>
      <c s="39" r="U16"/>
    </row>
    <row customHeight="1" r="17" ht="13.5">
      <c s="72" r="A17"/>
      <c s="28" r="B17"/>
      <c t="s" s="180" r="C17">
        <v>458</v>
      </c>
      <c s="304" r="D17"/>
      <c s="305" r="E17"/>
      <c t="str" s="293" r="F17">
        <f>-'Activo no Corriente'!F24</f>
        <v> $  -72.805,50 </v>
      </c>
      <c s="304" r="G17"/>
      <c s="305" r="H17"/>
      <c t="str" s="293" r="I17">
        <f>-'Activo no Corriente'!G24</f>
        <v> $  -145.610,99 </v>
      </c>
      <c s="304" r="J17"/>
      <c s="305" r="K17"/>
      <c t="str" s="293" r="L17">
        <f>-'Activo no Corriente'!H24</f>
        <v> $  -218.416,49 </v>
      </c>
      <c s="304" r="M17"/>
      <c s="305" r="N17"/>
      <c t="str" s="293" r="O17">
        <f>-'Activo no Corriente'!I24</f>
        <v> $  -283.421,99 </v>
      </c>
      <c s="304" r="P17"/>
      <c s="305" r="Q17"/>
      <c t="str" s="294" r="R17">
        <f>-'Activo no Corriente'!J24</f>
        <v> $  -354.277,48 </v>
      </c>
      <c s="39" r="S17"/>
      <c s="39" r="T17"/>
      <c s="39" r="U17"/>
    </row>
    <row customHeight="1" r="18" ht="12.75">
      <c s="295" r="A18"/>
      <c s="296" r="B18"/>
      <c t="s" s="297" r="C18">
        <v>459</v>
      </c>
      <c s="298" r="D18"/>
      <c s="298" r="E18"/>
      <c t="str" s="299" r="F18">
        <f>F15+F17</f>
        <v> $  2.641.647,33 </v>
      </c>
      <c s="298" r="G18"/>
      <c s="298" r="H18"/>
      <c t="str" s="299" r="I18">
        <f>I15+I17</f>
        <v> $  4.665.109,63 </v>
      </c>
      <c s="298" r="J18"/>
      <c s="298" r="K18"/>
      <c t="str" s="299" r="L18">
        <f>L15+L17</f>
        <v> $  6.998.745,13 </v>
      </c>
      <c s="298" r="M18"/>
      <c s="298" r="N18"/>
      <c t="str" s="299" r="O18">
        <f>O15+O17</f>
        <v> $  9.787.901,49 </v>
      </c>
      <c s="298" r="P18"/>
      <c s="298" r="Q18"/>
      <c t="str" s="300" r="R18">
        <f>R15+R17</f>
        <v> $  13.469.880,10 </v>
      </c>
      <c s="301" r="S18"/>
      <c s="301" r="T18"/>
      <c s="301" r="U18"/>
    </row>
    <row customHeight="1" r="19" ht="13.5">
      <c s="72" r="A19"/>
      <c s="28" r="B19"/>
      <c t="s" s="180" r="C19">
        <v>460</v>
      </c>
      <c s="304" r="D19"/>
      <c s="305" r="E19"/>
      <c s="306" r="F19">
        <v>100000.0</v>
      </c>
      <c s="304" r="G19"/>
      <c s="305" r="H19"/>
      <c s="306" r="I19">
        <v>100000.0</v>
      </c>
      <c s="304" r="J19"/>
      <c s="305" r="K19"/>
      <c s="306" r="L19">
        <v>100000.0</v>
      </c>
      <c s="304" r="M19"/>
      <c s="305" r="N19"/>
      <c s="306" r="O19">
        <v>100000.0</v>
      </c>
      <c s="304" r="P19"/>
      <c s="305" r="Q19"/>
      <c s="307" r="R19">
        <v>100000.0</v>
      </c>
      <c s="39" r="S19"/>
      <c s="39" r="T19"/>
      <c s="39" r="U19"/>
    </row>
    <row customHeight="1" r="20" ht="12.75">
      <c s="295" r="A20"/>
      <c s="296" r="B20"/>
      <c t="s" s="297" r="C20">
        <v>461</v>
      </c>
      <c s="298" r="D20"/>
      <c s="298" r="E20"/>
      <c t="str" s="299" r="F20">
        <f>SUM(F18:F19)</f>
        <v> $  2.741.647,33 </v>
      </c>
      <c s="298" r="G20"/>
      <c s="298" r="H20"/>
      <c t="str" s="299" r="I20">
        <f>SUM(I18:I19)</f>
        <v> $  4.765.109,63 </v>
      </c>
      <c s="298" r="J20"/>
      <c s="298" r="K20"/>
      <c t="str" s="299" r="L20">
        <f>SUM(L18:L19)</f>
        <v> $  7.098.745,13 </v>
      </c>
      <c s="298" r="M20"/>
      <c s="298" r="N20"/>
      <c t="str" s="299" r="O20">
        <f>SUM(O18:O19)</f>
        <v> $  9.887.901,49 </v>
      </c>
      <c s="298" r="P20"/>
      <c s="298" r="Q20"/>
      <c t="str" s="300" r="R20">
        <f>SUM(R18:R19)</f>
        <v> $  13.569.880,10 </v>
      </c>
      <c s="301" r="S20"/>
      <c s="301" r="T20"/>
      <c s="301" r="U20"/>
    </row>
    <row customHeight="1" r="21" ht="13.5">
      <c s="72" r="A21"/>
      <c s="28" r="B21"/>
      <c t="s" s="180" r="C21">
        <v>462</v>
      </c>
      <c s="304" r="D21"/>
      <c s="305" r="E21"/>
      <c t="str" s="293" r="F21">
        <f>-F62</f>
        <v> $  -400.000,00 </v>
      </c>
      <c s="304" r="G21"/>
      <c s="305" r="H21"/>
      <c t="str" s="293" r="I21">
        <f>-I62</f>
        <v> $  -320.000,00 </v>
      </c>
      <c s="304" r="J21"/>
      <c s="305" r="K21"/>
      <c t="str" s="293" r="L21">
        <f>-L62</f>
        <v> $  -240.000,00 </v>
      </c>
      <c s="304" r="M21"/>
      <c s="305" r="N21"/>
      <c t="str" s="293" r="O21">
        <f>-O62</f>
        <v> $  -160.000,00 </v>
      </c>
      <c s="304" r="P21"/>
      <c s="305" r="Q21"/>
      <c t="str" s="294" r="R21">
        <f>-R62</f>
        <v> $  -80.000,00 </v>
      </c>
      <c s="39" r="S21"/>
      <c s="39" r="T21"/>
      <c s="39" r="U21"/>
    </row>
    <row customHeight="1" r="22" ht="13.5">
      <c s="72" r="A22"/>
      <c s="28" r="B22"/>
      <c t="s" s="180" r="C22">
        <v>463</v>
      </c>
      <c s="304" r="D22"/>
      <c s="305" r="E22"/>
      <c t="str" s="293" r="F22">
        <f>'Cuadro de Usos y Fuentes'!$D$21*F31</f>
        <v> $  -   </v>
      </c>
      <c s="304" r="G22"/>
      <c s="305" r="H22"/>
      <c t="str" s="293" r="I22">
        <f>'Cuadro de Usos y Fuentes'!$D$21*I31</f>
        <v> $  -   </v>
      </c>
      <c s="304" r="J22"/>
      <c s="305" r="K22"/>
      <c t="str" s="293" r="L22">
        <f>'Cuadro de Usos y Fuentes'!$D$21*L31</f>
        <v> $  -   </v>
      </c>
      <c s="304" r="M22"/>
      <c s="305" r="N22"/>
      <c t="str" s="293" r="O22">
        <f>'Cuadro de Usos y Fuentes'!$D$21*O31</f>
        <v> $  -   </v>
      </c>
      <c s="304" r="P22"/>
      <c s="305" r="Q22"/>
      <c t="str" s="294" r="R22">
        <f>'Cuadro de Usos y Fuentes'!$D$21*R31</f>
        <v> $  -   </v>
      </c>
      <c s="39" r="S22"/>
      <c s="39" r="T22"/>
      <c s="39" r="U22"/>
    </row>
    <row customHeight="1" r="23" ht="12.75">
      <c s="295" r="A23"/>
      <c s="296" r="B23"/>
      <c t="s" s="297" r="C23">
        <v>464</v>
      </c>
      <c s="298" r="D23"/>
      <c s="298" r="E23"/>
      <c t="str" s="299" r="F23">
        <f>SUM(F20:F22)</f>
        <v> $  2.341.647,33 </v>
      </c>
      <c s="298" r="G23"/>
      <c s="298" r="H23"/>
      <c t="str" s="299" r="I23">
        <f>SUM(I20:I22)</f>
        <v> $  4.445.109,63 </v>
      </c>
      <c s="298" r="J23"/>
      <c s="298" r="K23"/>
      <c t="str" s="299" r="L23">
        <f>SUM(L20:L22)</f>
        <v> $  6.858.745,13 </v>
      </c>
      <c s="298" r="M23"/>
      <c s="298" r="N23"/>
      <c t="str" s="299" r="O23">
        <f>SUM(O20:O22)</f>
        <v> $  9.727.901,49 </v>
      </c>
      <c s="298" r="P23"/>
      <c s="298" r="Q23"/>
      <c t="str" s="300" r="R23">
        <f>SUM(R20:R22)</f>
        <v> $  13.489.880,10 </v>
      </c>
      <c s="301" r="S23"/>
      <c s="301" r="T23"/>
      <c s="301" r="U23"/>
    </row>
    <row customHeight="1" r="24" ht="13.5">
      <c s="72" r="A24"/>
      <c s="28" r="B24"/>
      <c t="s" s="180" r="C24">
        <v>465</v>
      </c>
      <c s="304" r="D24"/>
      <c s="305" r="E24"/>
      <c t="str" s="293" r="F24">
        <f>-Consideraciones!$D$14*F23</f>
        <v> $  -819.576,56 </v>
      </c>
      <c s="304" r="G24"/>
      <c s="305" r="H24"/>
      <c t="str" s="293" r="I24">
        <f>-Consideraciones!$D$14*I23</f>
        <v> $  -1.555.788,37 </v>
      </c>
      <c s="304" r="J24"/>
      <c s="305" r="K24"/>
      <c t="str" s="293" r="L24">
        <f>-Consideraciones!$D$14*L23</f>
        <v> $  -2.400.560,80 </v>
      </c>
      <c s="304" r="M24"/>
      <c s="305" r="N24"/>
      <c t="str" s="293" r="O24">
        <f>-Consideraciones!$D$14*O23</f>
        <v> $  -3.404.765,52 </v>
      </c>
      <c s="304" r="P24"/>
      <c s="305" r="Q24"/>
      <c t="str" s="294" r="R24">
        <f>-Consideraciones!$D$14*R23</f>
        <v> $  -4.721.458,03 </v>
      </c>
      <c s="39" r="S24"/>
      <c s="39" r="T24"/>
      <c s="39" r="U24"/>
    </row>
    <row customHeight="1" r="25" ht="12.75">
      <c s="295" r="A25"/>
      <c s="296" r="B25"/>
      <c t="s" s="308" r="C25">
        <v>466</v>
      </c>
      <c s="309" r="D25"/>
      <c s="309" r="E25"/>
      <c t="str" s="310" r="F25">
        <f>SUM(F23:F24)</f>
        <v> $  1.522.070,76 </v>
      </c>
      <c s="309" r="G25"/>
      <c s="309" r="H25"/>
      <c t="str" s="310" r="I25">
        <f>SUM(I23:I24)</f>
        <v> $  2.889.321,26 </v>
      </c>
      <c s="309" r="J25"/>
      <c s="309" r="K25"/>
      <c t="str" s="310" r="L25">
        <f>SUM(L23:L24)</f>
        <v> $  4.458.184,33 </v>
      </c>
      <c s="309" r="M25"/>
      <c s="309" r="N25"/>
      <c t="str" s="310" r="O25">
        <f>SUM(O23:O24)</f>
        <v> $  6.323.135,97 </v>
      </c>
      <c s="309" r="P25"/>
      <c s="309" r="Q25"/>
      <c t="str" s="311" r="R25">
        <f>SUM(R23:R24)</f>
        <v> $  8.768.422,06 </v>
      </c>
      <c s="301" r="S25"/>
      <c s="301" r="T25"/>
      <c s="301" r="U25"/>
    </row>
    <row customHeight="1" r="26" ht="12.75">
      <c s="295" r="A26"/>
      <c s="296" r="B26"/>
      <c s="312" r="C26"/>
      <c s="313" r="D26"/>
      <c s="313" r="E26"/>
      <c s="314" r="F26"/>
      <c s="313" r="G26"/>
      <c s="313" r="H26"/>
      <c s="314" r="I26"/>
      <c s="313" r="J26"/>
      <c s="313" r="K26"/>
      <c s="314" r="L26"/>
      <c s="313" r="M26"/>
      <c s="313" r="N26"/>
      <c s="314" r="O26"/>
      <c s="313" r="P26"/>
      <c s="313" r="Q26"/>
      <c s="314" r="R26"/>
      <c s="301" r="S26"/>
      <c s="301" r="T26"/>
      <c s="301" r="U26"/>
    </row>
    <row customHeight="1" r="27" ht="12.75">
      <c s="295" r="A27"/>
      <c s="296" r="B27"/>
      <c s="312" r="C27"/>
      <c s="313" r="D27"/>
      <c s="313" r="E27"/>
      <c s="314" r="F27"/>
      <c s="313" r="G27"/>
      <c s="313" r="H27"/>
      <c s="314" r="I27"/>
      <c s="313" r="J27"/>
      <c s="313" r="K27"/>
      <c s="314" r="L27"/>
      <c s="313" r="M27"/>
      <c s="313" r="N27"/>
      <c s="314" r="O27"/>
      <c s="313" r="P27"/>
      <c s="313" r="Q27"/>
      <c s="314" r="R27"/>
      <c s="301" r="S27"/>
      <c s="301" r="T27"/>
      <c s="301" r="U27"/>
    </row>
    <row customHeight="1" r="28" ht="13.5">
      <c s="72" r="A28"/>
      <c s="28" r="B28"/>
      <c t="s" s="74" r="C28">
        <v>467</v>
      </c>
      <c s="84" r="D28"/>
      <c s="84" r="E28"/>
      <c s="84" r="F28"/>
      <c s="84" r="G28"/>
      <c s="84" r="H28"/>
      <c s="84" r="I28"/>
      <c s="84" r="J28"/>
      <c s="84" r="K28"/>
      <c s="315" r="L28"/>
      <c s="84" r="M28"/>
      <c s="84" r="N28"/>
      <c s="84" r="O28"/>
      <c s="84" r="P28"/>
      <c s="84" r="Q28"/>
      <c s="84" r="R28"/>
      <c s="39" r="S28"/>
      <c s="39" r="T28"/>
      <c s="39" r="U28"/>
    </row>
    <row customHeight="1" r="29" ht="13.5">
      <c s="72" r="A29"/>
      <c s="28" r="B29"/>
      <c s="84" r="C29"/>
      <c t="s" s="52" r="D29">
        <v>468</v>
      </c>
      <c t="s" s="52" r="F29">
        <v>469</v>
      </c>
      <c t="s" s="52" r="I29">
        <v>470</v>
      </c>
      <c t="s" s="52" r="L29">
        <v>471</v>
      </c>
      <c t="s" s="52" r="O29">
        <v>472</v>
      </c>
      <c t="s" s="258" r="R29">
        <v>473</v>
      </c>
      <c s="39" r="S29"/>
      <c s="39" r="T29"/>
      <c s="39" r="U29"/>
    </row>
    <row customHeight="1" r="30" ht="13.5">
      <c s="72" r="A30"/>
      <c s="28" r="B30"/>
      <c t="s" s="34" r="C30">
        <v>474</v>
      </c>
      <c t="str" s="316" r="D30">
        <f>'Cuadro de Usos y Fuentes'!D6</f>
        <v> $  100.000,00 </v>
      </c>
      <c t="str" s="317" r="E30">
        <f>F30/$F$39</f>
        <v>47,82%</v>
      </c>
      <c t="str" s="316" r="F30">
        <f>D30+F74</f>
        <v> $  4.636.823,14 </v>
      </c>
      <c t="str" s="318" r="G30">
        <f>F30*365/F7</f>
        <v>187,05</v>
      </c>
      <c t="str" s="319" r="H30">
        <f>I30/$I$39</f>
        <v>55,42%</v>
      </c>
      <c t="str" s="316" r="I30">
        <f>F30+I74</f>
        <v> $  6.673.509,81 </v>
      </c>
      <c t="str" s="318" r="J30">
        <f>I30*365/I7</f>
        <v>208,32</v>
      </c>
      <c t="str" s="319" r="K30">
        <f>L30/$L$39</f>
        <v>63,84%</v>
      </c>
      <c t="str" s="316" r="L30">
        <f>I30+L74</f>
        <v> $  10.027.901,76 </v>
      </c>
      <c t="str" s="318" r="M30">
        <f>L30*365/L7</f>
        <v>248,51</v>
      </c>
      <c t="str" s="319" r="N30">
        <f>O30/$O$39</f>
        <v>71,46%</v>
      </c>
      <c t="str" s="316" r="O30">
        <f>L30+O74</f>
        <v> $  14.975.869,85 </v>
      </c>
      <c t="str" s="318" r="P30">
        <f>O30*365/O7</f>
        <v>298,22</v>
      </c>
      <c t="str" s="319" r="Q30">
        <f>R30/$R$39</f>
        <v>70,72%</v>
      </c>
      <c t="str" s="316" r="R30">
        <f>O30+R74</f>
        <v> $  20.019.357,97 </v>
      </c>
      <c t="str" s="159" r="S30">
        <f>R30*365/R7</f>
        <v>320,38</v>
      </c>
      <c t="s" s="320" r="T30">
        <v>475</v>
      </c>
      <c s="39" r="U30"/>
    </row>
    <row customHeight="1" r="31" ht="13.5">
      <c s="72" r="A31"/>
      <c s="28" r="B31"/>
      <c t="s" s="34" r="C31">
        <v>476</v>
      </c>
      <c s="321" r="D31">
        <v>1000000.0</v>
      </c>
      <c t="str" s="317" r="E31">
        <f>F31/$F$39</f>
        <v>0,00%</v>
      </c>
      <c s="322" r="F31">
        <v>0.0</v>
      </c>
      <c s="323" r="G31"/>
      <c t="str" s="319" r="H31">
        <f>I31/$I$39</f>
        <v>0,00%</v>
      </c>
      <c s="322" r="I31"/>
      <c s="323" r="J31"/>
      <c t="str" s="319" r="K31">
        <f>L31/$L$39</f>
        <v>0,00%</v>
      </c>
      <c s="322" r="L31"/>
      <c s="323" r="M31"/>
      <c t="str" s="319" r="N31">
        <f>O31/$O$39</f>
        <v>0,00%</v>
      </c>
      <c s="322" r="O31"/>
      <c s="323" r="P31"/>
      <c t="str" s="319" r="Q31">
        <f>R31/$R$39</f>
        <v>0,00%</v>
      </c>
      <c s="322" r="R31"/>
      <c s="324" r="S31"/>
      <c s="325" r="T31"/>
      <c s="39" r="U31"/>
    </row>
    <row customHeight="1" r="32" ht="13.5">
      <c s="72" r="A32"/>
      <c s="28" r="B32"/>
      <c t="s" s="34" r="C32">
        <v>477</v>
      </c>
      <c s="321" r="D32">
        <v>30000.0</v>
      </c>
      <c t="str" s="317" r="E32">
        <f>F32/$F$39</f>
        <v>7,67%</v>
      </c>
      <c t="str" s="316" r="F32">
        <f>G32*F7/365</f>
        <v> $  743.686,52 </v>
      </c>
      <c s="326" r="G32">
        <v>30.0</v>
      </c>
      <c t="str" s="319" r="H32">
        <f>I32/$I$39</f>
        <v>7,98%</v>
      </c>
      <c t="str" s="316" r="I32">
        <f>J32*I7/365</f>
        <v> $  961.050,09 </v>
      </c>
      <c s="326" r="J32">
        <v>30.0</v>
      </c>
      <c t="str" s="319" r="K32">
        <f>L32/$L$39</f>
        <v>7,71%</v>
      </c>
      <c t="str" s="316" r="L32">
        <f>M32*L7/365</f>
        <v> $  1.210.575,74 </v>
      </c>
      <c s="326" r="M32">
        <v>30.0</v>
      </c>
      <c t="str" s="319" r="N32">
        <f>O32/$O$39</f>
        <v>7,19%</v>
      </c>
      <c t="str" s="316" r="O32">
        <f>P32*O7/365</f>
        <v> $  1.506.525,91 </v>
      </c>
      <c s="326" r="P32">
        <v>30.0</v>
      </c>
      <c t="str" s="319" r="Q32">
        <f>R32/$R$39</f>
        <v>6,62%</v>
      </c>
      <c t="str" s="316" r="R32">
        <f>S32*R7/365</f>
        <v> $  1.874.573,69 </v>
      </c>
      <c s="159" r="S32">
        <v>30.0</v>
      </c>
      <c t="s" s="320" r="T32">
        <v>478</v>
      </c>
      <c s="39" r="U32"/>
    </row>
    <row customHeight="1" r="33" ht="13.5">
      <c s="72" r="A33"/>
      <c s="28" r="B33"/>
      <c t="s" s="34" r="C33">
        <v>479</v>
      </c>
      <c t="str" s="316" r="D33">
        <f>'Activo no Corriente'!E14</f>
        <v> $  762.170,13 </v>
      </c>
      <c t="str" s="317" r="E33">
        <f>F33/$F$39</f>
        <v>0,00%</v>
      </c>
      <c s="322" r="F33">
        <v>0.0</v>
      </c>
      <c s="327" r="G33"/>
      <c t="str" s="319" r="H33">
        <f>I33/$I$39</f>
        <v>0,00%</v>
      </c>
      <c s="322" r="I33">
        <v>0.0</v>
      </c>
      <c s="327" r="J33"/>
      <c t="str" s="319" r="K33">
        <f>L33/$L$39</f>
        <v>0,00%</v>
      </c>
      <c s="322" r="L33">
        <v>0.0</v>
      </c>
      <c s="327" r="M33"/>
      <c t="str" s="319" r="N33">
        <f>O33/$O$39</f>
        <v>0,00%</v>
      </c>
      <c s="322" r="O33">
        <v>0.0</v>
      </c>
      <c s="327" r="P33"/>
      <c t="str" s="319" r="Q33">
        <f>R33/$R$39</f>
        <v>0,00%</v>
      </c>
      <c s="225" r="R33">
        <v>0.0</v>
      </c>
      <c s="324" r="S33"/>
      <c s="325" r="T33"/>
      <c s="39" r="U33"/>
    </row>
    <row customHeight="1" r="34" ht="13.5">
      <c s="72" r="A34"/>
      <c s="28" r="B34"/>
      <c t="s" s="34" r="C34">
        <v>480</v>
      </c>
      <c s="321" r="D34">
        <v>1899451.0</v>
      </c>
      <c t="str" s="317" r="E34">
        <f>F34/$F$39</f>
        <v>7,67%</v>
      </c>
      <c t="str" s="316" r="F34">
        <f>G34*F7/365</f>
        <v> $  743.686,52 </v>
      </c>
      <c s="326" r="G34">
        <v>30.0</v>
      </c>
      <c t="str" s="319" r="H34">
        <f>I34/$I$39</f>
        <v>7,98%</v>
      </c>
      <c t="str" s="316" r="I34">
        <f>J34*I7/365</f>
        <v> $  961.050,09 </v>
      </c>
      <c s="326" r="J34">
        <v>30.0</v>
      </c>
      <c t="str" s="319" r="K34">
        <f>L34/$L$39</f>
        <v>7,71%</v>
      </c>
      <c t="str" s="316" r="L34">
        <f>M34*L7/365</f>
        <v> $  1.210.575,74 </v>
      </c>
      <c s="326" r="M34">
        <v>30.0</v>
      </c>
      <c t="str" s="319" r="N34">
        <f>O34/$O$39</f>
        <v>7,19%</v>
      </c>
      <c t="str" s="316" r="O34">
        <f>P34*O7/365</f>
        <v> $  1.506.525,91 </v>
      </c>
      <c s="326" r="P34">
        <v>30.0</v>
      </c>
      <c t="str" s="319" r="Q34">
        <f>R34/$R$39</f>
        <v>13,24%</v>
      </c>
      <c t="str" s="316" r="R34">
        <f>S34*R7/365</f>
        <v> $  3.749.147,38 </v>
      </c>
      <c s="159" r="S34">
        <v>60.0</v>
      </c>
      <c t="s" s="320" r="T34">
        <v>481</v>
      </c>
      <c s="39" r="U34"/>
    </row>
    <row customHeight="1" r="35" ht="13.5">
      <c s="72" r="A35"/>
      <c s="28" r="B35"/>
      <c t="s" s="297" r="C35">
        <v>482</v>
      </c>
      <c t="str" s="328" r="D35">
        <f>SUM(D30:D34)</f>
        <v> $  3.791.621,13 </v>
      </c>
      <c s="329" r="E35"/>
      <c t="str" s="328" r="F35">
        <f>SUM(F30:F34)</f>
        <v> $  6.124.196,18 </v>
      </c>
      <c s="328" r="G35"/>
      <c s="330" r="H35"/>
      <c t="str" s="328" r="I35">
        <f>SUM(I30:I34)</f>
        <v> $  8.595.609,98 </v>
      </c>
      <c s="328" r="J35"/>
      <c s="330" r="K35"/>
      <c t="str" s="328" r="L35">
        <f>SUM(L30:L34)</f>
        <v> $  12.449.053,25 </v>
      </c>
      <c s="328" r="M35"/>
      <c s="330" r="N35"/>
      <c t="str" s="328" r="O35">
        <f>SUM(O30:O34)</f>
        <v> $  17.988.921,67 </v>
      </c>
      <c s="328" r="P35"/>
      <c s="330" r="Q35"/>
      <c t="str" s="328" r="R35">
        <f>SUM(R30:R34)</f>
        <v> $  25.643.079,03 </v>
      </c>
      <c s="324" r="S35"/>
      <c s="325" r="T35"/>
      <c s="39" r="U35"/>
    </row>
    <row customHeight="1" r="36" ht="13.5">
      <c s="72" r="A36"/>
      <c s="28" r="B36"/>
      <c s="312" r="C36"/>
      <c s="331" r="D36"/>
      <c s="312" r="E36"/>
      <c s="331" r="F36"/>
      <c s="331" r="G36"/>
      <c s="332" r="H36"/>
      <c s="331" r="I36"/>
      <c s="331" r="J36"/>
      <c s="332" r="K36"/>
      <c s="333" r="L36"/>
      <c s="331" r="M36"/>
      <c s="332" r="N36"/>
      <c s="331" r="O36"/>
      <c s="331" r="P36"/>
      <c s="332" r="Q36"/>
      <c s="331" r="R36"/>
      <c s="325" r="S36"/>
      <c s="325" r="T36"/>
      <c s="39" r="U36"/>
    </row>
    <row customHeight="1" r="37" ht="13.5">
      <c s="72" r="A37"/>
      <c s="28" r="B37"/>
      <c t="s" s="34" r="C37">
        <v>483</v>
      </c>
      <c t="str" s="316" r="D37">
        <f>'Activo no Corriente'!E13</f>
        <v> $  3.629.381,57 </v>
      </c>
      <c t="str" s="317" r="E37">
        <f>F37/$F$39</f>
        <v>36,84%</v>
      </c>
      <c t="str" s="64" r="F37">
        <f>'Activo no Corriente'!F13</f>
        <v> $  3.571.836,17 </v>
      </c>
      <c s="334" r="G37"/>
      <c t="str" s="319" r="H37">
        <f>I37/$I$39</f>
        <v>28,62%</v>
      </c>
      <c t="str" s="335" r="I37">
        <f>'Activo no Corriente'!G13</f>
        <v>$ 3.446.606,51</v>
      </c>
      <c s="334" r="J37"/>
      <c t="str" s="319" r="K37">
        <f>L37/$L$39</f>
        <v>20,75%</v>
      </c>
      <c t="str" s="335" r="L37">
        <f>'Activo no Corriente'!H13</f>
        <v>$ 3.258.762,02</v>
      </c>
      <c s="334" r="M37"/>
      <c t="str" s="319" r="N37">
        <f>O37/$O$39</f>
        <v>14,17%</v>
      </c>
      <c t="str" s="335" r="O37">
        <f>'Activo no Corriente'!I13</f>
        <v>$ 2.969.302,70</v>
      </c>
      <c s="334" r="P37"/>
      <c t="str" s="319" r="Q37">
        <f>R37/$R$39</f>
        <v>9,42%</v>
      </c>
      <c t="str" s="335" r="R37">
        <f>'Activo no Corriente'!J13</f>
        <v>$ 2.665.978,56</v>
      </c>
      <c s="324" r="S37"/>
      <c s="325" r="T37"/>
      <c s="39" r="U37"/>
    </row>
    <row customHeight="1" r="38" ht="13.5">
      <c s="72" r="A38"/>
      <c s="28" r="B38"/>
      <c t="s" s="297" r="C38">
        <v>484</v>
      </c>
      <c t="str" s="328" r="D38">
        <f>D37</f>
        <v> $  3.629.381,57 </v>
      </c>
      <c s="336" r="E38"/>
      <c t="str" s="328" r="F38">
        <f>F37</f>
        <v> $  3.571.836,17 </v>
      </c>
      <c s="337" r="G38"/>
      <c s="336" r="H38"/>
      <c t="str" s="328" r="I38">
        <f>I37</f>
        <v> $  3.446.606,51 </v>
      </c>
      <c s="337" r="J38"/>
      <c s="336" r="K38"/>
      <c t="str" s="328" r="L38">
        <f>L37</f>
        <v> $  3.258.762,02 </v>
      </c>
      <c s="337" r="M38"/>
      <c s="336" r="N38"/>
      <c t="str" s="328" r="O38">
        <f>O37</f>
        <v> $  2.969.302,70 </v>
      </c>
      <c s="337" r="P38"/>
      <c s="336" r="Q38"/>
      <c t="str" s="328" r="R38">
        <f>R37</f>
        <v> $  2.665.978,56 </v>
      </c>
      <c s="324" r="S38"/>
      <c s="325" r="T38"/>
      <c s="39" r="U38"/>
    </row>
    <row customHeight="1" r="39" ht="13.5">
      <c s="72" r="A39"/>
      <c s="28" r="B39"/>
      <c t="s" s="308" r="C39">
        <v>485</v>
      </c>
      <c t="str" s="338" r="D39">
        <f>D38+D35</f>
        <v> $  7.421.002,70 </v>
      </c>
      <c t="str" s="339" r="E39">
        <f>SUM(E30:E38)</f>
        <v>100,00%</v>
      </c>
      <c t="str" s="340" r="F39">
        <f>F38+F35</f>
        <v> $  9.696.032,35 </v>
      </c>
      <c s="341" r="G39"/>
      <c t="str" s="339" r="H39">
        <f>I39/$I$39</f>
        <v>100,00%</v>
      </c>
      <c t="str" s="340" r="I39">
        <f>I38+I35</f>
        <v> $  12.042.216,49 </v>
      </c>
      <c s="341" r="J39"/>
      <c t="str" s="339" r="K39">
        <f>SUM(K30:K38)</f>
        <v>100,00%</v>
      </c>
      <c t="str" s="340" r="L39">
        <f>L38+L35</f>
        <v> $  15.707.815,27 </v>
      </c>
      <c s="341" r="M39"/>
      <c t="str" s="339" r="N39">
        <f>SUM(N30:N38)</f>
        <v>100,00%</v>
      </c>
      <c t="str" s="340" r="O39">
        <f>O38+O35</f>
        <v> $  20.958.224,37 </v>
      </c>
      <c s="341" r="P39"/>
      <c t="str" s="339" r="Q39">
        <f>SUM(Q30:Q38)</f>
        <v>100,00%</v>
      </c>
      <c t="str" s="340" r="R39">
        <f>R38+R35</f>
        <v> $  28.309.057,59 </v>
      </c>
      <c s="324" r="S39"/>
      <c s="325" r="T39"/>
      <c s="39" r="U39"/>
    </row>
    <row customHeight="1" r="40" ht="14.25">
      <c s="72" r="A40"/>
      <c s="28" r="B40"/>
      <c s="247" r="C40"/>
      <c s="342" r="D40"/>
      <c s="247" r="E40"/>
      <c s="247" r="F40"/>
      <c s="247" r="G40"/>
      <c s="247" r="H40"/>
      <c s="247" r="I40"/>
      <c s="247" r="J40"/>
      <c s="247" r="K40"/>
      <c s="247" r="L40"/>
      <c s="247" r="M40"/>
      <c s="247" r="N40"/>
      <c s="247" r="O40"/>
      <c s="247" r="P40"/>
      <c s="343" r="Q40"/>
      <c s="247" r="R40"/>
      <c s="161" r="S40"/>
      <c s="161" r="T40"/>
      <c s="39" r="U40"/>
    </row>
    <row customHeight="1" r="41" ht="13.5">
      <c s="72" r="A41"/>
      <c s="28" r="B41"/>
      <c t="s" s="344" r="C41">
        <v>486</v>
      </c>
      <c s="345" r="D41">
        <v>30000.0</v>
      </c>
      <c t="str" s="346" r="E41">
        <f>F41/$F$53</f>
        <v>21,88%</v>
      </c>
      <c t="str" s="105" r="F41">
        <f>G41*F7/365</f>
        <v> $  1.487.373,04 </v>
      </c>
      <c s="326" r="G41">
        <v>60.0</v>
      </c>
      <c t="str" s="347" r="H41">
        <f>I41/$I$53</f>
        <v>21,02%</v>
      </c>
      <c t="str" s="105" r="I41">
        <f>J41*I7/365</f>
        <v> $  1.922.100,17 </v>
      </c>
      <c s="326" r="J41">
        <v>60.0</v>
      </c>
      <c t="str" s="347" r="K41">
        <f>L41/$L$53</f>
        <v>18,90%</v>
      </c>
      <c t="str" s="105" r="L41">
        <f>M41*L7/365</f>
        <v> $  2.421.151,48 </v>
      </c>
      <c s="326" r="M41">
        <v>60.0</v>
      </c>
      <c t="str" s="347" r="N41">
        <f>O41/$O$53</f>
        <v>16,68%</v>
      </c>
      <c t="str" s="105" r="O41">
        <f>P41*O7/365</f>
        <v> $  3.013.051,81 </v>
      </c>
      <c s="326" r="P41">
        <v>60.0</v>
      </c>
      <c t="str" s="347" r="Q41">
        <f>R41/$R$53</f>
        <v>14,75%</v>
      </c>
      <c t="str" s="105" r="R41">
        <f>S41*R7/365</f>
        <v> $  3.749.147,38 </v>
      </c>
      <c s="326" r="S41">
        <v>60.0</v>
      </c>
      <c t="s" s="64" r="T41">
        <v>487</v>
      </c>
      <c s="39" r="U41"/>
    </row>
    <row customHeight="1" r="42" ht="13.5">
      <c s="72" r="A42"/>
      <c s="28" r="B42"/>
      <c t="s" s="34" r="C42">
        <v>488</v>
      </c>
      <c s="225" r="D42">
        <v>0.0</v>
      </c>
      <c t="str" s="348" r="E42">
        <f>F42/$F$53</f>
        <v>0,00%</v>
      </c>
      <c s="225" r="F42">
        <v>0.0</v>
      </c>
      <c s="327" r="G42"/>
      <c t="str" s="349" r="H42">
        <f>I42/$I$53</f>
        <v>0,00%</v>
      </c>
      <c s="225" r="I42">
        <v>0.0</v>
      </c>
      <c s="327" r="J42"/>
      <c t="str" s="349" r="K42">
        <f>L42/$L$53</f>
        <v>0,00%</v>
      </c>
      <c s="225" r="L42">
        <v>0.0</v>
      </c>
      <c s="327" r="M42"/>
      <c t="str" s="349" r="N42">
        <f>O42/$O$53</f>
        <v>0,00%</v>
      </c>
      <c s="225" r="O42">
        <v>0.0</v>
      </c>
      <c s="327" r="P42"/>
      <c t="str" s="349" r="Q42">
        <f>R42/$R$53</f>
        <v>0,00%</v>
      </c>
      <c s="225" r="R42">
        <v>0.0</v>
      </c>
      <c s="324" r="S42"/>
      <c s="325" r="T42"/>
      <c s="39" r="U42"/>
    </row>
    <row customHeight="1" r="43" ht="13.5">
      <c s="72" r="A43"/>
      <c s="28" r="B43"/>
      <c t="s" s="328" r="C43">
        <v>489</v>
      </c>
      <c t="str" s="328" r="D43">
        <f>SUM(D41:D42)</f>
        <v> $  30.000,00 </v>
      </c>
      <c s="328" r="E43"/>
      <c t="str" s="328" r="F43">
        <f>SUM(F41:F42)</f>
        <v> $  1.487.373,04 </v>
      </c>
      <c s="328" r="G43"/>
      <c s="330" r="H43"/>
      <c t="str" s="328" r="I43">
        <f>SUM(I41:I42)</f>
        <v> $  1.922.100,17 </v>
      </c>
      <c s="328" r="J43"/>
      <c s="330" r="K43"/>
      <c t="str" s="328" r="L43">
        <f>SUM(L41:L42)</f>
        <v> $  2.421.151,48 </v>
      </c>
      <c s="328" r="M43"/>
      <c s="330" r="N43"/>
      <c t="str" s="328" r="O43">
        <f>SUM(O41:O42)</f>
        <v> $  3.013.051,81 </v>
      </c>
      <c s="328" r="P43"/>
      <c s="330" r="Q43"/>
      <c t="str" s="328" r="R43">
        <f>SUM(R41:R42)</f>
        <v> $  3.749.147,38 </v>
      </c>
      <c s="324" r="S43"/>
      <c s="325" r="T43"/>
      <c s="39" r="U43"/>
    </row>
    <row customHeight="1" r="44" ht="13.5">
      <c s="72" r="A44"/>
      <c s="28" r="B44"/>
      <c s="247" r="C44"/>
      <c s="247" r="D44"/>
      <c s="342" r="E44"/>
      <c s="247" r="F44"/>
      <c s="247" r="G44"/>
      <c s="247" r="H44"/>
      <c s="247" r="I44"/>
      <c s="247" r="J44"/>
      <c s="247" r="K44"/>
      <c s="247" r="L44"/>
      <c s="247" r="M44"/>
      <c s="247" r="N44"/>
      <c s="247" r="O44"/>
      <c s="247" r="P44"/>
      <c s="247" r="Q44"/>
      <c s="343" r="R44"/>
      <c s="39" r="S44"/>
      <c s="325" r="T44"/>
      <c s="39" r="U44"/>
    </row>
    <row customHeight="1" r="45" ht="13.5">
      <c s="72" r="A45"/>
      <c s="28" r="B45"/>
      <c t="s" s="350" r="C45">
        <v>490</v>
      </c>
      <c t="str" s="64" r="D45">
        <f>'Cuadro de Usos y Fuentes'!F6</f>
        <v> $  2.000.000,00 </v>
      </c>
      <c t="str" s="317" r="E45">
        <f>F45/$F$53</f>
        <v>23,54%</v>
      </c>
      <c t="str" s="64" r="F45">
        <f>+F61</f>
        <v> $  1.600.000,00 </v>
      </c>
      <c s="334" r="G45"/>
      <c t="str" s="319" r="H45">
        <f>I45/$I$53</f>
        <v>13,13%</v>
      </c>
      <c t="str" s="64" r="I45">
        <f>+I61</f>
        <v> $  1.200.000,00 </v>
      </c>
      <c s="334" r="J45"/>
      <c t="str" s="319" r="K45">
        <f>L45/$L$53</f>
        <v>6,25%</v>
      </c>
      <c t="str" s="64" r="L45">
        <f>+L61</f>
        <v> $  800.000,00 </v>
      </c>
      <c s="334" r="M45"/>
      <c t="str" s="319" r="N45">
        <f>O45/$O$53</f>
        <v>2,21%</v>
      </c>
      <c t="str" s="64" r="O45">
        <f>+O61</f>
        <v> $  400.000,00 </v>
      </c>
      <c s="334" r="P45"/>
      <c t="str" s="319" r="Q45">
        <f>R45/$R$53</f>
        <v>0,00%</v>
      </c>
      <c t="str" s="64" r="R45">
        <f>+R61</f>
        <v> $  -   </v>
      </c>
      <c s="324" r="S45"/>
      <c s="325" r="T45"/>
      <c s="39" r="U45"/>
    </row>
    <row customHeight="1" r="46" ht="13.5">
      <c s="72" r="A46"/>
      <c s="28" r="B46"/>
      <c t="s" s="351" r="C46">
        <v>491</v>
      </c>
      <c t="str" s="328" r="D46">
        <f>SUM(D45)</f>
        <v> $  2.000.000,00 </v>
      </c>
      <c s="328" r="E46"/>
      <c t="str" s="328" r="F46">
        <f>SUM(F45)</f>
        <v> $  1.600.000,00 </v>
      </c>
      <c s="328" r="G46"/>
      <c s="330" r="H46"/>
      <c t="str" s="328" r="I46">
        <f>SUM(I45)</f>
        <v> $  1.200.000,00 </v>
      </c>
      <c s="328" r="J46"/>
      <c s="330" r="K46"/>
      <c t="str" s="328" r="L46">
        <f>SUM(L45)</f>
        <v> $  800.000,00 </v>
      </c>
      <c s="328" r="M46"/>
      <c s="330" r="N46"/>
      <c t="str" s="328" r="O46">
        <f>SUM(O45)</f>
        <v> $  400.000,00 </v>
      </c>
      <c s="328" r="P46"/>
      <c s="330" r="Q46"/>
      <c t="str" s="328" r="R46">
        <f>SUM(R45)</f>
        <v> $  -   </v>
      </c>
      <c s="324" r="S46"/>
      <c s="325" r="T46"/>
      <c s="39" r="U46"/>
    </row>
    <row customHeight="1" r="47" ht="13.5">
      <c s="72" r="A47"/>
      <c s="28" r="B47"/>
      <c t="s" s="308" r="C47">
        <v>492</v>
      </c>
      <c t="str" s="338" r="D47">
        <f>D46+D43</f>
        <v> $  2.030.000,00 </v>
      </c>
      <c s="352" r="E47"/>
      <c t="str" s="338" r="F47">
        <f>F46+F43</f>
        <v> $  3.087.373,04 </v>
      </c>
      <c s="341" r="G47"/>
      <c s="339" r="H47"/>
      <c t="str" s="338" r="I47">
        <f>I46+I43</f>
        <v> $  3.122.100,17 </v>
      </c>
      <c s="341" r="J47"/>
      <c s="339" r="K47"/>
      <c t="str" s="338" r="L47">
        <f>L46+L43</f>
        <v> $  3.221.151,48 </v>
      </c>
      <c s="341" r="M47"/>
      <c s="339" r="N47"/>
      <c t="str" s="338" r="O47">
        <f>O46+O43</f>
        <v> $  3.413.051,81 </v>
      </c>
      <c s="341" r="P47"/>
      <c s="339" r="Q47"/>
      <c t="str" s="338" r="R47">
        <f>R46+R43</f>
        <v> $  3.749.147,38 </v>
      </c>
      <c s="324" r="S47"/>
      <c s="325" r="T47"/>
      <c s="39" r="U47"/>
    </row>
    <row customHeight="1" r="48" ht="14.25">
      <c s="72" r="A48"/>
      <c s="28" r="B48"/>
      <c s="247" r="C48"/>
      <c s="247" r="D48"/>
      <c s="342" r="E48"/>
      <c s="247" r="F48"/>
      <c s="247" r="G48"/>
      <c s="247" r="H48"/>
      <c s="247" r="I48"/>
      <c s="247" r="J48"/>
      <c s="247" r="K48"/>
      <c s="247" r="L48"/>
      <c s="247" r="M48"/>
      <c s="247" r="N48"/>
      <c s="247" r="O48"/>
      <c s="247" r="P48"/>
      <c s="247" r="Q48"/>
      <c s="343" r="R48"/>
      <c s="39" r="S48"/>
      <c s="325" r="T48"/>
      <c s="39" r="U48"/>
    </row>
    <row customHeight="1" r="49" ht="13.5">
      <c s="72" r="A49"/>
      <c s="28" r="B49"/>
      <c t="s" s="34" r="C49">
        <v>493</v>
      </c>
      <c t="str" s="316" r="D49">
        <f>'Cuadro de Usos y Fuentes'!F8</f>
        <v> $  2.491.551,70 </v>
      </c>
      <c t="str" s="348" r="E49">
        <f>F49/$F$53</f>
        <v>36,66%</v>
      </c>
      <c t="str" s="64" r="F49">
        <f>D49</f>
        <v> $  2.491.551,70 </v>
      </c>
      <c s="353" r="G49"/>
      <c t="str" s="354" r="H49">
        <f>I49/$I$53</f>
        <v>27,25%</v>
      </c>
      <c t="str" s="64" r="I49">
        <f>D49</f>
        <v> $  2.491.551,70 </v>
      </c>
      <c s="353" r="J49"/>
      <c t="str" s="355" r="K49">
        <f>L49/$L$53</f>
        <v>19,45%</v>
      </c>
      <c t="str" s="64" r="L49">
        <f>D49</f>
        <v> $  2.491.551,70 </v>
      </c>
      <c s="356" r="M49"/>
      <c t="str" s="355" r="N49">
        <f>O49/$O$53</f>
        <v>13,80%</v>
      </c>
      <c t="str" s="64" r="O49">
        <f>D49</f>
        <v> $  2.491.551,70 </v>
      </c>
      <c s="353" r="P49"/>
      <c t="str" s="355" r="Q49">
        <f>R49/$R$53</f>
        <v>9,81%</v>
      </c>
      <c t="str" s="64" r="R49">
        <f>D49</f>
        <v> $  2.491.551,70 </v>
      </c>
      <c s="324" r="S49"/>
      <c s="325" r="T49"/>
      <c s="39" r="U49"/>
    </row>
    <row customHeight="1" r="50" ht="13.5">
      <c s="72" r="A50"/>
      <c s="28" r="B50"/>
      <c t="s" s="34" r="C50">
        <v>494</v>
      </c>
      <c s="316" r="D50">
        <v>0.0</v>
      </c>
      <c t="str" s="348" r="E50">
        <f>F50/$F$53</f>
        <v>-4,48%</v>
      </c>
      <c t="str" s="316" r="F50">
        <f>-F56</f>
        <v> $  -304.414,15 </v>
      </c>
      <c s="357" r="G50"/>
      <c t="str" s="355" r="H50">
        <f>I50/$I$53</f>
        <v>7,00%</v>
      </c>
      <c t="str" s="358" r="I50">
        <f>+F51+F50-I56</f>
        <v>$639.792,36</v>
      </c>
      <c s="357" r="J50"/>
      <c t="str" s="355" r="K50">
        <f>L50/$L$53</f>
        <v>20,59%</v>
      </c>
      <c t="str" s="359" r="L50">
        <f>+I51+I50-L56</f>
        <v>$2.637.476,75</v>
      </c>
      <c s="357" r="M50"/>
      <c t="str" s="355" r="N50">
        <f>O50/$O$53</f>
        <v>32,29%</v>
      </c>
      <c t="str" s="359" r="O50">
        <f>+L51+L50-O56</f>
        <v>$5.831.033,89</v>
      </c>
      <c s="357" r="P50"/>
      <c t="str" s="355" r="Q50">
        <f>R50/$R$53</f>
        <v>40,93%</v>
      </c>
      <c t="str" s="359" r="R50">
        <f>+O51+O50-R56</f>
        <v>$10.400.485,45</v>
      </c>
      <c s="324" r="S50"/>
      <c s="325" r="T50"/>
      <c s="39" r="U50"/>
    </row>
    <row customHeight="1" r="51" ht="13.5">
      <c s="72" r="A51"/>
      <c s="28" r="B51"/>
      <c t="s" s="34" r="C51">
        <v>495</v>
      </c>
      <c s="316" r="D51">
        <v>0.0</v>
      </c>
      <c t="str" s="348" r="E51">
        <f>F51/$F$53</f>
        <v>22,39%</v>
      </c>
      <c t="str" s="316" r="F51">
        <f>+F25</f>
        <v> $  1.522.070,76 </v>
      </c>
      <c s="357" r="G51"/>
      <c t="str" s="355" r="H51">
        <f>I51/$I$53</f>
        <v>31,60%</v>
      </c>
      <c t="str" s="358" r="I51">
        <f>+I25</f>
        <v>$2.889.321,26</v>
      </c>
      <c s="360" r="J51"/>
      <c t="str" s="355" r="K51">
        <f>L51/$L$53</f>
        <v>34,81%</v>
      </c>
      <c t="str" s="359" r="L51">
        <f>+L25</f>
        <v>$4.458.184,33</v>
      </c>
      <c s="361" r="M51"/>
      <c t="str" s="355" r="N51">
        <f>O51/$O$53</f>
        <v>35,01%</v>
      </c>
      <c t="str" s="359" r="O51">
        <f>+O25</f>
        <v>$6.323.135,97</v>
      </c>
      <c s="360" r="P51"/>
      <c t="str" s="355" r="Q51">
        <f>R51/$R$53</f>
        <v>34,51%</v>
      </c>
      <c t="str" s="359" r="R51">
        <f>+R25</f>
        <v>$8.768.422,06</v>
      </c>
      <c s="324" r="S51"/>
      <c s="325" r="T51"/>
      <c s="39" r="U51"/>
    </row>
    <row customHeight="1" r="52" ht="13.5">
      <c s="72" r="A52"/>
      <c s="28" r="B52"/>
      <c t="s" s="351" r="C52">
        <v>496</v>
      </c>
      <c t="str" s="328" r="D52">
        <f>SUM(D49:D51)</f>
        <v> $  2.491.551,70 </v>
      </c>
      <c s="362" r="E52"/>
      <c t="str" s="328" r="F52">
        <f>SUM(F49:F51)</f>
        <v> $  3.709.208,31 </v>
      </c>
      <c s="363" r="G52"/>
      <c s="364" r="H52"/>
      <c t="str" s="328" r="I52">
        <f>SUM(I49:I51)</f>
        <v> $  6.020.665,32 </v>
      </c>
      <c s="328" r="J52"/>
      <c s="330" r="K52"/>
      <c t="str" s="328" r="L52">
        <f>SUM(L49:L51)</f>
        <v> $  9.587.212,79 </v>
      </c>
      <c s="328" r="M52"/>
      <c s="330" r="N52"/>
      <c t="str" s="328" r="O52">
        <f>SUM(O49:O51)</f>
        <v> $  14.645.721,56 </v>
      </c>
      <c s="328" r="P52"/>
      <c s="330" r="Q52"/>
      <c t="str" s="328" r="R52">
        <f>SUM(R49:R51)</f>
        <v> $  21.660.459,21 </v>
      </c>
      <c s="324" r="S52"/>
      <c s="325" r="T52"/>
      <c s="39" r="U52"/>
    </row>
    <row customHeight="1" r="53" ht="13.5">
      <c s="72" r="A53"/>
      <c s="28" r="B53"/>
      <c t="s" s="308" r="C53">
        <v>497</v>
      </c>
      <c t="str" s="338" r="D53">
        <f>D52+D47</f>
        <v> $  4.521.551,70 </v>
      </c>
      <c t="str" s="339" r="E53">
        <f>SUM(E41:E52)</f>
        <v>100,00%</v>
      </c>
      <c t="str" s="338" r="F53">
        <f>F52+F47</f>
        <v> $  6.796.581,35 </v>
      </c>
      <c s="341" r="G53"/>
      <c t="str" s="339" r="H53">
        <f>SUM(H41:H52)</f>
        <v>100,00%</v>
      </c>
      <c t="str" s="338" r="I53">
        <f>I52+I47</f>
        <v> $  9.142.765,49 </v>
      </c>
      <c s="341" r="J53"/>
      <c t="str" s="339" r="K53">
        <f>SUM(K41:K52)</f>
        <v>100,00%</v>
      </c>
      <c t="str" s="338" r="L53">
        <f>L52+L47</f>
        <v> $  12.808.364,27 </v>
      </c>
      <c s="341" r="M53"/>
      <c t="str" s="339" r="N53">
        <f>SUM(N41:N52)</f>
        <v>100,00%</v>
      </c>
      <c t="str" s="338" r="O53">
        <f>O52+O47</f>
        <v> $  18.058.773,37 </v>
      </c>
      <c s="341" r="P53"/>
      <c t="str" s="339" r="Q53">
        <f>SUM(Q41:Q52)</f>
        <v>100,00%</v>
      </c>
      <c t="str" s="338" r="R53">
        <f>R52+R47</f>
        <v> $  25.409.606,59 </v>
      </c>
      <c s="324" r="S53"/>
      <c s="325" r="T53"/>
      <c s="39" r="U53"/>
    </row>
    <row customHeight="1" r="54" ht="13.5">
      <c s="72" r="A54"/>
      <c s="28" r="B54"/>
      <c s="247" r="C54"/>
      <c s="247" r="D54"/>
      <c s="342" r="E54"/>
      <c s="247" r="F54"/>
      <c s="247" r="G54"/>
      <c s="247" r="H54"/>
      <c s="247" r="I54"/>
      <c s="247" r="J54"/>
      <c s="247" r="K54"/>
      <c s="247" r="L54"/>
      <c s="247" r="M54"/>
      <c s="247" r="N54"/>
      <c s="247" r="O54"/>
      <c s="247" r="P54"/>
      <c s="247" r="Q54"/>
      <c s="343" r="R54"/>
      <c s="39" r="S54"/>
      <c s="325" r="T54"/>
      <c s="39" r="U54"/>
    </row>
    <row customHeight="1" r="55" ht="13.5">
      <c s="72" r="A55"/>
      <c s="28" r="B55"/>
      <c t="s" s="350" r="C55">
        <v>498</v>
      </c>
      <c t="str" s="365" r="D55">
        <f>D39-D53</f>
        <v> $  2.899.451,00 </v>
      </c>
      <c s="360" r="E55"/>
      <c t="str" s="64" r="F55">
        <f>F39-(F47+F52)</f>
        <v> $  2.899.451,00 </v>
      </c>
      <c s="360" r="G55"/>
      <c s="360" r="H55"/>
      <c t="str" s="64" r="I55">
        <f>I39-(I47+I52)</f>
        <v> $  2.899.451,00 </v>
      </c>
      <c s="360" r="J55"/>
      <c s="360" r="K55"/>
      <c t="str" s="64" r="L55">
        <f>L39-(L47+L52)</f>
        <v> $  2.899.451,00 </v>
      </c>
      <c s="360" r="M55"/>
      <c s="360" r="N55"/>
      <c t="str" s="64" r="O55">
        <f>O39-(O47+O52)</f>
        <v> $  2.899.451,00 </v>
      </c>
      <c s="360" r="P55"/>
      <c s="360" r="Q55"/>
      <c t="str" s="64" r="R55">
        <f>R39-(R47+R52)</f>
        <v> $  2.899.451,00 </v>
      </c>
      <c s="324" r="S55"/>
      <c s="325" r="T55"/>
      <c s="39" r="U55"/>
    </row>
    <row customHeight="1" r="56" ht="13.5">
      <c s="72" r="A56"/>
      <c s="28" r="B56"/>
      <c t="s" s="359" r="C56">
        <v>499</v>
      </c>
      <c t="str" s="262" r="D56">
        <f>'Cuadro de Usos y Fuentes'!D17</f>
        <v>20,00%</v>
      </c>
      <c t="s" s="360" r="E56">
        <v>500</v>
      </c>
      <c t="str" s="64" r="F56">
        <f>+F51*$D$56</f>
        <v> $  304.414,15 </v>
      </c>
      <c s="360" r="G56"/>
      <c t="s" s="360" r="H56">
        <v>501</v>
      </c>
      <c t="str" s="64" r="I56">
        <f>+I51*$D$56</f>
        <v> $  577.864,25 </v>
      </c>
      <c s="360" r="J56"/>
      <c t="s" s="360" r="K56">
        <v>502</v>
      </c>
      <c t="str" s="64" r="L56">
        <f>+L51*$D$56</f>
        <v> $  891.636,87 </v>
      </c>
      <c s="360" r="M56"/>
      <c t="s" s="360" r="N56">
        <v>503</v>
      </c>
      <c t="str" s="64" r="O56">
        <f>+O51*$D$56</f>
        <v> $  1.264.627,19 </v>
      </c>
      <c s="360" r="P56"/>
      <c t="s" s="360" r="Q56">
        <v>504</v>
      </c>
      <c t="str" s="64" r="R56">
        <f>+R51*$D$56</f>
        <v> $  1.753.684,41 </v>
      </c>
      <c s="324" r="S56"/>
      <c s="325" r="T56"/>
      <c s="39" r="U56"/>
    </row>
    <row customHeight="1" r="57" ht="13.5">
      <c s="72" r="A57"/>
      <c s="28" r="B57"/>
      <c t="s" s="34" r="C57">
        <v>505</v>
      </c>
      <c t="str" s="366" r="D57">
        <f>'Cuadro de Usos y Fuentes'!D14</f>
        <v>20,00%</v>
      </c>
      <c s="367" r="E57"/>
      <c s="249" r="F57"/>
      <c s="249" r="G57"/>
      <c s="249" r="H57"/>
      <c s="249" r="I57"/>
      <c s="249" r="J57"/>
      <c s="249" r="K57"/>
      <c s="249" r="L57"/>
      <c s="249" r="M57"/>
      <c s="249" r="N57"/>
      <c s="249" r="O57"/>
      <c s="249" r="P57"/>
      <c s="249" r="Q57"/>
      <c s="368" r="R57"/>
      <c s="325" r="S57"/>
      <c s="325" r="T57"/>
      <c s="39" r="U57"/>
    </row>
    <row customHeight="1" r="58" ht="13.5">
      <c s="72" r="A58"/>
      <c s="28" r="B58"/>
      <c s="247" r="C58"/>
      <c s="247" r="D58"/>
      <c s="271" r="E58"/>
      <c s="39" r="F58"/>
      <c s="39" r="G58"/>
      <c s="39" r="H58"/>
      <c s="39" r="I58"/>
      <c s="39" r="J58"/>
      <c s="39" r="K58"/>
      <c s="39" r="L58"/>
      <c s="39" r="M58"/>
      <c s="39" r="N58"/>
      <c s="39" r="O58"/>
      <c s="39" r="P58"/>
      <c s="39" r="Q58"/>
      <c s="369" r="R58"/>
      <c s="39" r="S58"/>
      <c s="325" r="T58"/>
      <c s="39" r="U58"/>
    </row>
    <row customHeight="1" r="59" ht="13.5">
      <c s="72" r="A59"/>
      <c s="28" r="B59"/>
      <c t="s" s="34" r="C59">
        <v>506</v>
      </c>
      <c t="str" s="64" r="D59">
        <f>+D45</f>
        <v> $  2.000.000,00 </v>
      </c>
      <c s="370" r="E59"/>
      <c s="161" r="F59"/>
      <c s="161" r="G59"/>
      <c s="161" r="H59"/>
      <c s="161" r="I59"/>
      <c s="161" r="J59"/>
      <c s="161" r="K59"/>
      <c s="161" r="L59"/>
      <c s="161" r="M59"/>
      <c s="161" r="N59"/>
      <c s="161" r="O59"/>
      <c s="161" r="P59"/>
      <c s="161" r="Q59"/>
      <c s="371" r="R59"/>
      <c s="325" r="S59"/>
      <c s="325" r="T59"/>
      <c s="39" r="U59"/>
    </row>
    <row customHeight="1" r="60" ht="13.5">
      <c s="72" r="A60"/>
      <c s="28" r="B60"/>
      <c t="s" s="34" r="C60">
        <v>507</v>
      </c>
      <c s="108" r="D60"/>
      <c s="109" r="E60"/>
      <c t="str" s="372" r="F60">
        <f>D59/5</f>
        <v> $  400.000,00 </v>
      </c>
      <c s="373" r="G60"/>
      <c s="373" r="H60"/>
      <c t="str" s="372" r="I60">
        <f>D59/5</f>
        <v> $  400.000,00 </v>
      </c>
      <c s="373" r="J60"/>
      <c s="373" r="K60"/>
      <c t="str" s="372" r="L60">
        <f>D59/5</f>
        <v> $  400.000,00 </v>
      </c>
      <c s="373" r="M60"/>
      <c s="373" r="N60"/>
      <c t="str" s="372" r="O60">
        <f>D59/5</f>
        <v> $  400.000,00 </v>
      </c>
      <c s="373" r="P60"/>
      <c s="373" r="Q60"/>
      <c t="str" s="374" r="R60">
        <f>D59/5</f>
        <v> $  400.000,00 </v>
      </c>
      <c s="325" r="S60"/>
      <c s="325" r="T60"/>
      <c s="39" r="U60"/>
    </row>
    <row customHeight="1" r="61" ht="13.5">
      <c s="72" r="A61"/>
      <c s="28" r="B61"/>
      <c t="s" s="34" r="C61">
        <v>508</v>
      </c>
      <c s="108" r="D61"/>
      <c s="109" r="E61"/>
      <c t="str" s="372" r="F61">
        <f>D59-F60</f>
        <v> $  1.600.000,00 </v>
      </c>
      <c s="373" r="G61"/>
      <c s="373" r="H61"/>
      <c t="str" s="372" r="I61">
        <f>F61-I60</f>
        <v> $  1.200.000,00 </v>
      </c>
      <c s="373" r="J61"/>
      <c s="373" r="K61"/>
      <c t="str" s="372" r="L61">
        <f>I61-L60</f>
        <v> $  800.000,00 </v>
      </c>
      <c s="373" r="M61"/>
      <c s="373" r="N61"/>
      <c t="str" s="372" r="O61">
        <f>L61-O60</f>
        <v> $  400.000,00 </v>
      </c>
      <c s="373" r="P61"/>
      <c s="373" r="Q61"/>
      <c t="str" s="374" r="R61">
        <f>O61-R60</f>
        <v> $  -   </v>
      </c>
      <c s="325" r="S61"/>
      <c s="325" r="T61"/>
      <c s="39" r="U61"/>
    </row>
    <row customHeight="1" r="62" ht="13.5">
      <c s="72" r="A62"/>
      <c s="28" r="B62"/>
      <c t="s" s="34" r="C62">
        <v>509</v>
      </c>
      <c s="159" r="D62"/>
      <c s="373" r="E62"/>
      <c t="str" s="372" r="F62">
        <f>D59*D57</f>
        <v> $  400.000,00 </v>
      </c>
      <c s="373" r="G62"/>
      <c s="373" r="H62"/>
      <c t="str" s="372" r="I62">
        <f>F61*D57</f>
        <v> $  320.000,00 </v>
      </c>
      <c s="373" r="J62"/>
      <c s="373" r="K62"/>
      <c t="str" s="372" r="L62">
        <f>I61*D57</f>
        <v> $  240.000,00 </v>
      </c>
      <c s="373" r="M62"/>
      <c s="373" r="N62"/>
      <c t="str" s="372" r="O62">
        <f>L61*D57</f>
        <v> $  160.000,00 </v>
      </c>
      <c s="373" r="P62"/>
      <c s="373" r="Q62"/>
      <c t="str" s="374" r="R62">
        <f>O61*D57</f>
        <v> $  80.000,00 </v>
      </c>
      <c s="325" r="S62"/>
      <c s="325" r="T62"/>
      <c s="39" r="U62"/>
    </row>
    <row customHeight="1" r="63" ht="13.5">
      <c s="72" r="A63"/>
      <c s="28" r="B63"/>
      <c s="39" r="C63"/>
      <c s="375" r="D63"/>
      <c s="375" r="E63"/>
      <c s="375" r="F63"/>
      <c s="375" r="G63"/>
      <c s="375" r="H63"/>
      <c s="375" r="I63"/>
      <c s="375" r="J63"/>
      <c s="375" r="K63"/>
      <c s="375" r="L63"/>
      <c s="375" r="M63"/>
      <c s="375" r="N63"/>
      <c s="375" r="O63"/>
      <c s="375" r="P63"/>
      <c s="375" r="Q63"/>
      <c s="375" r="R63"/>
      <c s="375" r="S63"/>
      <c s="375" r="T63"/>
      <c s="39" r="U63"/>
    </row>
    <row customHeight="1" r="64" ht="15.0">
      <c s="72" r="A64"/>
      <c s="28" r="B64"/>
      <c t="s" s="74" r="C64">
        <v>510</v>
      </c>
      <c s="39" r="D64"/>
      <c s="39" r="E64"/>
      <c s="376" r="F64"/>
      <c s="376" r="G64"/>
      <c s="376" r="H64"/>
      <c s="376" r="I64"/>
      <c s="376" r="J64"/>
      <c s="376" r="K64"/>
      <c s="376" r="L64"/>
      <c s="376" r="M64"/>
      <c s="376" r="N64"/>
      <c s="376" r="O64"/>
      <c s="376" r="P64"/>
      <c s="376" r="Q64"/>
      <c s="376" r="R64"/>
      <c s="376" r="S64"/>
      <c s="376" r="T64"/>
      <c s="39" r="U64"/>
    </row>
    <row customHeight="1" r="65" ht="13.5">
      <c s="72" r="A65"/>
      <c s="28" r="B65"/>
      <c t="s" s="316" r="C65">
        <v>511</v>
      </c>
      <c s="372" r="D65"/>
      <c s="372" r="E65"/>
      <c t="str" s="372" r="F65">
        <f>-(F38-D38)</f>
        <v> $  57.545,40 </v>
      </c>
      <c s="372" r="G65"/>
      <c s="372" r="H65"/>
      <c t="str" s="372" r="I65">
        <f>-(I38-F38)</f>
        <v> $  125.229,66 </v>
      </c>
      <c s="372" r="J65"/>
      <c s="372" r="K65"/>
      <c t="str" s="372" r="L65">
        <f>-(L38-I38)</f>
        <v> $  187.844,49 </v>
      </c>
      <c s="372" r="M65"/>
      <c s="372" r="N65"/>
      <c t="str" s="372" r="O65">
        <f>-(O38-L38)</f>
        <v> $  289.459,32 </v>
      </c>
      <c s="372" r="P65"/>
      <c s="372" r="Q65"/>
      <c t="str" s="374" r="R65">
        <f>-(R38-O38)</f>
        <v> $  303.324,15 </v>
      </c>
      <c s="376" r="S65"/>
      <c s="376" r="T65"/>
      <c s="39" r="U65"/>
    </row>
    <row customHeight="1" r="66" ht="13.5">
      <c s="72" r="A66"/>
      <c s="28" r="B66"/>
      <c t="s" s="316" r="C66">
        <v>512</v>
      </c>
      <c s="372" r="D66"/>
      <c s="372" r="E66"/>
      <c t="str" s="372" r="F66">
        <f>(F46-D46)</f>
        <v> $  -400.000,00 </v>
      </c>
      <c s="372" r="G66"/>
      <c s="372" r="H66"/>
      <c t="str" s="372" r="I66">
        <f>(I46-F46)</f>
        <v> $  -400.000,00 </v>
      </c>
      <c s="372" r="J66"/>
      <c s="372" r="K66"/>
      <c t="str" s="372" r="L66">
        <f>(L46-I46)</f>
        <v> $  -400.000,00 </v>
      </c>
      <c s="372" r="M66"/>
      <c s="372" r="N66"/>
      <c t="str" s="372" r="O66">
        <f>(O46-L46)</f>
        <v> $  -400.000,00 </v>
      </c>
      <c s="372" r="P66"/>
      <c s="372" r="Q66"/>
      <c t="str" s="374" r="R66">
        <f>(R46-O46)</f>
        <v> $  -400.000,00 </v>
      </c>
      <c s="376" r="S66"/>
      <c s="376" r="T66"/>
      <c s="39" r="U66"/>
    </row>
    <row customHeight="1" r="67" ht="13.5">
      <c s="72" r="A67"/>
      <c s="28" r="B67"/>
      <c t="s" s="316" r="C67">
        <v>513</v>
      </c>
      <c s="372" r="D67"/>
      <c s="372" r="E67"/>
      <c t="str" s="372" r="F67">
        <f>(F43-D43)</f>
        <v> $  1.457.373,04 </v>
      </c>
      <c s="372" r="G67"/>
      <c s="372" r="H67"/>
      <c t="str" s="372" r="I67">
        <f>(I43-F43)</f>
        <v> $  434.727,13 </v>
      </c>
      <c s="372" r="J67"/>
      <c s="372" r="K67"/>
      <c t="str" s="372" r="L67">
        <f>(L43-I43)</f>
        <v> $  499.051,31 </v>
      </c>
      <c s="372" r="M67"/>
      <c s="372" r="N67"/>
      <c t="str" s="372" r="O67">
        <f>(O43-L43)</f>
        <v> $  591.900,33 </v>
      </c>
      <c s="372" r="P67"/>
      <c s="372" r="Q67"/>
      <c t="str" s="374" r="R67">
        <f>(R43-O43)</f>
        <v> $  736.095,56 </v>
      </c>
      <c s="376" r="S67"/>
      <c s="376" r="T67"/>
      <c s="39" r="U67"/>
    </row>
    <row customHeight="1" r="68" ht="13.5">
      <c s="72" r="A68"/>
      <c s="28" r="B68"/>
      <c t="s" s="316" r="C68">
        <v>514</v>
      </c>
      <c s="372" r="D68"/>
      <c s="372" r="E68"/>
      <c t="str" s="372" r="F68">
        <f>(F52-D52)</f>
        <v> $  1.217.656,61 </v>
      </c>
      <c s="372" r="G68"/>
      <c s="372" r="H68"/>
      <c t="str" s="372" r="I68">
        <f>(I52-F52)</f>
        <v> $  2.311.457,01 </v>
      </c>
      <c s="372" r="J68"/>
      <c s="372" r="K68"/>
      <c t="str" s="372" r="L68">
        <f>(L52-I52)</f>
        <v> $  3.566.547,47 </v>
      </c>
      <c s="372" r="M68"/>
      <c s="372" r="N68"/>
      <c t="str" s="372" r="O68">
        <f>(O52-L52)</f>
        <v> $  5.058.508,77 </v>
      </c>
      <c s="372" r="P68"/>
      <c s="372" r="Q68"/>
      <c t="str" s="374" r="R68">
        <f>(R52-O52)</f>
        <v> $  7.014.737,65 </v>
      </c>
      <c s="376" r="S68"/>
      <c s="376" r="T68"/>
      <c s="39" r="U68"/>
    </row>
    <row customHeight="1" r="69" ht="13.5">
      <c s="72" r="A69"/>
      <c s="28" r="B69"/>
      <c t="s" s="308" r="C69">
        <v>515</v>
      </c>
      <c s="377" r="D69"/>
      <c s="377" r="E69"/>
      <c t="str" s="378" r="F69">
        <f>SUM(F65:F68)</f>
        <v> $  2.332.575,05 </v>
      </c>
      <c s="377" r="G69"/>
      <c s="378" r="H69"/>
      <c t="str" s="378" r="I69">
        <f>SUM(I65:I68)</f>
        <v> $  2.471.413,80 </v>
      </c>
      <c s="378" r="J69"/>
      <c s="377" r="K69"/>
      <c t="str" s="378" r="L69">
        <f>SUM(L65:L68)</f>
        <v> $  3.853.443,27 </v>
      </c>
      <c s="377" r="M69"/>
      <c s="378" r="N69"/>
      <c t="str" s="378" r="O69">
        <f>SUM(O65:O68)</f>
        <v> $  5.539.868,42 </v>
      </c>
      <c s="378" r="P69"/>
      <c s="377" r="Q69"/>
      <c t="str" s="379" r="R69">
        <f>SUM(R65:R68)</f>
        <v> $  7.654.157,36 </v>
      </c>
      <c s="115" r="S69"/>
      <c s="115" r="T69"/>
      <c s="39" r="U69"/>
    </row>
    <row customHeight="1" r="70" ht="13.5">
      <c s="72" r="A70"/>
      <c s="28" r="B70"/>
      <c t="s" s="316" r="C70">
        <v>516</v>
      </c>
      <c s="372" r="D70"/>
      <c s="372" r="E70"/>
      <c t="str" s="372" r="F70">
        <f>-(F32-D32)</f>
        <v> $  -713.686,52 </v>
      </c>
      <c s="372" r="G70"/>
      <c s="372" r="H70"/>
      <c t="str" s="372" r="I70">
        <f>-(I32-F32)</f>
        <v> $  -217.363,57 </v>
      </c>
      <c s="372" r="J70"/>
      <c s="372" r="K70"/>
      <c t="str" s="372" r="L70">
        <f>-(L32-I32)</f>
        <v> $  -249.525,66 </v>
      </c>
      <c s="372" r="M70"/>
      <c s="372" r="N70"/>
      <c t="str" s="372" r="O70">
        <f>-(O32-L32)</f>
        <v> $  -295.950,16 </v>
      </c>
      <c s="372" r="P70"/>
      <c s="372" r="Q70"/>
      <c t="str" s="374" r="R70">
        <f>-(R32-O32)</f>
        <v> $  -368.047,78 </v>
      </c>
      <c s="376" r="S70"/>
      <c s="376" r="T70"/>
      <c s="39" r="U70"/>
    </row>
    <row customHeight="1" r="71" ht="13.5">
      <c s="72" r="A71"/>
      <c s="28" r="B71"/>
      <c t="s" s="316" r="C71">
        <v>517</v>
      </c>
      <c s="372" r="D71"/>
      <c s="372" r="E71"/>
      <c t="str" s="372" r="F71">
        <f>-(F34-D34)</f>
        <v> $  1.155.764,48 </v>
      </c>
      <c s="372" r="G71"/>
      <c s="372" r="H71"/>
      <c t="str" s="372" r="I71">
        <f>-(I34-F34)</f>
        <v> $  -217.363,57 </v>
      </c>
      <c s="372" r="J71"/>
      <c s="372" r="K71"/>
      <c t="str" s="372" r="L71">
        <f>-(L34-I34)</f>
        <v> $  -249.525,66 </v>
      </c>
      <c s="372" r="M71"/>
      <c s="372" r="N71"/>
      <c t="str" s="372" r="O71">
        <f>-(O34-L34)</f>
        <v> $  -295.950,16 </v>
      </c>
      <c s="372" r="P71"/>
      <c s="372" r="Q71"/>
      <c t="str" s="374" r="R71">
        <f>-(R34-O34)</f>
        <v> $  -2.242.621,47 </v>
      </c>
      <c s="376" r="S71"/>
      <c s="376" r="T71"/>
      <c s="39" r="U71"/>
    </row>
    <row customHeight="1" r="72" ht="13.5">
      <c s="72" r="A72"/>
      <c s="28" r="B72"/>
      <c t="s" s="316" r="C72">
        <v>518</v>
      </c>
      <c s="372" r="D72"/>
      <c s="372" r="E72"/>
      <c t="str" s="372" r="F72">
        <f>-(F33-D33)</f>
        <v> $  762.170,13 </v>
      </c>
      <c s="372" r="G72"/>
      <c s="372" r="H72"/>
      <c t="str" s="372" r="I72">
        <f>-(I33-F33)</f>
        <v> $  -   </v>
      </c>
      <c s="372" r="J72"/>
      <c s="372" r="K72"/>
      <c t="str" s="372" r="L72">
        <f>-(L33-I33)</f>
        <v> $  -   </v>
      </c>
      <c s="372" r="M72"/>
      <c s="372" r="N72"/>
      <c t="str" s="372" r="O72">
        <f>-(O33-L33)</f>
        <v> $  -   </v>
      </c>
      <c s="372" r="P72"/>
      <c s="372" r="Q72"/>
      <c t="str" s="374" r="R72">
        <f>-(R33-O33)</f>
        <v> $  -   </v>
      </c>
      <c s="376" r="S72"/>
      <c s="376" r="T72"/>
      <c s="39" r="U72"/>
    </row>
    <row customHeight="1" r="73" ht="13.5">
      <c s="72" r="A73"/>
      <c s="28" r="B73"/>
      <c t="s" s="316" r="C73">
        <v>519</v>
      </c>
      <c s="372" r="D73"/>
      <c s="372" r="E73"/>
      <c t="str" s="372" r="F73">
        <f>-(F31-D31)</f>
        <v> $  1.000.000,00 </v>
      </c>
      <c s="372" r="G73"/>
      <c s="372" r="H73"/>
      <c t="str" s="372" r="I73">
        <f>-(I31-F31)</f>
        <v> $  -   </v>
      </c>
      <c s="372" r="J73"/>
      <c s="372" r="K73"/>
      <c t="str" s="372" r="L73">
        <f>-(L31-I31)</f>
        <v> $  -   </v>
      </c>
      <c s="372" r="M73"/>
      <c s="372" r="N73"/>
      <c t="str" s="372" r="O73">
        <f>-(O31-L31)</f>
        <v> $  -   </v>
      </c>
      <c s="372" r="P73"/>
      <c s="372" r="Q73"/>
      <c t="str" s="374" r="R73">
        <f>-(R31-O31)</f>
        <v> $  -   </v>
      </c>
      <c s="376" r="S73"/>
      <c s="376" r="T73"/>
      <c s="39" r="U73"/>
    </row>
    <row customHeight="1" r="74" ht="13.5">
      <c s="72" r="A74"/>
      <c s="28" r="B74"/>
      <c t="s" s="308" r="C74">
        <v>520</v>
      </c>
      <c s="377" r="D74"/>
      <c s="377" r="E74"/>
      <c t="str" s="378" r="F74">
        <f>SUM(F69:F73)</f>
        <v> $  4.536.823,14 </v>
      </c>
      <c s="377" r="G74"/>
      <c s="378" r="H74"/>
      <c t="str" s="378" r="I74">
        <f>SUM(I69:I73)</f>
        <v> $  2.036.686,67 </v>
      </c>
      <c s="378" r="J74"/>
      <c s="377" r="K74"/>
      <c t="str" s="378" r="L74">
        <f>SUM(L69:L73)</f>
        <v> $  3.354.391,96 </v>
      </c>
      <c s="377" r="M74"/>
      <c s="378" r="N74"/>
      <c t="str" s="378" r="O74">
        <f>SUM(O69:O73)</f>
        <v> $  4.947.968,09 </v>
      </c>
      <c s="378" r="P74"/>
      <c s="377" r="Q74"/>
      <c t="str" s="379" r="R74">
        <f>SUM(R69:R73)</f>
        <v> $  5.043.488,11 </v>
      </c>
      <c s="115" r="S74"/>
      <c s="115" r="T74"/>
      <c s="39" r="U74"/>
    </row>
    <row customHeight="1" r="75" ht="13.5">
      <c s="72" r="A75"/>
      <c s="28" r="B75"/>
      <c s="115" r="C75"/>
      <c s="380" r="D75"/>
      <c s="380" r="E75"/>
      <c s="381" r="F75"/>
      <c s="381" r="G75"/>
      <c s="381" r="H75"/>
      <c s="381" r="I75"/>
      <c s="381" r="J75"/>
      <c s="381" r="K75"/>
      <c s="381" r="L75"/>
      <c s="381" r="M75"/>
      <c s="381" r="N75"/>
      <c s="381" r="O75"/>
      <c s="381" r="P75"/>
      <c s="381" r="Q75"/>
      <c s="381" r="R75"/>
      <c s="381" r="S75"/>
      <c s="381" r="T75"/>
      <c s="39" r="U75"/>
    </row>
    <row customHeight="1" r="76" ht="13.5">
      <c s="72" r="A76"/>
      <c s="28" r="B76"/>
      <c t="s" s="108" r="C76">
        <v>521</v>
      </c>
      <c s="382" r="D76"/>
      <c s="382" r="E76"/>
      <c t="str" s="372" r="F76">
        <f>(F52+D52)/2</f>
        <v> $  3.100.380,00 </v>
      </c>
      <c s="383" r="G76"/>
      <c s="383" r="H76"/>
      <c t="str" s="372" r="I76">
        <f>(I52+F52)/2</f>
        <v> $  4.864.936,81 </v>
      </c>
      <c s="383" r="J76"/>
      <c s="372" r="K76"/>
      <c t="str" s="372" r="L76">
        <f>(L52+I52)/2</f>
        <v> $  7.803.939,05 </v>
      </c>
      <c s="383" r="M76"/>
      <c s="383" r="N76"/>
      <c t="str" s="372" r="O76">
        <f>(O52+L52)/2</f>
        <v> $  12.116.467,17 </v>
      </c>
      <c s="383" r="P76"/>
      <c s="383" r="Q76"/>
      <c t="str" s="372" r="R76">
        <f>(R52+O52)/2</f>
        <v> $  18.153.090,38 </v>
      </c>
      <c s="358" r="S76"/>
      <c s="381" r="T76"/>
      <c s="39" r="U76"/>
    </row>
    <row customHeight="1" r="77" ht="13.5">
      <c s="72" r="A77"/>
      <c s="28" r="B77"/>
      <c t="s" s="108" r="C77">
        <v>522</v>
      </c>
      <c s="382" r="D77"/>
      <c s="382" r="E77"/>
      <c t="str" s="372" r="F77">
        <f>(F39+D39)/2</f>
        <v> $  8.558.517,53 </v>
      </c>
      <c s="383" r="G77"/>
      <c s="383" r="H77"/>
      <c t="str" s="372" r="I77">
        <f>(I39+F39)/2</f>
        <v> $  10.869.124,42 </v>
      </c>
      <c s="383" r="J77"/>
      <c s="383" r="K77"/>
      <c t="str" s="372" r="L77">
        <f>(L39+I39)/2</f>
        <v> $  13.875.015,88 </v>
      </c>
      <c s="383" r="M77"/>
      <c s="383" r="N77"/>
      <c t="str" s="372" r="O77">
        <f>(O39+L39)/2</f>
        <v> $  18.333.019,82 </v>
      </c>
      <c s="383" r="P77"/>
      <c s="383" r="Q77"/>
      <c t="str" s="372" r="R77">
        <f>(R39+O39)/2</f>
        <v> $  24.633.640,98 </v>
      </c>
      <c s="358" r="S77"/>
      <c s="381" r="T77"/>
      <c s="39" r="U77"/>
    </row>
    <row customHeight="1" r="78" ht="13.5">
      <c s="72" r="A78"/>
      <c s="28" r="B78"/>
      <c t="s" s="384" r="C78">
        <v>523</v>
      </c>
      <c s="382" r="D78"/>
      <c s="382" r="E78"/>
      <c t="str" s="385" r="F78">
        <f>F77/F76</f>
        <v>2,76</v>
      </c>
      <c s="383" r="G78"/>
      <c s="383" r="H78"/>
      <c t="str" s="385" r="I78">
        <f>I77/I76</f>
        <v>2,23</v>
      </c>
      <c s="383" r="J78"/>
      <c s="383" r="K78"/>
      <c t="str" s="385" r="L78">
        <f>L77/L76</f>
        <v>1,78</v>
      </c>
      <c s="383" r="M78"/>
      <c s="383" r="N78"/>
      <c t="str" s="385" r="O78">
        <f>O77/O76</f>
        <v>1,51</v>
      </c>
      <c s="383" r="P78"/>
      <c s="383" r="Q78"/>
      <c t="str" s="385" r="R78">
        <f>R77/R76</f>
        <v>1,36</v>
      </c>
      <c s="358" r="S78"/>
      <c s="381" r="T78"/>
      <c s="39" r="U78"/>
    </row>
    <row customHeight="1" r="79" ht="13.5">
      <c s="72" r="A79"/>
      <c s="28" r="B79"/>
      <c t="s" s="384" r="C79">
        <v>524</v>
      </c>
      <c s="382" r="D79"/>
      <c s="382" r="E79"/>
      <c t="str" s="385" r="F79">
        <f>F7/F77</f>
        <v>1,06</v>
      </c>
      <c t="str" s="385" r="G79">
        <f>F79*F78</f>
        <v>2,92</v>
      </c>
      <c s="383" r="H79"/>
      <c t="str" s="385" r="I79">
        <f>I7/I77</f>
        <v>1,08</v>
      </c>
      <c t="str" s="385" r="J79">
        <f>I79*I78</f>
        <v>2,40</v>
      </c>
      <c s="383" r="K79"/>
      <c t="str" s="385" r="L79">
        <f>L7/L77</f>
        <v>1,06</v>
      </c>
      <c t="str" s="385" r="M79">
        <f>L79*L78</f>
        <v>1,89</v>
      </c>
      <c s="383" r="N79"/>
      <c t="str" s="385" r="O79">
        <f>O7/O77</f>
        <v>1,00</v>
      </c>
      <c t="str" s="385" r="P79">
        <f>O79*O78</f>
        <v>1,51</v>
      </c>
      <c s="383" r="Q79"/>
      <c t="str" s="385" r="R79">
        <f>R7/R77</f>
        <v>0,93</v>
      </c>
      <c t="str" s="386" r="S79">
        <f>R79*R78</f>
        <v>1,26</v>
      </c>
      <c s="381" r="T79"/>
      <c s="39" r="U79"/>
    </row>
    <row customHeight="1" r="80" ht="13.5">
      <c s="72" r="A80"/>
      <c s="28" r="B80"/>
      <c t="s" s="108" r="C80">
        <v>525</v>
      </c>
      <c s="382" r="D80"/>
      <c s="382" r="E80"/>
      <c t="str" s="387" r="F80">
        <f>F25/F7</f>
        <v>16,82%</v>
      </c>
      <c s="383" r="G80"/>
      <c s="383" r="H80"/>
      <c t="str" s="387" r="I80">
        <f>I25/I7</f>
        <v>24,71%</v>
      </c>
      <c s="383" r="J80"/>
      <c s="383" r="K80"/>
      <c t="str" s="387" r="L80">
        <f>L25/L7</f>
        <v>30,27%</v>
      </c>
      <c s="383" r="M80"/>
      <c s="383" r="N80"/>
      <c t="str" s="387" r="O80">
        <f>O25/O7</f>
        <v>34,50%</v>
      </c>
      <c s="383" r="P80"/>
      <c s="383" r="Q80"/>
      <c t="str" s="387" r="R80">
        <f>R25/R7</f>
        <v>38,45%</v>
      </c>
      <c s="358" r="S80"/>
      <c s="381" r="T80"/>
      <c s="39" r="U80"/>
    </row>
    <row customHeight="1" r="81" ht="13.5">
      <c s="72" r="A81"/>
      <c s="28" r="B81"/>
      <c t="s" s="108" r="C81">
        <v>526</v>
      </c>
      <c s="382" r="D81"/>
      <c s="382" r="E81"/>
      <c t="str" s="387" r="F81">
        <f>F80*F79*F78</f>
        <v>49,09%</v>
      </c>
      <c s="383" r="G81"/>
      <c s="383" r="H81"/>
      <c t="str" s="387" r="I81">
        <f>I80*I79*I78</f>
        <v>59,39%</v>
      </c>
      <c s="383" r="J81"/>
      <c s="383" r="K81"/>
      <c t="str" s="387" r="L81">
        <f>L80*L79*L78</f>
        <v>57,13%</v>
      </c>
      <c s="383" r="M81"/>
      <c s="383" r="N81"/>
      <c t="str" s="387" r="O81">
        <f>O80*O79*O78</f>
        <v>52,19%</v>
      </c>
      <c s="383" r="P81"/>
      <c s="383" r="Q81"/>
      <c t="str" s="387" r="R81">
        <f>R80*R79*R78</f>
        <v>48,30%</v>
      </c>
      <c s="358" r="S81"/>
      <c s="381" r="T81"/>
      <c s="39" r="U81"/>
    </row>
    <row customHeight="1" r="82" ht="13.5">
      <c s="72" r="A82"/>
      <c s="28" r="B82"/>
      <c t="s" s="108" r="C82">
        <v>527</v>
      </c>
      <c s="382" r="D82"/>
      <c s="382" r="E82"/>
      <c t="str" s="373" r="F82">
        <f>F7/F76</f>
        <v>2,92</v>
      </c>
      <c t="s" s="383" r="G82">
        <v>528</v>
      </c>
      <c s="383" r="H82"/>
      <c t="str" s="373" r="I82">
        <f>I7/I76</f>
        <v>2,40</v>
      </c>
      <c t="s" s="383" r="J82">
        <v>529</v>
      </c>
      <c s="383" r="K82"/>
      <c t="str" s="373" r="L82">
        <f>L7/L76</f>
        <v>1,89</v>
      </c>
      <c t="s" s="383" r="M82">
        <v>530</v>
      </c>
      <c s="383" r="N82"/>
      <c t="str" s="373" r="O82">
        <f>O7/O76</f>
        <v>1,51</v>
      </c>
      <c t="s" s="383" r="P82">
        <v>531</v>
      </c>
      <c s="383" r="Q82"/>
      <c t="str" s="373" r="R82">
        <f>R7/R76</f>
        <v>1,26</v>
      </c>
      <c t="s" s="358" r="S82">
        <v>532</v>
      </c>
      <c s="381" r="T82"/>
      <c s="39" r="U82"/>
    </row>
    <row customHeight="1" r="83" ht="13.5">
      <c s="72" r="A83"/>
      <c s="28" r="B83"/>
      <c t="s" s="108" r="C83">
        <v>533</v>
      </c>
      <c s="382" r="D83"/>
      <c s="382" r="E83"/>
      <c t="str" s="387" r="F83">
        <f>F80*F82</f>
        <v>49,09%</v>
      </c>
      <c s="383" r="G83"/>
      <c s="383" r="H83"/>
      <c t="str" s="387" r="I83">
        <f>I82*I80</f>
        <v>59,39%</v>
      </c>
      <c s="383" r="J83"/>
      <c s="383" r="K83"/>
      <c t="str" s="387" r="L83">
        <f>L82*L80</f>
        <v>57,13%</v>
      </c>
      <c s="383" r="M83"/>
      <c s="383" r="N83"/>
      <c t="str" s="387" r="O83">
        <f>O82*O80</f>
        <v>52,19%</v>
      </c>
      <c s="383" r="P83"/>
      <c s="383" r="Q83"/>
      <c t="str" s="387" r="R83">
        <f>R82*R80</f>
        <v>48,30%</v>
      </c>
      <c s="358" r="S83"/>
      <c s="381" r="T83"/>
      <c s="39" r="U83"/>
    </row>
    <row customHeight="1" r="84" ht="13.5">
      <c s="72" r="A84"/>
      <c s="28" r="B84"/>
      <c t="s" s="108" r="C84">
        <v>534</v>
      </c>
      <c s="382" r="D84"/>
      <c s="382" r="E84"/>
      <c t="str" s="372" r="F84">
        <f>F25-F21*(1-E24)</f>
        <v> $  1.922.070,76 </v>
      </c>
      <c s="383" r="G84"/>
      <c s="383" r="H84"/>
      <c t="str" s="372" r="I84">
        <f>I25-I21*(1-H24)</f>
        <v> $  3.209.321,26 </v>
      </c>
      <c s="383" r="J84"/>
      <c s="383" r="K84"/>
      <c t="str" s="372" r="L84">
        <f>L25-L21*(1-K24)</f>
        <v> $  4.698.184,33 </v>
      </c>
      <c s="383" r="M84"/>
      <c s="383" r="N84"/>
      <c t="str" s="372" r="O84">
        <f>O25-O21*(1-N24)</f>
        <v> $  6.483.135,97 </v>
      </c>
      <c s="383" r="P84"/>
      <c s="383" r="Q84"/>
      <c t="str" s="372" r="R84">
        <f>R25-R21*(1-Q24)</f>
        <v> $  8.848.422,06 </v>
      </c>
      <c s="358" r="S84"/>
      <c s="381" r="T84"/>
      <c s="39" r="U84"/>
    </row>
    <row customHeight="1" r="85" ht="13.5">
      <c s="72" r="A85"/>
      <c s="28" r="B85"/>
      <c t="s" s="108" r="C85">
        <v>535</v>
      </c>
      <c s="382" r="D85"/>
      <c s="382" r="E85"/>
      <c t="str" s="387" r="F85">
        <f>F84/F77</f>
        <v>22,46%</v>
      </c>
      <c s="383" r="G85"/>
      <c s="383" r="H85"/>
      <c t="str" s="387" r="I85">
        <f>I84/I77</f>
        <v>29,53%</v>
      </c>
      <c s="383" r="J85"/>
      <c s="383" r="K85"/>
      <c t="str" s="387" r="L85">
        <f>L84/L77</f>
        <v>33,86%</v>
      </c>
      <c s="383" r="M85"/>
      <c s="383" r="N85"/>
      <c t="str" s="387" r="O85">
        <f>O84/O77</f>
        <v>35,36%</v>
      </c>
      <c s="383" r="P85"/>
      <c s="383" r="Q85"/>
      <c t="str" s="387" r="R85">
        <f>R84/R77</f>
        <v>35,92%</v>
      </c>
      <c s="358" r="S85"/>
      <c s="381" r="T85"/>
      <c s="39" r="U85"/>
    </row>
    <row customHeight="1" r="86" ht="13.5">
      <c s="72" r="A86"/>
      <c s="28" r="B86"/>
      <c t="s" s="108" r="C86">
        <v>536</v>
      </c>
      <c s="382" r="D86"/>
      <c s="382" r="E86"/>
      <c t="str" s="385" r="F86">
        <f>F83/F85</f>
        <v>2,19</v>
      </c>
      <c s="383" r="G86"/>
      <c s="383" r="H86"/>
      <c t="str" s="385" r="I86">
        <f>I83/I85</f>
        <v>2,01</v>
      </c>
      <c s="383" r="J86"/>
      <c s="383" r="K86"/>
      <c t="str" s="385" r="L86">
        <f>L83/L85</f>
        <v>1,69</v>
      </c>
      <c s="383" r="M86"/>
      <c s="383" r="N86"/>
      <c t="str" s="385" r="O86">
        <f>O83/O85</f>
        <v>1,48</v>
      </c>
      <c s="383" r="P86"/>
      <c s="383" r="Q86"/>
      <c t="str" s="385" r="R86">
        <f>R83/R85</f>
        <v>1,34</v>
      </c>
      <c s="358" r="S86"/>
      <c s="381" r="T86"/>
      <c s="39" r="U86"/>
    </row>
    <row customHeight="1" r="87" ht="13.5">
      <c s="72" r="A87"/>
      <c s="28" r="B87"/>
      <c t="s" s="108" r="C87">
        <v>537</v>
      </c>
      <c s="382" r="D87"/>
      <c s="382" r="E87"/>
      <c t="str" s="385" r="F87">
        <f>F7/F35</f>
        <v>1,48</v>
      </c>
      <c t="s" s="383" r="G87">
        <v>538</v>
      </c>
      <c s="383" r="H87"/>
      <c t="str" s="385" r="I87">
        <f>I7/I35</f>
        <v>1,36</v>
      </c>
      <c t="s" s="383" r="J87">
        <v>539</v>
      </c>
      <c s="383" r="K87"/>
      <c t="str" s="385" r="L87">
        <f>L7/L35</f>
        <v>1,18</v>
      </c>
      <c t="s" s="383" r="M87">
        <v>540</v>
      </c>
      <c s="383" r="N87"/>
      <c t="str" s="385" r="O87">
        <f>O7/O35</f>
        <v>1,02</v>
      </c>
      <c t="s" s="383" r="P87">
        <v>541</v>
      </c>
      <c s="383" r="Q87"/>
      <c t="str" s="385" r="R87">
        <f>R7/R35</f>
        <v>0,89</v>
      </c>
      <c t="s" s="358" r="S87">
        <v>542</v>
      </c>
      <c s="381" r="T87"/>
      <c s="39" r="U87"/>
    </row>
    <row customHeight="1" r="88" ht="13.5">
      <c s="72" r="A88"/>
      <c s="28" r="B88"/>
      <c t="s" s="108" r="C88">
        <v>543</v>
      </c>
      <c s="382" r="D88"/>
      <c s="382" r="E88"/>
      <c t="str" s="385" r="F88">
        <f>F7/F32</f>
        <v>12,17</v>
      </c>
      <c t="s" s="383" r="G88">
        <v>544</v>
      </c>
      <c s="383" r="H88"/>
      <c t="str" s="385" r="I88">
        <f>I7/I32</f>
        <v>12,17</v>
      </c>
      <c t="s" s="383" r="J88">
        <v>545</v>
      </c>
      <c s="383" r="K88"/>
      <c t="str" s="385" r="L88">
        <f>L7/L32</f>
        <v>12,17</v>
      </c>
      <c t="s" s="383" r="M88">
        <v>546</v>
      </c>
      <c s="383" r="N88"/>
      <c t="str" s="385" r="O88">
        <f>O7/O32</f>
        <v>12,17</v>
      </c>
      <c t="s" s="383" r="P88">
        <v>547</v>
      </c>
      <c s="383" r="Q88"/>
      <c t="str" s="385" r="R88">
        <f>R7/R32</f>
        <v>12,17</v>
      </c>
      <c t="s" s="358" r="S88">
        <v>548</v>
      </c>
      <c s="381" r="T88"/>
      <c s="39" r="U88"/>
    </row>
    <row customHeight="1" r="89" ht="13.5">
      <c s="72" r="A89"/>
      <c s="28" r="B89"/>
      <c t="s" s="108" r="C89">
        <v>549</v>
      </c>
      <c s="382" r="D89"/>
      <c s="382" r="E89"/>
      <c t="str" s="385" r="F89">
        <f>F7/F34</f>
        <v>12,17</v>
      </c>
      <c t="s" s="383" r="G89">
        <v>550</v>
      </c>
      <c s="383" r="H89"/>
      <c t="str" s="385" r="I89">
        <f>I7/I34</f>
        <v>12,17</v>
      </c>
      <c t="s" s="383" r="J89">
        <v>551</v>
      </c>
      <c s="383" r="K89"/>
      <c t="str" s="385" r="L89">
        <f>L7/L34</f>
        <v>12,17</v>
      </c>
      <c t="s" s="383" r="M89">
        <v>552</v>
      </c>
      <c s="383" r="N89"/>
      <c t="str" s="385" r="O89">
        <f>O7/O34</f>
        <v>12,17</v>
      </c>
      <c t="s" s="383" r="P89">
        <v>553</v>
      </c>
      <c s="383" r="Q89"/>
      <c t="str" s="385" r="R89">
        <f>R7/R34</f>
        <v>6,08</v>
      </c>
      <c t="s" s="358" r="S89">
        <v>554</v>
      </c>
      <c s="381" r="T89"/>
      <c s="39" r="U89"/>
    </row>
    <row customHeight="1" r="90" ht="13.5">
      <c s="72" r="A90"/>
      <c s="28" r="B90"/>
      <c s="115" r="C90"/>
      <c s="380" r="D90"/>
      <c s="380" r="E90"/>
      <c s="388" r="F90"/>
      <c s="381" r="G90"/>
      <c s="381" r="H90"/>
      <c s="388" r="I90"/>
      <c s="381" r="J90"/>
      <c s="381" r="K90"/>
      <c s="388" r="L90"/>
      <c s="381" r="M90"/>
      <c s="381" r="N90"/>
      <c s="388" r="O90"/>
      <c s="381" r="P90"/>
      <c s="381" r="Q90"/>
      <c s="388" r="R90"/>
      <c s="381" r="S90"/>
      <c s="381" r="T90"/>
      <c s="39" r="U90"/>
    </row>
  </sheetData>
  <mergeCells count="5">
    <mergeCell ref="D29:E29"/>
    <mergeCell ref="F29:H29"/>
    <mergeCell ref="I29:K29"/>
    <mergeCell ref="L29:N29"/>
    <mergeCell ref="O29:Q29"/>
  </mergeCells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75"/>
  <cols>
    <col min="1" customWidth="1" max="1" width="2.43"/>
    <col min="2" customWidth="1" max="2" width="2.71"/>
    <col min="3" customWidth="1" max="3" width="18.14"/>
    <col min="4" customWidth="1" max="4" width="20.0"/>
    <col min="5" customWidth="1" max="5" width="17.86"/>
    <col min="6" customWidth="1" max="6" width="15.71"/>
    <col min="7" customWidth="1" max="7" width="23.0"/>
    <col min="8" customWidth="1" max="8" width="11.57"/>
    <col min="9" customWidth="1" max="9" width="23.86"/>
    <col min="10" customWidth="1" max="10" width="18.86"/>
    <col min="11" customWidth="1" max="11" width="15.71"/>
    <col min="12" customWidth="1" max="12" width="21.0"/>
    <col min="13" customWidth="1" max="13" width="19.29"/>
    <col min="14" customWidth="1" max="14" width="19.57"/>
    <col min="15" customWidth="1" max="15" width="19.86"/>
    <col min="16" customWidth="1" max="16" width="18.57"/>
    <col min="17" customWidth="1" max="17" width="19.43"/>
    <col min="18" customWidth="1" max="18" width="19.29"/>
    <col min="19" customWidth="1" max="19" width="8.86"/>
    <col min="20" customWidth="1" max="20" width="17.29"/>
  </cols>
  <sheetData>
    <row customHeight="1" r="1" ht="15.75">
      <c s="72" r="A1"/>
      <c s="72" r="B1"/>
      <c s="72" r="C1"/>
      <c s="72" r="D1"/>
      <c s="72" r="E1"/>
      <c s="72" r="F1"/>
      <c s="72" r="G1"/>
      <c s="72" r="H1"/>
      <c s="72" r="I1"/>
      <c s="72" r="J1"/>
      <c s="72" r="K1"/>
      <c s="72" r="L1"/>
      <c s="72" r="M1"/>
      <c s="72" r="N1"/>
      <c s="72" r="O1"/>
      <c s="72" r="P1"/>
      <c s="72" r="Q1"/>
      <c s="72" r="R1"/>
      <c s="72" r="S1"/>
      <c s="72" r="T1"/>
    </row>
    <row customHeight="1" r="2" ht="15.75">
      <c s="72" r="A2"/>
      <c s="28" r="B2"/>
      <c s="28" r="C2"/>
      <c s="28" r="D2"/>
      <c s="28" r="E2"/>
      <c s="28" r="F2"/>
      <c s="28" r="G2"/>
      <c s="28" r="H2"/>
      <c s="28" r="I2"/>
      <c s="28" r="J2"/>
      <c s="28" r="K2"/>
      <c s="28" r="L2"/>
      <c s="28" r="M2"/>
      <c s="28" r="N2"/>
      <c s="28" r="O2"/>
      <c s="28" r="P2"/>
      <c s="28" r="Q2"/>
      <c s="28" r="R2"/>
      <c s="28" r="S2"/>
      <c s="28" r="T2"/>
    </row>
    <row customHeight="1" r="3" ht="13.5">
      <c s="72" r="A3"/>
      <c s="193" r="B3"/>
      <c t="s" s="227" r="C3">
        <v>555</v>
      </c>
      <c s="195" r="E3"/>
      <c s="39" r="F3"/>
      <c s="39" r="G3"/>
      <c s="39" r="H3"/>
      <c s="39" r="I3"/>
      <c s="39" r="J3"/>
      <c s="39" r="K3"/>
      <c s="39" r="L3"/>
      <c s="39" r="M3"/>
      <c s="39" r="N3"/>
      <c s="39" r="O3"/>
      <c s="39" r="P3"/>
      <c s="39" r="Q3"/>
      <c s="39" r="R3"/>
      <c s="39" r="S3"/>
      <c s="39" r="T3"/>
    </row>
    <row customHeight="1" r="4" ht="13.5">
      <c s="72" r="A4"/>
      <c s="193" r="B4"/>
      <c s="39" r="C4"/>
      <c s="39" r="D4"/>
      <c s="39" r="E4"/>
      <c s="39" r="F4"/>
      <c s="39" r="G4"/>
      <c s="39" r="H4"/>
      <c s="39" r="I4"/>
      <c s="39" r="J4"/>
      <c s="39" r="K4"/>
      <c s="39" r="L4"/>
      <c s="39" r="M4"/>
      <c s="39" r="N4"/>
      <c s="39" r="O4"/>
      <c s="39" r="P4"/>
      <c s="39" r="Q4"/>
      <c s="39" r="R4"/>
      <c s="39" r="S4"/>
      <c s="39" r="T4"/>
    </row>
    <row customHeight="1" r="5" ht="13.5">
      <c s="72" r="A5"/>
      <c s="193" r="B5"/>
      <c t="s" s="74" r="C5">
        <v>556</v>
      </c>
      <c s="39" r="D5"/>
      <c s="39" r="E5"/>
      <c s="39" r="F5"/>
      <c s="39" r="G5"/>
      <c s="39" r="H5"/>
      <c s="39" r="I5"/>
      <c s="39" r="J5"/>
      <c s="39" r="K5"/>
      <c s="39" r="L5"/>
      <c s="39" r="M5"/>
      <c s="39" r="N5"/>
      <c s="39" r="O5"/>
      <c s="39" r="P5"/>
      <c s="39" r="Q5"/>
      <c s="39" r="R5"/>
      <c s="39" r="S5"/>
      <c s="39" r="T5"/>
    </row>
    <row customHeight="1" r="6" ht="34.5">
      <c s="137" r="A6"/>
      <c s="39" r="B6"/>
      <c t="s" s="258" r="C6">
        <v>557</v>
      </c>
      <c t="s" s="258" r="D6">
        <v>558</v>
      </c>
      <c t="s" s="258" r="E6">
        <v>559</v>
      </c>
      <c t="s" s="258" r="F6">
        <v>560</v>
      </c>
      <c t="s" s="258" r="G6">
        <v>561</v>
      </c>
      <c t="s" s="258" r="H6">
        <v>562</v>
      </c>
      <c t="s" s="258" r="I6">
        <v>563</v>
      </c>
      <c t="s" s="258" r="J6">
        <v>564</v>
      </c>
      <c t="s" s="258" r="K6">
        <v>565</v>
      </c>
      <c t="s" s="258" r="L6">
        <v>566</v>
      </c>
      <c t="s" s="258" r="M6">
        <v>567</v>
      </c>
      <c t="s" s="258" r="N6">
        <v>568</v>
      </c>
      <c t="s" s="258" r="O6">
        <v>569</v>
      </c>
      <c t="s" s="258" r="P6">
        <v>570</v>
      </c>
      <c s="389" r="Q6"/>
      <c s="389" r="R6"/>
      <c s="389" r="S6"/>
      <c s="389" r="T6"/>
    </row>
    <row customHeight="1" r="7" ht="13.5">
      <c s="72" r="A7"/>
      <c s="28" r="B7"/>
      <c s="125" r="C7">
        <v>0.0</v>
      </c>
      <c t="str" s="80" r="D7">
        <f>'Activo no Corriente'!E13</f>
        <v> $  3.629.381,57 </v>
      </c>
      <c s="80" r="E7">
        <v>0.0</v>
      </c>
      <c t="str" s="80" r="F7">
        <f>+'Activo no Corriente'!E14</f>
        <v> $  762.170,13 </v>
      </c>
      <c s="80" r="G7">
        <v>0.0</v>
      </c>
      <c s="390" r="H7">
        <v>0.0</v>
      </c>
      <c t="str" s="80" r="I7">
        <f>SUM(D7:H7)</f>
        <v> $  4.391.551,70 </v>
      </c>
      <c s="80" r="J7">
        <v>0.0</v>
      </c>
      <c s="80" r="K7">
        <v>0.0</v>
      </c>
      <c s="80" r="L7">
        <v>0.0</v>
      </c>
      <c s="80" r="M7">
        <v>0.0</v>
      </c>
      <c t="str" s="391" r="N7">
        <f>+M7-I7</f>
        <v> $  -4.391.551,70 </v>
      </c>
      <c t="str" s="392" r="O7">
        <f>N7</f>
        <v> $  -4.391.551,70 </v>
      </c>
      <c s="391" r="P7"/>
      <c s="39" r="Q7"/>
      <c s="28" r="R7"/>
      <c s="28" r="S7"/>
      <c s="39" r="T7"/>
    </row>
    <row customHeight="1" r="8" ht="13.5">
      <c s="72" r="A8"/>
      <c s="28" r="B8"/>
      <c s="125" r="C8">
        <v>1.0</v>
      </c>
      <c s="80" r="D8">
        <v>0.0</v>
      </c>
      <c t="str" s="80" r="E8">
        <f>+'Balances Pro Forma'!F35</f>
        <v> $  6.124.196,18 </v>
      </c>
      <c s="80" r="F8">
        <v>0.0</v>
      </c>
      <c t="str" s="80" r="G8">
        <f>-'Balances Pro Forma'!F24</f>
        <v> $  819.576,56 </v>
      </c>
      <c s="390" r="H8">
        <v>100000.0</v>
      </c>
      <c t="str" s="80" r="I8">
        <f>SUM(D8:H8)</f>
        <v> $  7.043.772,74 </v>
      </c>
      <c t="str" s="80" r="J8">
        <f>+'Balances Pro Forma'!F18</f>
        <v> $  2.641.647,33 </v>
      </c>
      <c t="str" s="80" r="K8">
        <f>-'Balances Pro Forma'!F17</f>
        <v> $  72.805,50 </v>
      </c>
      <c t="str" s="80" r="L8">
        <f>F7</f>
        <v> $  762.170,13 </v>
      </c>
      <c t="str" s="80" r="M8">
        <f>SUM(J8:L8)</f>
        <v> $  3.476.622,95 </v>
      </c>
      <c t="str" s="391" r="N8">
        <f>+M8-I8</f>
        <v> $  -3.567.149,79 </v>
      </c>
      <c t="str" s="391" r="O8">
        <f>SUM(N7:N8)</f>
        <v> $  -7.958.701,49 </v>
      </c>
      <c t="str" s="393" r="P8">
        <f>+IF(AND(O8&lt;0,O9&lt;0),0,IF(O8&lt;0,-O8*12/(-O8+O9),-O9*12/(-O8+87)))</f>
        <v> $  -   </v>
      </c>
      <c s="28" r="Q8"/>
      <c s="28" r="R8"/>
      <c s="28" r="S8"/>
      <c s="39" r="T8"/>
    </row>
    <row customHeight="1" r="9" ht="13.5">
      <c s="72" r="A9"/>
      <c s="28" r="B9"/>
      <c s="125" r="C9">
        <v>2.0</v>
      </c>
      <c s="80" r="D9">
        <v>0.0</v>
      </c>
      <c s="80" r="E9">
        <v>0.0</v>
      </c>
      <c s="80" r="F9">
        <v>0.0</v>
      </c>
      <c t="str" s="80" r="G9">
        <f>-'Balances Pro Forma'!I24</f>
        <v> $  1.555.788,37 </v>
      </c>
      <c s="390" r="H9">
        <v>100000.0</v>
      </c>
      <c t="str" s="80" r="I9">
        <f>SUM(D9:H9)</f>
        <v> $  1.655.788,37 </v>
      </c>
      <c t="str" s="80" r="J9">
        <f>+'Balances Pro Forma'!I18</f>
        <v> $  4.665.109,63 </v>
      </c>
      <c t="str" s="80" r="K9">
        <f>-'Balances Pro Forma'!I17</f>
        <v> $  145.610,99 </v>
      </c>
      <c s="80" r="L9">
        <v>0.0</v>
      </c>
      <c t="str" s="80" r="M9">
        <f>SUM(J9:L9)</f>
        <v> $  4.810.720,63 </v>
      </c>
      <c t="str" s="80" r="N9">
        <f>+M9-I9</f>
        <v> $  3.154.932,25 </v>
      </c>
      <c t="str" s="80" r="O9">
        <f>SUM(N7:N9)</f>
        <v> $  -4.803.769,24 </v>
      </c>
      <c t="str" s="80" r="P9">
        <f>+IF(AND(O9&lt;0,O10&lt;0),0,IF(O9&lt;0,-O9*12/(-O9+O10),-O10*12/(-O9+O10)))</f>
        <v> $  -   </v>
      </c>
      <c s="394" r="Q9"/>
      <c s="39" r="R9"/>
      <c s="28" r="S9"/>
      <c s="39" r="T9"/>
    </row>
    <row customHeight="1" r="10" ht="13.5">
      <c s="72" r="A10"/>
      <c s="28" r="B10"/>
      <c s="125" r="C10">
        <v>3.0</v>
      </c>
      <c s="80" r="D10">
        <v>0.0</v>
      </c>
      <c s="80" r="E10">
        <v>0.0</v>
      </c>
      <c s="80" r="F10">
        <v>0.0</v>
      </c>
      <c t="str" s="80" r="G10">
        <f>-'Balances Pro Forma'!L24</f>
        <v> $  2.400.560,80 </v>
      </c>
      <c s="390" r="H10">
        <v>100000.0</v>
      </c>
      <c t="str" s="80" r="I10">
        <f>SUM(D10:H10)</f>
        <v> $  2.500.560,80 </v>
      </c>
      <c t="str" s="80" r="J10">
        <f>+'Balances Pro Forma'!L18</f>
        <v> $  6.998.745,13 </v>
      </c>
      <c t="str" s="80" r="K10">
        <f>-'Balances Pro Forma'!L17</f>
        <v> $  218.416,49 </v>
      </c>
      <c s="80" r="L10">
        <v>0.0</v>
      </c>
      <c t="str" s="80" r="M10">
        <f>SUM(J10:L10)</f>
        <v> $  7.217.161,62 </v>
      </c>
      <c t="str" s="80" r="N10">
        <f>+M10-I10</f>
        <v> $  4.716.600,82 </v>
      </c>
      <c t="str" s="80" r="O10">
        <f>SUM(N7:N10)</f>
        <v> $  -87.168,42 </v>
      </c>
      <c t="str" s="80" r="P10">
        <f>+IF(AND(O10&lt;0,O11&lt;0),0,IF(O10&lt;0,-O10*12/(-O10+O11),-O11*12/(-O10+O11)))</f>
        <v> $  0,16 </v>
      </c>
      <c s="28" r="Q10"/>
      <c s="39" r="R10"/>
      <c s="28" r="S10"/>
      <c s="39" r="T10"/>
    </row>
    <row customHeight="1" r="11" ht="13.5">
      <c s="72" r="A11"/>
      <c s="28" r="B11"/>
      <c s="125" r="C11">
        <v>4.0</v>
      </c>
      <c s="80" r="D11">
        <v>0.0</v>
      </c>
      <c s="80" r="E11">
        <v>0.0</v>
      </c>
      <c s="80" r="F11">
        <v>0.0</v>
      </c>
      <c t="str" s="80" r="G11">
        <f>-'Balances Pro Forma'!O24</f>
        <v> $  3.404.765,52 </v>
      </c>
      <c s="390" r="H11">
        <v>100000.0</v>
      </c>
      <c t="str" s="80" r="I11">
        <f>SUM(D11:H11)</f>
        <v> $  3.504.765,52 </v>
      </c>
      <c t="str" s="80" r="J11">
        <f>+'Balances Pro Forma'!O18</f>
        <v> $  9.787.901,49 </v>
      </c>
      <c t="str" s="80" r="K11">
        <f>-'Balances Pro Forma'!O17</f>
        <v> $  283.421,99 </v>
      </c>
      <c s="80" r="L11">
        <v>0.0</v>
      </c>
      <c t="str" s="80" r="M11">
        <f>SUM(J11:L11)</f>
        <v> $  10.071.323,47 </v>
      </c>
      <c t="str" s="80" r="N11">
        <f>+M11-I11</f>
        <v> $  6.566.557,95 </v>
      </c>
      <c t="str" s="80" r="O11">
        <f>SUM(N7:N11)</f>
        <v> $  6.479.389,53 </v>
      </c>
      <c t="str" s="80" r="P11">
        <f>+IF(AND(O11&lt;0,O12&lt;0),0,IF(O11&lt;0,-O11*12/(-O11+O12),-O12*12/(-O11+O12)))</f>
        <v> $  -16,37 </v>
      </c>
      <c s="39" r="Q11"/>
      <c s="39" r="R11"/>
      <c s="28" r="S11"/>
      <c s="39" r="T11"/>
    </row>
    <row customHeight="1" r="12" ht="13.5">
      <c s="72" r="A12"/>
      <c s="28" r="B12"/>
      <c s="125" r="C12">
        <v>5.0</v>
      </c>
      <c t="str" s="80" r="D12">
        <f>-'Activo no Corriente'!J13</f>
        <v> $  -2.665.978,56 </v>
      </c>
      <c t="str" s="80" r="E12">
        <f>-E8</f>
        <v> $  -6.124.196,18 </v>
      </c>
      <c s="80" r="F12">
        <v>0.0</v>
      </c>
      <c t="str" s="80" r="G12">
        <f>-'Balances Pro Forma'!R24</f>
        <v> $  4.721.458,03 </v>
      </c>
      <c s="390" r="H12">
        <v>100000.0</v>
      </c>
      <c t="str" s="80" r="I12">
        <f>SUM(D12:H12)</f>
        <v> $  -3.968.716,70 </v>
      </c>
      <c t="str" s="80" r="J12">
        <f>+'Balances Pro Forma'!R18</f>
        <v> $  13.469.880,10 </v>
      </c>
      <c t="str" s="80" r="K12">
        <f>-'Balances Pro Forma'!R17</f>
        <v> $  354.277,48 </v>
      </c>
      <c s="80" r="L12">
        <v>0.0</v>
      </c>
      <c t="str" s="80" r="M12">
        <f>SUM(J12:L12)</f>
        <v> $  13.824.157,58 </v>
      </c>
      <c t="str" s="80" r="N12">
        <f>+M12-I12</f>
        <v> $  17.792.874,28 </v>
      </c>
      <c t="str" s="280" r="O12">
        <f>SUM(N7:N12)</f>
        <v> $  24.272.263,82 </v>
      </c>
      <c s="28" r="P12"/>
      <c s="39" r="Q12"/>
      <c s="39" r="R12"/>
      <c s="28" r="S12"/>
      <c s="39" r="T12"/>
    </row>
    <row customHeight="1" r="13" ht="13.5">
      <c s="72" r="A13"/>
      <c s="28" r="B13"/>
      <c t="s" s="276" r="C13">
        <v>571</v>
      </c>
      <c t="str" s="119" r="D13">
        <f>SUM(D7:D12)</f>
        <v> $  963.403,01 </v>
      </c>
      <c t="str" s="119" r="E13">
        <f>SUM(E7:E12)</f>
        <v> $  -   </v>
      </c>
      <c t="str" s="119" r="F13">
        <f>SUM(F7:F12)</f>
        <v> $  762.170,13 </v>
      </c>
      <c t="str" s="119" r="G13">
        <f>SUM(G7:G12)</f>
        <v> $  12.902.149,29 </v>
      </c>
      <c t="str" s="119" r="H13">
        <f>SUM(H7:H12)</f>
        <v> $  500.000,00 </v>
      </c>
      <c t="str" s="395" r="I13">
        <f>SUM(I7:I12)</f>
        <v> $  15.127.722,43 </v>
      </c>
      <c t="str" s="395" r="J13">
        <f>SUM(J7:J12)</f>
        <v> $  37.563.283,67 </v>
      </c>
      <c t="str" s="119" r="K13">
        <f>SUM(K7:K12)</f>
        <v> $  1.074.532,44 </v>
      </c>
      <c t="str" s="119" r="L13">
        <f>SUM(L7:L12)</f>
        <v> $  762.170,13 </v>
      </c>
      <c t="str" s="119" r="M13">
        <f>SUM(M7:M12)</f>
        <v> $  39.399.986,25 </v>
      </c>
      <c t="str" s="119" r="N13">
        <f>SUM(N7:N12)</f>
        <v> $  24.272.263,82 </v>
      </c>
      <c s="396" r="O13"/>
      <c s="39" r="P13"/>
      <c s="39" r="Q13"/>
      <c s="39" r="R13"/>
      <c s="39" r="S13"/>
      <c s="39" r="T13"/>
    </row>
    <row customHeight="1" r="14" ht="13.5">
      <c s="72" r="A14"/>
      <c s="28" r="B14"/>
      <c s="39" r="C14"/>
      <c s="39" r="D14"/>
      <c s="39" r="E14"/>
      <c s="39" r="F14"/>
      <c s="39" r="G14"/>
      <c s="39" r="H14"/>
      <c t="s" s="397" r="I14">
        <v>572</v>
      </c>
      <c t="str" s="80" r="J14">
        <f>-G13</f>
        <v> $  -12.902.149,29 </v>
      </c>
      <c s="39" r="K14"/>
      <c s="39" r="L14"/>
      <c s="39" r="M14"/>
      <c s="398" r="N14"/>
      <c s="39" r="O14"/>
      <c s="399" r="P14"/>
      <c s="39" r="Q14"/>
      <c s="39" r="R14"/>
      <c s="39" r="S14"/>
      <c s="39" r="T14"/>
    </row>
    <row customHeight="1" r="15" ht="13.5">
      <c s="72" r="A15"/>
      <c s="28" r="B15"/>
      <c s="39" r="C15"/>
      <c s="39" r="D15"/>
      <c s="39" r="E15"/>
      <c s="39" r="F15"/>
      <c s="39" r="G15"/>
      <c s="39" r="H15"/>
      <c t="s" s="34" r="I15">
        <v>573</v>
      </c>
      <c t="str" s="80" r="J15">
        <f>J14+J13</f>
        <v> $  24.661.134,39 </v>
      </c>
      <c s="39" r="K15"/>
      <c s="39" r="L15"/>
      <c s="39" r="M15"/>
      <c s="39" r="N15"/>
      <c s="39" r="O15"/>
      <c s="39" r="P15"/>
      <c s="39" r="Q15"/>
      <c s="39" r="R15"/>
      <c s="39" r="S15"/>
      <c s="39" r="T15"/>
    </row>
    <row customHeight="1" r="16" ht="13.5">
      <c s="72" r="A16"/>
      <c s="296" r="B16"/>
      <c s="39" r="C16"/>
      <c s="39" r="D16"/>
      <c s="39" r="E16"/>
      <c s="39" r="F16"/>
      <c s="39" r="G16"/>
      <c s="39" r="H16"/>
      <c s="39" r="I16"/>
      <c s="39" r="J16"/>
      <c s="39" r="K16"/>
      <c s="39" r="L16"/>
      <c s="400" r="M16"/>
      <c s="253" r="N16"/>
      <c s="400" r="O16"/>
      <c s="39" r="P16"/>
      <c s="39" r="Q16"/>
      <c s="39" r="R16"/>
      <c s="39" r="S16"/>
      <c s="39" r="T16"/>
    </row>
    <row customHeight="1" r="17" ht="13.5">
      <c s="72" r="A17"/>
      <c s="296" r="B17"/>
      <c t="s" s="276" r="C17">
        <v>574</v>
      </c>
      <c t="str" s="401" r="D17">
        <f>COUNTIF(O8:O12,"&lt;0")</f>
        <v>3</v>
      </c>
      <c t="s" s="276" r="E17">
        <v>575</v>
      </c>
      <c t="str" s="401" r="F17">
        <f>ROUNDUP(SUMIFS(P8:P11,P8:P11,"&gt;0"),0)</f>
        <v>1</v>
      </c>
      <c t="s" s="276" r="G17">
        <v>576</v>
      </c>
      <c s="28" r="H17"/>
      <c s="28" r="I17"/>
      <c s="28" r="J17"/>
      <c s="28" r="K17"/>
      <c s="28" r="L17"/>
      <c s="28" r="M17"/>
      <c s="253" r="N17"/>
      <c s="400" r="O17"/>
      <c s="39" r="P17"/>
      <c s="39" r="Q17"/>
      <c s="39" r="R17"/>
      <c s="39" r="S17"/>
      <c s="39" r="T17"/>
    </row>
    <row customHeight="1" r="18" ht="13.5">
      <c s="72" r="A18"/>
      <c s="296" r="B18"/>
      <c s="39" r="C18"/>
      <c s="39" r="D18"/>
      <c s="39" r="E18"/>
      <c s="39" r="F18"/>
      <c s="39" r="G18"/>
      <c s="28" r="H18"/>
      <c s="28" r="I18"/>
      <c s="28" r="J18"/>
      <c s="28" r="K18"/>
      <c s="28" r="L18"/>
      <c s="400" r="M18"/>
      <c s="253" r="N18"/>
      <c s="400" r="O18"/>
      <c s="39" r="P18"/>
      <c s="39" r="Q18"/>
      <c s="39" r="R18"/>
      <c s="39" r="S18"/>
      <c s="39" r="T18"/>
    </row>
    <row customHeight="1" r="19" ht="13.5">
      <c s="72" r="A19"/>
      <c s="296" r="B19"/>
      <c t="s" s="276" r="C19">
        <v>577</v>
      </c>
      <c t="str" s="402" r="D19">
        <f>IRR(N7:N12,0.1)</f>
        <v>47,79%</v>
      </c>
      <c s="39" r="E19"/>
      <c s="39" r="F19"/>
      <c s="39" r="G19"/>
      <c s="28" r="H19"/>
      <c s="28" r="I19"/>
      <c s="28" r="J19"/>
      <c s="28" r="K19"/>
      <c s="28" r="L19"/>
      <c s="400" r="M19"/>
      <c s="253" r="N19"/>
      <c s="400" r="O19"/>
      <c s="39" r="P19"/>
      <c s="39" r="Q19"/>
      <c s="39" r="R19"/>
      <c s="39" r="S19"/>
      <c s="39" r="T19"/>
    </row>
    <row customHeight="1" r="20" ht="13.5">
      <c s="72" r="A20"/>
      <c s="296" r="B20"/>
      <c s="39" r="C20"/>
      <c s="39" r="D20"/>
      <c s="39" r="E20"/>
      <c s="39" r="F20"/>
      <c s="39" r="G20"/>
      <c s="28" r="H20"/>
      <c s="28" r="I20"/>
      <c s="28" r="J20"/>
      <c s="28" r="K20"/>
      <c s="28" r="L20"/>
      <c s="400" r="M20"/>
      <c s="253" r="N20"/>
      <c s="400" r="O20"/>
      <c s="39" r="P20"/>
      <c s="39" r="Q20"/>
      <c s="39" r="R20"/>
      <c s="39" r="S20"/>
      <c s="39" r="T20"/>
    </row>
    <row customHeight="1" r="21" ht="13.5">
      <c s="72" r="A21"/>
      <c s="296" r="B21"/>
      <c t="s" s="276" r="C21">
        <v>578</v>
      </c>
      <c t="str" s="255" r="D21">
        <f>+O12</f>
        <v> $  24.272.263,82 </v>
      </c>
      <c s="39" r="E21"/>
      <c s="39" r="F21"/>
      <c s="39" r="G21"/>
      <c s="28" r="H21"/>
      <c s="28" r="I21"/>
      <c s="28" r="J21"/>
      <c s="28" r="K21"/>
      <c s="28" r="L21"/>
      <c s="400" r="M21"/>
      <c s="253" r="N21"/>
      <c s="400" r="O21"/>
      <c s="39" r="P21"/>
      <c s="39" r="Q21"/>
      <c s="39" r="R21"/>
      <c s="39" r="S21"/>
      <c s="39" r="T21"/>
    </row>
    <row customHeight="1" r="22" ht="13.5">
      <c s="72" r="A22"/>
      <c s="296" r="B22"/>
      <c s="39" r="C22"/>
      <c s="39" r="D22"/>
      <c s="39" r="E22"/>
      <c s="39" r="F22"/>
      <c s="39" r="G22"/>
      <c s="28" r="H22"/>
      <c s="28" r="I22"/>
      <c s="28" r="J22"/>
      <c s="28" r="K22"/>
      <c s="28" r="L22"/>
      <c s="400" r="M22"/>
      <c s="253" r="N22"/>
      <c s="400" r="O22"/>
      <c s="39" r="P22"/>
      <c s="39" r="Q22"/>
      <c s="39" r="R22"/>
      <c s="39" r="S22"/>
      <c s="39" r="T22"/>
    </row>
    <row customHeight="1" r="23" ht="13.5">
      <c s="72" r="A23"/>
      <c s="296" r="B23"/>
      <c t="s" s="403" r="C23">
        <v>579</v>
      </c>
      <c s="404" r="D23">
        <v>0.3</v>
      </c>
      <c s="39" r="E23"/>
      <c s="39" r="F23"/>
      <c s="39" r="G23"/>
      <c s="28" r="H23"/>
      <c s="28" r="I23"/>
      <c s="28" r="J23"/>
      <c s="28" r="K23"/>
      <c s="28" r="L23"/>
      <c s="400" r="M23"/>
      <c s="253" r="N23"/>
      <c s="400" r="O23"/>
      <c s="39" r="P23"/>
      <c s="39" r="Q23"/>
      <c s="39" r="R23"/>
      <c s="39" r="S23"/>
      <c s="39" r="T23"/>
    </row>
    <row customHeight="1" r="24" ht="13.5">
      <c s="72" r="A24"/>
      <c s="296" r="B24"/>
      <c s="39" r="C24"/>
      <c s="39" r="D24"/>
      <c s="39" r="E24"/>
      <c s="39" r="F24"/>
      <c s="39" r="G24"/>
      <c s="28" r="H24"/>
      <c s="28" r="I24"/>
      <c s="28" r="J24"/>
      <c s="28" r="K24"/>
      <c s="28" r="L24"/>
      <c s="400" r="M24"/>
      <c s="253" r="N24"/>
      <c s="400" r="O24"/>
      <c s="39" r="P24"/>
      <c s="39" r="Q24"/>
      <c s="39" r="R24"/>
      <c s="39" r="S24"/>
      <c s="39" r="T24"/>
    </row>
    <row customHeight="1" r="25" ht="13.5">
      <c s="72" r="A25"/>
      <c s="296" r="B25"/>
      <c t="str" s="405" r="C25">
        <f>+"VAN"&amp;"("&amp;D23*100&amp;"%"&amp;")"</f>
        <v>VAN(30%)</v>
      </c>
      <c t="str" s="406" r="D25">
        <f ref="D25" t="array">NPV(D23,N8,N9,N10,N11,N12)+N7</f>
        <v> $  3.969.420,54 </v>
      </c>
      <c s="39" r="E25"/>
      <c s="39" r="F25"/>
      <c s="39" r="G25"/>
      <c s="28" r="H25"/>
      <c s="28" r="I25"/>
      <c s="28" r="J25"/>
      <c s="28" r="K25"/>
      <c s="28" r="L25"/>
      <c s="400" r="M25"/>
      <c s="253" r="N25"/>
      <c s="400" r="O25"/>
      <c s="39" r="P25"/>
      <c s="39" r="Q25"/>
      <c s="39" r="R25"/>
      <c s="39" r="S25"/>
      <c s="39" r="T25"/>
    </row>
    <row customHeight="1" r="26" ht="13.5">
      <c s="72" r="A26"/>
      <c s="28" r="B26"/>
      <c s="39" r="C26"/>
      <c s="39" r="D26"/>
      <c s="39" r="E26"/>
      <c s="39" r="F26"/>
      <c s="39" r="G26"/>
      <c s="39" r="H26"/>
      <c s="39" r="I26"/>
      <c s="253" r="J26"/>
      <c s="39" r="K26"/>
      <c s="39" r="L26"/>
      <c s="253" r="M26"/>
      <c s="253" r="N26"/>
      <c s="400" r="O26"/>
      <c s="39" r="P26"/>
      <c s="407" r="Q26"/>
      <c s="39" r="R26"/>
      <c s="39" r="S26"/>
      <c s="39" r="T26"/>
    </row>
    <row customHeight="1" r="27" ht="13.5">
      <c s="72" r="A27"/>
      <c s="28" r="B27"/>
      <c s="39" r="C27"/>
      <c s="39" r="D27"/>
      <c s="39" r="E27"/>
      <c s="39" r="F27"/>
      <c s="39" r="G27"/>
      <c s="39" r="H27"/>
      <c s="39" r="I27"/>
      <c s="253" r="J27"/>
      <c s="39" r="K27"/>
      <c s="39" r="L27"/>
      <c s="253" r="M27"/>
      <c s="253" r="N27"/>
      <c s="400" r="O27"/>
      <c s="39" r="P27"/>
      <c s="407" r="Q27"/>
      <c s="39" r="R27"/>
      <c s="39" r="S27"/>
      <c s="39" r="T27"/>
    </row>
    <row customHeight="1" r="28" ht="13.5">
      <c s="72" r="A28"/>
      <c s="28" r="B28"/>
      <c t="s" s="74" r="C28">
        <v>580</v>
      </c>
      <c s="39" r="D28"/>
      <c s="39" r="E28"/>
      <c s="39" r="F28"/>
      <c s="39" r="G28"/>
      <c s="39" r="H28"/>
      <c s="39" r="I28"/>
      <c s="253" r="J28"/>
      <c s="39" r="K28"/>
      <c s="39" r="L28"/>
      <c s="253" r="M28"/>
      <c s="253" r="N28"/>
      <c s="400" r="O28"/>
      <c s="39" r="P28"/>
      <c s="407" r="Q28"/>
      <c s="39" r="R28"/>
      <c s="39" r="S28"/>
      <c s="39" r="T28"/>
    </row>
    <row customHeight="1" r="29" ht="34.5">
      <c s="137" r="A29"/>
      <c s="296" r="B29"/>
      <c t="s" s="258" r="C29">
        <v>581</v>
      </c>
      <c t="s" s="258" r="D29">
        <v>582</v>
      </c>
      <c t="s" s="258" r="E29">
        <v>583</v>
      </c>
      <c t="s" s="258" r="F29">
        <v>584</v>
      </c>
      <c t="s" s="258" r="G29">
        <v>585</v>
      </c>
      <c t="s" s="258" r="H29">
        <v>586</v>
      </c>
      <c t="s" s="258" r="I29">
        <v>587</v>
      </c>
      <c t="s" s="258" r="J29">
        <v>588</v>
      </c>
      <c t="s" s="258" r="K29">
        <v>589</v>
      </c>
      <c t="s" s="258" r="L29">
        <v>590</v>
      </c>
      <c t="s" s="258" r="M29">
        <v>591</v>
      </c>
      <c t="s" s="282" r="N29">
        <v>592</v>
      </c>
      <c t="s" s="282" r="O29">
        <v>593</v>
      </c>
      <c t="s" s="282" r="P29">
        <v>594</v>
      </c>
      <c t="s" s="282" r="Q29">
        <v>595</v>
      </c>
      <c t="s" s="282" r="R29">
        <v>596</v>
      </c>
      <c t="s" s="282" r="S29">
        <v>597</v>
      </c>
      <c s="389" r="T29"/>
    </row>
    <row customHeight="1" r="30" ht="13.5">
      <c s="72" r="A30"/>
      <c s="28" r="B30"/>
      <c s="408" r="C30">
        <v>0.0</v>
      </c>
      <c t="str" s="391" r="D30">
        <f>'Activo no Corriente'!E13</f>
        <v> $  3.629.381,57 </v>
      </c>
      <c s="391" r="E30">
        <v>0.0</v>
      </c>
      <c t="str" s="391" r="F30">
        <f>+'Activo no Corriente'!E14</f>
        <v> $  762.170,13 </v>
      </c>
      <c s="391" r="G30">
        <v>0.0</v>
      </c>
      <c s="409" r="H30">
        <v>0.0</v>
      </c>
      <c t="str" s="391" r="I30">
        <f>SUM(D30:H30)</f>
        <v> $  4.391.551,70 </v>
      </c>
      <c s="391" r="J30">
        <v>0.0</v>
      </c>
      <c s="391" r="K30">
        <v>0.0</v>
      </c>
      <c s="391" r="L30">
        <v>0.0</v>
      </c>
      <c s="391" r="M30">
        <v>0.0</v>
      </c>
      <c s="391" r="N30">
        <v>0.0</v>
      </c>
      <c s="391" r="O30">
        <v>0.0</v>
      </c>
      <c t="str" s="391" r="P30">
        <f>N30-O30</f>
        <v> $  -   </v>
      </c>
      <c t="str" s="391" r="Q30">
        <f>+P30+M30-I30</f>
        <v> $  -4.391.551,70 </v>
      </c>
      <c t="str" s="391" r="R30">
        <f>Q30</f>
        <v> $  -4.391.551,70 </v>
      </c>
      <c s="391" r="S30"/>
      <c s="39" r="T30"/>
    </row>
    <row customHeight="1" r="31" ht="13.5">
      <c s="72" r="A31"/>
      <c s="296" r="B31"/>
      <c s="408" r="C31">
        <v>1.0</v>
      </c>
      <c s="391" r="D31">
        <v>0.0</v>
      </c>
      <c t="str" s="391" r="E31">
        <f>+'Balances Pro Forma'!F35</f>
        <v> $  6.124.196,18 </v>
      </c>
      <c s="391" r="F31">
        <v>0.0</v>
      </c>
      <c t="str" s="391" r="G31">
        <f>-'Balances Pro Forma'!F24</f>
        <v> $  819.576,56 </v>
      </c>
      <c s="409" r="H31">
        <v>100000.0</v>
      </c>
      <c t="str" s="391" r="I31">
        <f>SUM(D31:H31)</f>
        <v> $  7.043.772,74 </v>
      </c>
      <c t="str" s="391" r="J31">
        <f>+'Balances Pro Forma'!F18</f>
        <v> $  2.641.647,33 </v>
      </c>
      <c t="str" s="391" r="K31">
        <f>-'Balances Pro Forma'!F17</f>
        <v> $  72.805,50 </v>
      </c>
      <c t="str" s="391" r="L31">
        <f>F30</f>
        <v> $  762.170,13 </v>
      </c>
      <c t="str" s="391" r="M31">
        <f>SUM(J31:L31)</f>
        <v> $  3.476.622,95 </v>
      </c>
      <c t="str" s="391" r="N31">
        <f>+'Balances Pro Forma'!F22</f>
        <v> $  -   </v>
      </c>
      <c t="str" s="391" r="O31">
        <f>-'Balances Pro Forma'!F21</f>
        <v> $  400.000,00 </v>
      </c>
      <c t="str" s="391" r="P31">
        <f>N31-O31</f>
        <v> $  -400.000,00 </v>
      </c>
      <c t="str" s="391" r="Q31">
        <f>+P31+M31-I31</f>
        <v> $  -3.967.149,79 </v>
      </c>
      <c t="str" s="391" r="R31">
        <f>SUM(Q30:Q31)</f>
        <v> $  -8.358.701,49 </v>
      </c>
      <c t="str" s="391" r="S31">
        <f>+IF(AND(R31&lt;0,R32&lt;0),0,IF(R31&lt;0,-R31*12/(-R31+R32),-R32*12/(-R31+87)))</f>
        <v> $  -   </v>
      </c>
      <c s="39" r="T31"/>
    </row>
    <row customHeight="1" r="32" ht="13.5">
      <c s="72" r="A32"/>
      <c s="28" r="B32"/>
      <c s="408" r="C32">
        <v>2.0</v>
      </c>
      <c s="391" r="D32">
        <v>0.0</v>
      </c>
      <c s="391" r="E32">
        <v>0.0</v>
      </c>
      <c s="391" r="F32">
        <v>0.0</v>
      </c>
      <c t="str" s="391" r="G32">
        <f>-'Balances Pro Forma'!I24</f>
        <v> $  1.555.788,37 </v>
      </c>
      <c s="409" r="H32">
        <v>100000.0</v>
      </c>
      <c t="str" s="391" r="I32">
        <f>SUM(D32:H32)</f>
        <v> $  1.655.788,37 </v>
      </c>
      <c t="str" s="391" r="J32">
        <f>+'Balances Pro Forma'!I18</f>
        <v> $  4.665.109,63 </v>
      </c>
      <c t="str" s="391" r="K32">
        <f>-'Balances Pro Forma'!I17</f>
        <v> $  145.610,99 </v>
      </c>
      <c s="391" r="L32">
        <v>0.0</v>
      </c>
      <c t="str" s="391" r="M32">
        <f>SUM(J32:L32)</f>
        <v> $  4.810.720,63 </v>
      </c>
      <c t="str" s="391" r="N32">
        <f>+'Balances Pro Forma'!I22</f>
        <v> $  -   </v>
      </c>
      <c t="str" s="391" r="O32">
        <f>-'Balances Pro Forma'!I21</f>
        <v> $  320.000,00 </v>
      </c>
      <c t="str" s="391" r="P32">
        <f>N32-O32</f>
        <v> $  -320.000,00 </v>
      </c>
      <c t="str" s="391" r="Q32">
        <f>+P32+M32-I32</f>
        <v> $  2.834.932,25 </v>
      </c>
      <c t="str" s="391" r="R32">
        <f>SUM(Q30:Q32)</f>
        <v> $  -5.523.769,24 </v>
      </c>
      <c t="str" s="391" r="S32">
        <f>+IF(AND(R32&lt;0,R33&lt;0),0,IF(R32&lt;0,-R32*12/(-R32+R33),-R33*12/(-R32+R33)))</f>
        <v> $  -   </v>
      </c>
      <c s="39" r="T32"/>
    </row>
    <row customHeight="1" r="33" ht="13.5">
      <c s="72" r="A33"/>
      <c s="296" r="B33"/>
      <c s="408" r="C33">
        <v>3.0</v>
      </c>
      <c s="391" r="D33">
        <v>0.0</v>
      </c>
      <c s="391" r="E33">
        <v>0.0</v>
      </c>
      <c s="391" r="F33">
        <v>0.0</v>
      </c>
      <c t="str" s="391" r="G33">
        <f>-'Balances Pro Forma'!L24</f>
        <v> $  2.400.560,80 </v>
      </c>
      <c s="409" r="H33">
        <v>100000.0</v>
      </c>
      <c t="str" s="391" r="I33">
        <f>SUM(D33:H33)</f>
        <v> $  2.500.560,80 </v>
      </c>
      <c t="str" s="391" r="J33">
        <f>+'Balances Pro Forma'!L18</f>
        <v> $  6.998.745,13 </v>
      </c>
      <c t="str" s="391" r="K33">
        <f>-'Balances Pro Forma'!L17</f>
        <v> $  218.416,49 </v>
      </c>
      <c s="391" r="L33">
        <v>0.0</v>
      </c>
      <c t="str" s="391" r="M33">
        <f>SUM(J33:L33)</f>
        <v> $  7.217.161,62 </v>
      </c>
      <c t="str" s="391" r="N33">
        <f>+'Balances Pro Forma'!L22</f>
        <v> $  -   </v>
      </c>
      <c t="str" s="391" r="O33">
        <f>-'Balances Pro Forma'!L21</f>
        <v> $  240.000,00 </v>
      </c>
      <c t="str" s="391" r="P33">
        <f>N33-O33</f>
        <v> $  -240.000,00 </v>
      </c>
      <c t="str" s="391" r="Q33">
        <f>+P33+M33-I33</f>
        <v> $  4.476.600,82 </v>
      </c>
      <c t="str" s="391" r="R33">
        <f>SUM(Q30:Q33)</f>
        <v> $  -1.047.168,42 </v>
      </c>
      <c t="str" s="391" r="S33">
        <f>+IF(AND(R33&lt;0,R34&lt;0),0,IF(R33&lt;0,-R33*12/(-R33+R34),-R34*12/(-R33+R34)))</f>
        <v> $  1,96 </v>
      </c>
      <c s="39" r="T33"/>
    </row>
    <row customHeight="1" r="34" ht="13.5">
      <c s="72" r="A34"/>
      <c s="296" r="B34"/>
      <c s="408" r="C34">
        <v>4.0</v>
      </c>
      <c s="391" r="D34">
        <v>0.0</v>
      </c>
      <c s="391" r="E34">
        <v>0.0</v>
      </c>
      <c s="391" r="F34">
        <v>0.0</v>
      </c>
      <c t="str" s="391" r="G34">
        <f>-'Balances Pro Forma'!O24</f>
        <v> $  3.404.765,52 </v>
      </c>
      <c s="409" r="H34">
        <v>100000.0</v>
      </c>
      <c t="str" s="391" r="I34">
        <f>SUM(D34:H34)</f>
        <v> $  3.504.765,52 </v>
      </c>
      <c t="str" s="391" r="J34">
        <f>+'Balances Pro Forma'!O18</f>
        <v> $  9.787.901,49 </v>
      </c>
      <c t="str" s="391" r="K34">
        <f>-'Balances Pro Forma'!O17</f>
        <v> $  283.421,99 </v>
      </c>
      <c s="391" r="L34">
        <v>0.0</v>
      </c>
      <c t="str" s="391" r="M34">
        <f>SUM(J34:L34)</f>
        <v> $  10.071.323,47 </v>
      </c>
      <c t="str" s="391" r="N34">
        <f>+'Balances Pro Forma'!O22</f>
        <v> $  -   </v>
      </c>
      <c t="str" s="391" r="O34">
        <f>-'Balances Pro Forma'!O21</f>
        <v> $  160.000,00 </v>
      </c>
      <c t="str" s="391" r="P34">
        <f>N34-O34</f>
        <v> $  -160.000,00 </v>
      </c>
      <c t="str" s="391" r="Q34">
        <f>+P34+M34-I34</f>
        <v> $  6.406.557,95 </v>
      </c>
      <c t="str" s="391" r="R34">
        <f>SUM(Q30:Q34)</f>
        <v> $  5.359.389,53 </v>
      </c>
      <c t="str" s="391" r="S34">
        <f>+IF(AND(R34&lt;0,R35&lt;0),0,IF(R34&lt;0,-R34*12/(-R34+R35),-R35*12/(-R34+R35)))</f>
        <v> $  -15,63 </v>
      </c>
      <c s="39" r="T34"/>
    </row>
    <row customHeight="1" r="35" ht="13.5">
      <c s="72" r="A35"/>
      <c s="28" r="B35"/>
      <c s="408" r="C35">
        <v>5.0</v>
      </c>
      <c t="str" s="391" r="D35">
        <f>-'Activo no Corriente'!J13</f>
        <v> $  -2.665.978,56 </v>
      </c>
      <c t="str" s="391" r="E35">
        <f>-E31</f>
        <v> $  -6.124.196,18 </v>
      </c>
      <c s="391" r="F35">
        <v>0.0</v>
      </c>
      <c t="str" s="391" r="G35">
        <f>-'Balances Pro Forma'!R24</f>
        <v> $  4.721.458,03 </v>
      </c>
      <c s="409" r="H35">
        <v>100000.0</v>
      </c>
      <c t="str" s="391" r="I35">
        <f>SUM(D35:H35)</f>
        <v> $  -3.968.716,70 </v>
      </c>
      <c t="str" s="391" r="J35">
        <f>+'Balances Pro Forma'!R18</f>
        <v> $  13.469.880,10 </v>
      </c>
      <c t="str" s="391" r="K35">
        <f>-'Balances Pro Forma'!R17</f>
        <v> $  354.277,48 </v>
      </c>
      <c s="391" r="L35">
        <v>0.0</v>
      </c>
      <c t="str" s="391" r="M35">
        <f>SUM(J35:L35)</f>
        <v> $  13.824.157,58 </v>
      </c>
      <c t="str" s="391" r="N35">
        <f>+'Balances Pro Forma'!R22</f>
        <v> $  -   </v>
      </c>
      <c t="str" s="391" r="O35">
        <f>-'Balances Pro Forma'!R21</f>
        <v> $  80.000,00 </v>
      </c>
      <c t="str" s="391" r="P35">
        <f>N35-O35</f>
        <v> $  -80.000,00 </v>
      </c>
      <c t="str" s="391" r="Q35">
        <f>+P35+M35-I35</f>
        <v> $  17.712.874,28 </v>
      </c>
      <c t="str" s="211" r="R35">
        <f>SUM(Q30:Q35)</f>
        <v> $  23.072.263,82 </v>
      </c>
      <c s="39" r="S35"/>
      <c s="39" r="T35"/>
    </row>
    <row customHeight="1" r="36" ht="13.5">
      <c s="72" r="A36"/>
      <c s="296" r="B36"/>
      <c t="s" s="276" r="C36">
        <v>598</v>
      </c>
      <c t="str" s="119" r="D36">
        <f>SUM(D30:D35)</f>
        <v> $  963.403,01 </v>
      </c>
      <c t="str" s="119" r="E36">
        <f>SUM(E30:E35)</f>
        <v> $  -   </v>
      </c>
      <c t="str" s="119" r="F36">
        <f>SUM(F30:F35)</f>
        <v> $  762.170,13 </v>
      </c>
      <c t="str" s="119" r="G36">
        <f>SUM(G30:G35)</f>
        <v> $  12.902.149,29 </v>
      </c>
      <c t="str" s="119" r="H36">
        <f>SUM(H30:H35)</f>
        <v> $  500.000,00 </v>
      </c>
      <c t="str" s="395" r="I36">
        <f>SUM(I30:I35)</f>
        <v> $  15.127.722,43 </v>
      </c>
      <c t="str" s="395" r="J36">
        <f>SUM(J30:J35)</f>
        <v> $  37.563.283,67 </v>
      </c>
      <c t="str" s="119" r="K36">
        <f>SUM(K30:K35)</f>
        <v> $  1.074.532,44 </v>
      </c>
      <c t="str" s="119" r="L36">
        <f>SUM(L30:L35)</f>
        <v> $  762.170,13 </v>
      </c>
      <c t="str" s="119" r="M36">
        <f>SUM(M30:M35)</f>
        <v> $  39.399.986,25 </v>
      </c>
      <c t="str" s="119" r="N36">
        <f>SUM(N30:N35)</f>
        <v> $  -   </v>
      </c>
      <c t="str" s="119" r="O36">
        <f>SUM(O30:O35)</f>
        <v> $  1.200.000,00 </v>
      </c>
      <c t="str" s="119" r="P36">
        <f>SUM(P30:P35)</f>
        <v> $  -1.200.000,00 </v>
      </c>
      <c t="str" s="119" r="Q36">
        <f>SUM(Q30:Q35)</f>
        <v> $  23.072.263,82 </v>
      </c>
      <c s="396" r="R36"/>
      <c s="39" r="S36"/>
      <c s="39" r="T36"/>
    </row>
    <row customHeight="1" r="37" ht="13.5">
      <c s="72" r="A37"/>
      <c s="296" r="B37"/>
      <c s="39" r="C37"/>
      <c s="39" r="D37"/>
      <c s="39" r="E37"/>
      <c s="39" r="F37"/>
      <c s="39" r="G37"/>
      <c s="39" r="H37"/>
      <c t="s" s="64" r="I37">
        <v>599</v>
      </c>
      <c t="str" s="80" r="J37">
        <f>-G36</f>
        <v> $  -12.902.149,29 </v>
      </c>
      <c s="39" r="K37"/>
      <c s="39" r="L37"/>
      <c s="39" r="M37"/>
      <c s="398" r="N37"/>
      <c s="39" r="O37"/>
      <c s="39" r="P37"/>
      <c s="39" r="Q37"/>
      <c s="39" r="R37"/>
      <c s="39" r="S37"/>
      <c s="39" r="T37"/>
    </row>
    <row customHeight="1" r="38" ht="13.5">
      <c s="72" r="A38"/>
      <c s="296" r="B38"/>
      <c s="39" r="C38"/>
      <c s="39" r="D38"/>
      <c s="39" r="E38"/>
      <c s="39" r="F38"/>
      <c s="39" r="G38"/>
      <c s="39" r="H38"/>
      <c t="s" s="64" r="I38">
        <v>600</v>
      </c>
      <c t="str" s="80" r="J38">
        <f>P36</f>
        <v> $  -1.200.000,00 </v>
      </c>
      <c s="39" r="K38"/>
      <c s="39" r="L38"/>
      <c s="39" r="M38"/>
      <c s="39" r="N38"/>
      <c s="39" r="O38"/>
      <c s="39" r="P38"/>
      <c s="39" r="Q38"/>
      <c s="39" r="R38"/>
      <c s="39" r="S38"/>
      <c s="39" r="T38"/>
    </row>
    <row customHeight="1" r="39" ht="13.5">
      <c s="72" r="A39"/>
      <c s="28" r="B39"/>
      <c s="39" r="C39"/>
      <c s="39" r="D39"/>
      <c s="39" r="E39"/>
      <c s="39" r="F39"/>
      <c s="39" r="G39"/>
      <c s="39" r="H39"/>
      <c t="s" s="64" r="I39">
        <v>601</v>
      </c>
      <c t="str" s="280" r="J39">
        <f>J38+J37+J36</f>
        <v> $  23.461.134,39 </v>
      </c>
      <c s="39" r="K39"/>
      <c s="39" r="L39"/>
      <c s="400" r="M39"/>
      <c s="253" r="N39"/>
      <c s="400" r="O39"/>
      <c s="39" r="P39"/>
      <c s="39" r="Q39"/>
      <c s="39" r="R39"/>
      <c s="39" r="S39"/>
      <c s="39" r="T39"/>
    </row>
    <row customHeight="1" r="40" ht="15.75">
      <c s="72" r="A40"/>
      <c s="28" r="B40"/>
      <c s="28" r="C40"/>
      <c s="28" r="D40"/>
      <c s="28" r="E40"/>
      <c s="28" r="F40"/>
      <c s="28" r="G40"/>
      <c s="28" r="H40"/>
      <c s="28" r="I40"/>
      <c s="28" r="J40"/>
      <c s="28" r="K40"/>
      <c s="28" r="L40"/>
      <c s="28" r="M40"/>
      <c s="28" r="N40"/>
      <c s="28" r="O40"/>
      <c s="28" r="P40"/>
      <c s="28" r="Q40"/>
      <c s="28" r="R40"/>
      <c s="28" r="S40"/>
      <c s="28" r="T40"/>
    </row>
    <row customHeight="1" r="41" ht="15.75">
      <c s="72" r="A41"/>
      <c s="28" r="B41"/>
      <c t="s" s="276" r="C41">
        <v>602</v>
      </c>
      <c t="str" s="401" r="D41">
        <f>COUNTIF(R31:R35,"&lt;0")</f>
        <v>3</v>
      </c>
      <c t="s" s="276" r="E41">
        <v>603</v>
      </c>
      <c t="str" s="401" r="F41">
        <f>ROUNDUP(SUMIFS(S31:S34,S31:S34,"&gt;0"),0)</f>
        <v>2</v>
      </c>
      <c t="s" s="276" r="G41">
        <v>604</v>
      </c>
      <c s="28" r="H41"/>
      <c s="28" r="I41"/>
      <c s="28" r="J41"/>
      <c s="28" r="K41"/>
      <c s="28" r="L41"/>
      <c s="28" r="M41"/>
      <c s="28" r="N41"/>
      <c s="28" r="O41"/>
      <c s="28" r="P41"/>
      <c s="28" r="Q41"/>
      <c s="28" r="R41"/>
      <c s="28" r="S41"/>
      <c s="28" r="T41"/>
    </row>
    <row customHeight="1" r="42" ht="15.75">
      <c s="72" r="A42"/>
      <c s="28" r="B42"/>
      <c s="39" r="C42"/>
      <c s="39" r="D42"/>
      <c s="39" r="E42"/>
      <c s="39" r="F42"/>
      <c s="39" r="G42"/>
      <c s="28" r="H42"/>
      <c s="28" r="I42"/>
      <c s="28" r="J42"/>
      <c s="28" r="K42"/>
      <c s="28" r="L42"/>
      <c s="28" r="M42"/>
      <c s="28" r="N42"/>
      <c s="28" r="O42"/>
      <c s="28" r="P42"/>
      <c s="28" r="Q42"/>
      <c s="28" r="R42"/>
      <c s="28" r="S42"/>
      <c s="28" r="T42"/>
    </row>
    <row customHeight="1" r="43" ht="15.75">
      <c s="72" r="A43"/>
      <c s="28" r="B43"/>
      <c t="s" s="276" r="C43">
        <v>605</v>
      </c>
      <c t="str" s="402" r="D43">
        <f>IRR(Q30:Q35,0.1)</f>
        <v>44,41%</v>
      </c>
      <c s="39" r="E43"/>
      <c s="28" r="F43"/>
      <c s="39" r="G43"/>
      <c s="28" r="H43"/>
      <c s="28" r="I43"/>
      <c s="28" r="J43"/>
      <c s="28" r="K43"/>
      <c s="28" r="L43"/>
      <c s="28" r="M43"/>
      <c s="28" r="N43"/>
      <c s="28" r="O43"/>
      <c s="28" r="P43"/>
      <c s="28" r="Q43"/>
      <c s="28" r="R43"/>
      <c s="28" r="S43"/>
      <c s="28" r="T43"/>
    </row>
    <row customHeight="1" r="44" ht="15.75">
      <c s="72" r="A44"/>
      <c s="28" r="B44"/>
      <c s="39" r="C44"/>
      <c s="39" r="D44"/>
      <c s="39" r="E44"/>
      <c s="28" r="F44"/>
      <c s="39" r="G44"/>
      <c s="28" r="H44"/>
      <c s="28" r="I44"/>
      <c s="28" r="J44"/>
      <c s="28" r="K44"/>
      <c s="28" r="L44"/>
      <c s="28" r="M44"/>
      <c s="28" r="N44"/>
      <c s="28" r="O44"/>
      <c s="28" r="P44"/>
      <c s="28" r="Q44"/>
      <c s="28" r="R44"/>
      <c s="28" r="S44"/>
      <c s="28" r="T44"/>
    </row>
    <row customHeight="1" r="45" ht="15.75">
      <c s="72" r="A45"/>
      <c s="28" r="B45"/>
      <c t="s" s="276" r="C45">
        <v>606</v>
      </c>
      <c t="str" s="255" r="D45">
        <f>+Q36</f>
        <v> $  23.072.263,82 </v>
      </c>
      <c s="39" r="E45"/>
      <c s="39" r="F45"/>
      <c s="39" r="G45"/>
      <c s="28" r="H45"/>
      <c s="28" r="I45"/>
      <c s="28" r="J45"/>
      <c s="28" r="K45"/>
      <c s="28" r="L45"/>
      <c s="28" r="M45"/>
      <c s="28" r="N45"/>
      <c s="28" r="O45"/>
      <c s="28" r="P45"/>
      <c s="28" r="Q45"/>
      <c s="28" r="R45"/>
      <c s="28" r="S45"/>
      <c s="28" r="T45"/>
    </row>
    <row customHeight="1" r="46" ht="15.75">
      <c s="72" r="A46"/>
      <c s="28" r="B46"/>
      <c s="39" r="C46"/>
      <c s="39" r="D46"/>
      <c s="39" r="E46"/>
      <c s="39" r="F46"/>
      <c s="39" r="G46"/>
      <c s="28" r="H46"/>
      <c s="28" r="I46"/>
      <c s="28" r="J46"/>
      <c s="28" r="K46"/>
      <c s="28" r="L46"/>
      <c s="28" r="M46"/>
      <c s="28" r="N46"/>
      <c s="28" r="O46"/>
      <c s="28" r="P46"/>
      <c s="28" r="Q46"/>
      <c s="28" r="R46"/>
      <c s="28" r="S46"/>
      <c s="28" r="T46"/>
    </row>
    <row customHeight="1" r="47" ht="15.75">
      <c s="72" r="A47"/>
      <c s="28" r="B47"/>
      <c t="s" s="125" r="C47">
        <v>607</v>
      </c>
      <c t="str" s="410" r="D47">
        <f>+D23</f>
        <v>30%</v>
      </c>
      <c s="39" r="E47"/>
      <c s="39" r="F47"/>
      <c s="39" r="G47"/>
      <c s="28" r="H47"/>
      <c s="28" r="I47"/>
      <c s="28" r="J47"/>
      <c s="28" r="K47"/>
      <c s="28" r="L47"/>
      <c s="28" r="M47"/>
      <c s="28" r="N47"/>
      <c s="28" r="O47"/>
      <c s="28" r="P47"/>
      <c s="28" r="Q47"/>
      <c s="28" r="R47"/>
      <c s="28" r="S47"/>
      <c s="28" r="T47"/>
    </row>
    <row customHeight="1" r="48" ht="15.75">
      <c s="72" r="A48"/>
      <c s="28" r="B48"/>
      <c s="39" r="C48"/>
      <c s="39" r="D48"/>
      <c s="39" r="E48"/>
      <c s="39" r="F48"/>
      <c s="39" r="G48"/>
      <c s="28" r="H48"/>
      <c s="28" r="I48"/>
      <c s="28" r="J48"/>
      <c s="28" r="K48"/>
      <c s="28" r="L48"/>
      <c s="28" r="M48"/>
      <c s="28" r="N48"/>
      <c s="28" r="O48"/>
      <c s="28" r="P48"/>
      <c s="28" r="Q48"/>
      <c s="28" r="R48"/>
      <c s="28" r="S48"/>
      <c s="28" r="T48"/>
    </row>
    <row customHeight="1" r="49" ht="15.75">
      <c s="72" r="A49"/>
      <c s="28" r="B49"/>
      <c t="str" s="266" r="C49">
        <f>+"VAN"&amp;"("&amp;D47*100&amp;"%"&amp;")"</f>
        <v>VAN(30%)</v>
      </c>
      <c t="str" s="270" r="D49">
        <f ref="D49" t="array">NPV(D47,Q31,Q32,Q33,Q34,Q35)+Q30</f>
        <v> $  3.285.572,47 </v>
      </c>
      <c s="39" r="E49"/>
      <c s="39" r="F49"/>
      <c s="39" r="G49"/>
      <c s="28" r="H49"/>
      <c s="28" r="I49"/>
      <c s="28" r="J49"/>
      <c s="28" r="K49"/>
      <c s="28" r="L49"/>
      <c s="28" r="M49"/>
      <c s="28" r="N49"/>
      <c s="28" r="O49"/>
      <c s="28" r="P49"/>
      <c s="28" r="Q49"/>
      <c s="28" r="R49"/>
      <c s="28" r="S49"/>
      <c s="28" r="T49"/>
    </row>
    <row customHeight="1" r="50" ht="15.75">
      <c s="72" r="A50"/>
      <c s="28" r="B50"/>
      <c s="28" r="C50"/>
      <c s="28" r="D50"/>
      <c s="28" r="E50"/>
      <c s="28" r="F50"/>
      <c s="28" r="G50"/>
      <c s="28" r="H50"/>
      <c s="28" r="I50"/>
      <c s="28" r="J50"/>
      <c s="28" r="K50"/>
      <c s="28" r="L50"/>
      <c s="28" r="M50"/>
      <c s="28" r="N50"/>
      <c s="28" r="O50"/>
      <c s="28" r="P50"/>
      <c s="28" r="Q50"/>
      <c s="28" r="R50"/>
      <c s="28" r="S50"/>
      <c s="28" r="T50"/>
    </row>
  </sheetData>
  <drawing r:id="rId2"/>
  <legacyDrawing r:id="rId3"/>
</worksheet>
</file>