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rge\Downloads\Excel9\Review\"/>
    </mc:Choice>
  </mc:AlternateContent>
  <xr:revisionPtr revIDLastSave="0" documentId="13_ncr:1_{8F73B7E9-E551-495B-BB30-D1D033872372}" xr6:coauthVersionLast="47" xr6:coauthVersionMax="47" xr10:uidLastSave="{00000000-0000-0000-0000-000000000000}"/>
  <bookViews>
    <workbookView xWindow="-110" yWindow="-110" windowWidth="19420" windowHeight="11020" firstSheet="4" activeTab="7" xr2:uid="{00000000-000D-0000-FFFF-FFFF00000000}"/>
  </bookViews>
  <sheets>
    <sheet name="Documentation" sheetId="1" r:id="rId1"/>
    <sheet name="Startup Plan" sheetId="2" r:id="rId2"/>
    <sheet name="Loan Scenarios" sheetId="6" r:id="rId3"/>
    <sheet name="Amortization Schedule" sheetId="7" r:id="rId4"/>
    <sheet name="Profit and Loss" sheetId="3" r:id="rId5"/>
    <sheet name="Depreciation" sheetId="8" r:id="rId6"/>
    <sheet name="Investment" sheetId="9" r:id="rId7"/>
    <sheet name="Balance" sheetId="4" r:id="rId8"/>
    <sheet name="Cash" sheetId="5" r:id="rId9"/>
    <sheet name="Terms and Defin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C31" i="3"/>
  <c r="D31" i="3"/>
  <c r="E31" i="3"/>
  <c r="F31" i="3"/>
  <c r="B31" i="3"/>
  <c r="C28" i="9"/>
  <c r="C27" i="9"/>
  <c r="C26" i="9"/>
  <c r="C18" i="9"/>
  <c r="C19" i="9"/>
  <c r="C20" i="9"/>
  <c r="C21" i="9"/>
  <c r="C22" i="9"/>
  <c r="C23" i="9"/>
  <c r="C28" i="3"/>
  <c r="D28" i="3"/>
  <c r="E28" i="3"/>
  <c r="F28" i="3"/>
  <c r="B28" i="3"/>
  <c r="C25" i="3"/>
  <c r="D25" i="3"/>
  <c r="E25" i="3"/>
  <c r="F25" i="3"/>
  <c r="B25" i="3"/>
  <c r="C22" i="3"/>
  <c r="D22" i="3"/>
  <c r="E22" i="3"/>
  <c r="F22" i="3"/>
  <c r="B22" i="3"/>
  <c r="C16" i="8"/>
  <c r="D16" i="8"/>
  <c r="E16" i="8"/>
  <c r="F16" i="8"/>
  <c r="B16" i="8"/>
  <c r="B10" i="8"/>
  <c r="C10" i="8"/>
  <c r="D10" i="8"/>
  <c r="E10" i="8"/>
  <c r="F10" i="8"/>
  <c r="B11" i="8"/>
  <c r="C55" i="7"/>
  <c r="D55" i="7"/>
  <c r="E55" i="7"/>
  <c r="F55" i="7"/>
  <c r="C56" i="7"/>
  <c r="D56" i="7"/>
  <c r="E56" i="7"/>
  <c r="F56" i="7"/>
  <c r="B56" i="7"/>
  <c r="B55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 s="1"/>
  <c r="D17" i="7"/>
  <c r="E17" i="7"/>
  <c r="F17" i="7" s="1"/>
  <c r="D18" i="7"/>
  <c r="E18" i="7"/>
  <c r="D19" i="7"/>
  <c r="E19" i="7"/>
  <c r="D20" i="7"/>
  <c r="E20" i="7"/>
  <c r="D21" i="7"/>
  <c r="E21" i="7"/>
  <c r="F21" i="7" s="1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F28" i="7" s="1"/>
  <c r="D29" i="7"/>
  <c r="E29" i="7"/>
  <c r="D30" i="7"/>
  <c r="F30" i="7" s="1"/>
  <c r="E30" i="7"/>
  <c r="D31" i="7"/>
  <c r="E31" i="7"/>
  <c r="D32" i="7"/>
  <c r="E32" i="7"/>
  <c r="D33" i="7"/>
  <c r="E33" i="7"/>
  <c r="F33" i="7" s="1"/>
  <c r="D34" i="7"/>
  <c r="F34" i="7" s="1"/>
  <c r="E34" i="7"/>
  <c r="D35" i="7"/>
  <c r="E35" i="7"/>
  <c r="D36" i="7"/>
  <c r="E36" i="7"/>
  <c r="D37" i="7"/>
  <c r="E37" i="7"/>
  <c r="F37" i="7" s="1"/>
  <c r="D38" i="7"/>
  <c r="F38" i="7" s="1"/>
  <c r="E38" i="7"/>
  <c r="D39" i="7"/>
  <c r="E39" i="7"/>
  <c r="D40" i="7"/>
  <c r="E40" i="7"/>
  <c r="F40" i="7" s="1"/>
  <c r="D41" i="7"/>
  <c r="E41" i="7"/>
  <c r="F41" i="7" s="1"/>
  <c r="D42" i="7"/>
  <c r="F42" i="7" s="1"/>
  <c r="E42" i="7"/>
  <c r="D43" i="7"/>
  <c r="E43" i="7"/>
  <c r="D44" i="7"/>
  <c r="E44" i="7"/>
  <c r="F44" i="7" s="1"/>
  <c r="D45" i="7"/>
  <c r="E45" i="7"/>
  <c r="F45" i="7" s="1"/>
  <c r="D46" i="7"/>
  <c r="F46" i="7" s="1"/>
  <c r="E46" i="7"/>
  <c r="D47" i="7"/>
  <c r="E47" i="7"/>
  <c r="D48" i="7"/>
  <c r="E48" i="7"/>
  <c r="F10" i="7"/>
  <c r="F11" i="7"/>
  <c r="F12" i="7"/>
  <c r="F14" i="7"/>
  <c r="F18" i="7"/>
  <c r="F19" i="7"/>
  <c r="F20" i="7"/>
  <c r="F22" i="7"/>
  <c r="F25" i="7"/>
  <c r="F26" i="7"/>
  <c r="F27" i="7"/>
  <c r="F35" i="7"/>
  <c r="F36" i="7"/>
  <c r="F43" i="7"/>
  <c r="F47" i="7"/>
  <c r="E9" i="7"/>
  <c r="D9" i="7"/>
  <c r="G5" i="7"/>
  <c r="B10" i="6"/>
  <c r="C8" i="6"/>
  <c r="F9" i="6"/>
  <c r="D9" i="6" s="1"/>
  <c r="I7" i="6"/>
  <c r="B12" i="4"/>
  <c r="F48" i="7"/>
  <c r="F39" i="7"/>
  <c r="F32" i="7"/>
  <c r="F31" i="7"/>
  <c r="F29" i="7"/>
  <c r="F24" i="7"/>
  <c r="F23" i="7"/>
  <c r="F15" i="7"/>
  <c r="F13" i="7"/>
  <c r="C11" i="8" l="1"/>
  <c r="D11" i="8" s="1"/>
  <c r="G55" i="7"/>
  <c r="G56" i="7"/>
  <c r="F9" i="7"/>
  <c r="E11" i="8" l="1"/>
  <c r="F11" i="8" l="1"/>
  <c r="B18" i="2" l="1"/>
  <c r="B17" i="2"/>
  <c r="C12" i="9"/>
  <c r="C14" i="9" s="1"/>
  <c r="B20" i="9" s="1"/>
  <c r="D12" i="9"/>
  <c r="D14" i="9" s="1"/>
  <c r="B21" i="9" s="1"/>
  <c r="E12" i="9"/>
  <c r="E14" i="9" s="1"/>
  <c r="B22" i="9" s="1"/>
  <c r="F12" i="9"/>
  <c r="F14" i="9" s="1"/>
  <c r="B23" i="9" s="1"/>
  <c r="B12" i="9"/>
  <c r="B14" i="9" s="1"/>
  <c r="B19" i="9" s="1"/>
  <c r="B6" i="9"/>
  <c r="B9" i="9" s="1"/>
  <c r="B17" i="8"/>
  <c r="B4" i="8"/>
  <c r="C18" i="3"/>
  <c r="D18" i="3"/>
  <c r="E18" i="3"/>
  <c r="F18" i="3"/>
  <c r="C9" i="3"/>
  <c r="D9" i="3"/>
  <c r="E9" i="3"/>
  <c r="F9" i="3"/>
  <c r="F11" i="3" s="1"/>
  <c r="C10" i="3"/>
  <c r="D10" i="3"/>
  <c r="E10" i="3"/>
  <c r="F10" i="3"/>
  <c r="B10" i="3"/>
  <c r="B9" i="3"/>
  <c r="B11" i="3" s="1"/>
  <c r="D11" i="3" l="1"/>
  <c r="D21" i="3" s="1"/>
  <c r="D23" i="3" s="1"/>
  <c r="D26" i="3" s="1"/>
  <c r="D29" i="3" s="1"/>
  <c r="D33" i="3" s="1"/>
  <c r="C11" i="3"/>
  <c r="E11" i="3"/>
  <c r="E21" i="3" s="1"/>
  <c r="E23" i="3" s="1"/>
  <c r="E26" i="3" s="1"/>
  <c r="E29" i="3" s="1"/>
  <c r="E33" i="3" s="1"/>
  <c r="B18" i="9"/>
  <c r="C12" i="8"/>
  <c r="B12" i="8"/>
  <c r="D12" i="8"/>
  <c r="E12" i="8"/>
  <c r="F12" i="8"/>
  <c r="B18" i="8"/>
  <c r="C21" i="3"/>
  <c r="C23" i="3" s="1"/>
  <c r="F21" i="3"/>
  <c r="F23" i="3" s="1"/>
  <c r="F26" i="3" s="1"/>
  <c r="F29" i="3" s="1"/>
  <c r="F33" i="3" s="1"/>
  <c r="C17" i="8"/>
  <c r="C26" i="3" l="1"/>
  <c r="C29" i="3" s="1"/>
  <c r="C33" i="3" s="1"/>
  <c r="C7" i="5"/>
  <c r="D17" i="8"/>
  <c r="C18" i="8"/>
  <c r="D18" i="8" l="1"/>
  <c r="E17" i="8"/>
  <c r="E18" i="8" l="1"/>
  <c r="F17" i="8"/>
  <c r="F18" i="8" s="1"/>
  <c r="F5" i="7" l="1"/>
  <c r="D5" i="7"/>
  <c r="A5" i="7"/>
  <c r="G10" i="6"/>
  <c r="H10" i="6" s="1"/>
  <c r="F10" i="6"/>
  <c r="G9" i="6"/>
  <c r="H9" i="6" s="1"/>
  <c r="G8" i="6"/>
  <c r="H8" i="6" s="1"/>
  <c r="G7" i="6"/>
  <c r="H7" i="6" s="1"/>
  <c r="F8" i="6"/>
  <c r="F7" i="6"/>
  <c r="B57" i="7" l="1"/>
  <c r="C57" i="7" s="1"/>
  <c r="D57" i="7" s="1"/>
  <c r="E57" i="7" s="1"/>
  <c r="F57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12" i="4"/>
  <c r="D12" i="4"/>
  <c r="E12" i="4"/>
  <c r="F12" i="4"/>
  <c r="B13" i="4"/>
  <c r="B18" i="3" l="1"/>
  <c r="B21" i="3" s="1"/>
  <c r="B23" i="3" s="1"/>
  <c r="B26" i="3" s="1"/>
  <c r="B29" i="3" s="1"/>
  <c r="B33" i="3" s="1"/>
  <c r="F25" i="4" l="1"/>
  <c r="F15" i="5"/>
  <c r="E8" i="5"/>
  <c r="F16" i="5"/>
  <c r="E16" i="5"/>
  <c r="D16" i="5"/>
  <c r="C16" i="5"/>
  <c r="B16" i="5"/>
  <c r="E15" i="5"/>
  <c r="B15" i="5"/>
  <c r="B30" i="4" s="1"/>
  <c r="F14" i="4"/>
  <c r="E14" i="4"/>
  <c r="D14" i="4"/>
  <c r="C14" i="4"/>
  <c r="B14" i="4"/>
  <c r="F13" i="4"/>
  <c r="E13" i="4"/>
  <c r="D13" i="4"/>
  <c r="C13" i="4"/>
  <c r="B32" i="2"/>
  <c r="B28" i="4" s="1"/>
  <c r="B27" i="2"/>
  <c r="B13" i="2"/>
  <c r="B7" i="2"/>
  <c r="E29" i="4" s="1"/>
  <c r="C15" i="5" l="1"/>
  <c r="C30" i="4" s="1"/>
  <c r="D15" i="5"/>
  <c r="D18" i="5"/>
  <c r="B8" i="5"/>
  <c r="C8" i="5"/>
  <c r="F8" i="5"/>
  <c r="F19" i="5"/>
  <c r="E19" i="5"/>
  <c r="D19" i="5"/>
  <c r="C19" i="5"/>
  <c r="B19" i="5"/>
  <c r="B18" i="5"/>
  <c r="D8" i="5"/>
  <c r="B36" i="2"/>
  <c r="B14" i="2"/>
  <c r="B29" i="4"/>
  <c r="C29" i="4"/>
  <c r="F29" i="4"/>
  <c r="B40" i="2"/>
  <c r="C28" i="4"/>
  <c r="D28" i="4"/>
  <c r="E28" i="4"/>
  <c r="F28" i="4"/>
  <c r="B35" i="2"/>
  <c r="D29" i="4"/>
  <c r="B37" i="2" l="1"/>
  <c r="B38" i="2" s="1"/>
  <c r="B21" i="2" s="1"/>
  <c r="B19" i="2" s="1"/>
  <c r="B20" i="2" s="1"/>
  <c r="B4" i="5" s="1"/>
  <c r="D30" i="4"/>
  <c r="E30" i="4" s="1"/>
  <c r="F30" i="4" s="1"/>
  <c r="C18" i="5"/>
  <c r="E18" i="5"/>
  <c r="F18" i="5"/>
  <c r="B15" i="4"/>
  <c r="B16" i="4" s="1"/>
  <c r="F7" i="5"/>
  <c r="F12" i="5" s="1"/>
  <c r="D7" i="5"/>
  <c r="D12" i="5" s="1"/>
  <c r="C12" i="5"/>
  <c r="E7" i="5"/>
  <c r="E12" i="5" s="1"/>
  <c r="B12" i="5"/>
  <c r="C15" i="4" l="1"/>
  <c r="C16" i="4" s="1"/>
  <c r="F17" i="5"/>
  <c r="F20" i="5" s="1"/>
  <c r="F22" i="5" s="1"/>
  <c r="E17" i="5"/>
  <c r="E20" i="5" s="1"/>
  <c r="E22" i="5" s="1"/>
  <c r="C17" i="5"/>
  <c r="C20" i="5" s="1"/>
  <c r="C22" i="5" s="1"/>
  <c r="D17" i="5"/>
  <c r="D20" i="5" s="1"/>
  <c r="D22" i="5" s="1"/>
  <c r="B17" i="5"/>
  <c r="B25" i="4"/>
  <c r="B20" i="5" l="1"/>
  <c r="B22" i="5" s="1"/>
  <c r="B23" i="5" s="1"/>
  <c r="B31" i="4"/>
  <c r="C25" i="4"/>
  <c r="B6" i="4" l="1"/>
  <c r="C23" i="5"/>
  <c r="D23" i="5" s="1"/>
  <c r="D6" i="4" s="1"/>
  <c r="D9" i="4" s="1"/>
  <c r="D15" i="4"/>
  <c r="D16" i="4" s="1"/>
  <c r="E15" i="4"/>
  <c r="E16" i="4" s="1"/>
  <c r="C31" i="4"/>
  <c r="B32" i="4"/>
  <c r="B34" i="4" s="1"/>
  <c r="D25" i="4"/>
  <c r="B9" i="4" l="1"/>
  <c r="B18" i="4" s="1"/>
  <c r="B36" i="4" s="1"/>
  <c r="D18" i="4"/>
  <c r="D36" i="4" s="1"/>
  <c r="E23" i="5"/>
  <c r="F23" i="5" s="1"/>
  <c r="F6" i="4" s="1"/>
  <c r="F9" i="4" s="1"/>
  <c r="C6" i="4"/>
  <c r="C9" i="4" s="1"/>
  <c r="C18" i="4" s="1"/>
  <c r="C36" i="4" s="1"/>
  <c r="F15" i="4"/>
  <c r="F16" i="4" s="1"/>
  <c r="D31" i="4"/>
  <c r="C32" i="4"/>
  <c r="C34" i="4" s="1"/>
  <c r="E25" i="4"/>
  <c r="E6" i="4" l="1"/>
  <c r="E9" i="4" s="1"/>
  <c r="E18" i="4" s="1"/>
  <c r="E36" i="4" s="1"/>
  <c r="F18" i="4"/>
  <c r="F36" i="4" s="1"/>
  <c r="E31" i="4"/>
  <c r="D32" i="4"/>
  <c r="D34" i="4" s="1"/>
  <c r="F31" i="4" l="1"/>
  <c r="F32" i="4" s="1"/>
  <c r="F34" i="4" s="1"/>
  <c r="E32" i="4"/>
  <c r="E34" i="4" s="1"/>
</calcChain>
</file>

<file path=xl/sharedStrings.xml><?xml version="1.0" encoding="utf-8"?>
<sst xmlns="http://schemas.openxmlformats.org/spreadsheetml/2006/main" count="287" uniqueCount="213">
  <si>
    <t>Author</t>
  </si>
  <si>
    <t>Date</t>
  </si>
  <si>
    <t>Purpose</t>
  </si>
  <si>
    <t>Start-Up Requirements</t>
  </si>
  <si>
    <t>Required Expenses</t>
  </si>
  <si>
    <t>Total Required Expenses</t>
  </si>
  <si>
    <t>Required Assets</t>
  </si>
  <si>
    <t>Cash</t>
  </si>
  <si>
    <t>Property</t>
  </si>
  <si>
    <t>Miscellaneous Assets</t>
  </si>
  <si>
    <t>Long-Term Assets</t>
  </si>
  <si>
    <t xml:space="preserve">Total Required Assets </t>
  </si>
  <si>
    <t>TOTAL REQUIRED EXPENSES AND ASSETS</t>
  </si>
  <si>
    <t>Start-Up Assets</t>
  </si>
  <si>
    <t>Non-Cash Assets</t>
  </si>
  <si>
    <t>Cash Assets</t>
  </si>
  <si>
    <t>Additional Available Cash</t>
  </si>
  <si>
    <t>Cash Balance on Starting Date</t>
  </si>
  <si>
    <t>TOTAL START-UP ASSETS</t>
  </si>
  <si>
    <t>Liabilities and Capital</t>
  </si>
  <si>
    <t>Start-Up Liabilities</t>
  </si>
  <si>
    <t>Long-Term Business Loan</t>
  </si>
  <si>
    <t>Outstanding Debts</t>
  </si>
  <si>
    <t>Total Liabilities</t>
  </si>
  <si>
    <t>Start-Up Capital</t>
  </si>
  <si>
    <t>Owners</t>
  </si>
  <si>
    <t>Investors</t>
  </si>
  <si>
    <t>Total Available Capital</t>
  </si>
  <si>
    <t>Project Summary</t>
  </si>
  <si>
    <t>START-UP INVESTMENT</t>
  </si>
  <si>
    <t>START-UP EXPENSES</t>
  </si>
  <si>
    <t>INITIAL EQUITY</t>
  </si>
  <si>
    <t>TOTAL LIABILITIES AND EQUITY</t>
  </si>
  <si>
    <t>TOTAL FUNDING</t>
  </si>
  <si>
    <t>Assumed Tax Rate</t>
  </si>
  <si>
    <t>Income</t>
  </si>
  <si>
    <t>Year 1</t>
  </si>
  <si>
    <t>Year 2</t>
  </si>
  <si>
    <t>Year 3</t>
  </si>
  <si>
    <t>Year 4</t>
  </si>
  <si>
    <t>Year 5</t>
  </si>
  <si>
    <t>GROSS PROFIT</t>
  </si>
  <si>
    <t>Expenses</t>
  </si>
  <si>
    <t>Payroll</t>
  </si>
  <si>
    <t>Insurance</t>
  </si>
  <si>
    <t>TOTAL GENERAL EXPENSES</t>
  </si>
  <si>
    <t>Earnings</t>
  </si>
  <si>
    <t>Initial Earnings</t>
  </si>
  <si>
    <t>Depreciation</t>
  </si>
  <si>
    <t>Operating Profit</t>
  </si>
  <si>
    <t>Interest Expense</t>
  </si>
  <si>
    <t>Pretax Profit</t>
  </si>
  <si>
    <t>After-Tax Profit</t>
  </si>
  <si>
    <t>Dividends to Shareholders</t>
  </si>
  <si>
    <t>Retained Earnings</t>
  </si>
  <si>
    <t>Pro Forma 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</si>
  <si>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</si>
  <si>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</si>
  <si>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</si>
  <si>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</si>
  <si>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</si>
  <si>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</si>
  <si>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Less Accumulated Depreciation</t>
  </si>
  <si>
    <t>Net Property &amp; Equipment</t>
  </si>
  <si>
    <t>TOTAL ASSETS</t>
  </si>
  <si>
    <t>Liabilities and Equity</t>
  </si>
  <si>
    <t>Current Liabilities</t>
  </si>
  <si>
    <t>Total Current Liabilities</t>
  </si>
  <si>
    <t>Long-Term Liabilities</t>
  </si>
  <si>
    <t>Total Long-Term Liabilities</t>
  </si>
  <si>
    <t>Equity</t>
  </si>
  <si>
    <t>Initial Investment</t>
  </si>
  <si>
    <t>Less Start-Up Expenses</t>
  </si>
  <si>
    <t>Less Investor Repayment</t>
  </si>
  <si>
    <t>Accumulated Retained Earnings</t>
  </si>
  <si>
    <t>Total Equity</t>
  </si>
  <si>
    <t>TOTAL LIABILITIES  AND EQUITY</t>
  </si>
  <si>
    <t>NET WORTH</t>
  </si>
  <si>
    <t>Pro Forma Cash Flow</t>
  </si>
  <si>
    <t>Cash Inflows</t>
  </si>
  <si>
    <t>Depreciation Add-Back</t>
  </si>
  <si>
    <t xml:space="preserve">Additional Cash Received </t>
  </si>
  <si>
    <t>New Borrowing</t>
  </si>
  <si>
    <t>Sales of Other Current Assets</t>
  </si>
  <si>
    <t>TOTAL CASH INFLOW</t>
  </si>
  <si>
    <t>Cash Outflows</t>
  </si>
  <si>
    <t>Loan Payment to Investors</t>
  </si>
  <si>
    <t>Dividends</t>
  </si>
  <si>
    <t>Estimated Tax</t>
  </si>
  <si>
    <t>Interest Payments</t>
  </si>
  <si>
    <t>Debt Payment</t>
  </si>
  <si>
    <t>TOTAL CASH OUTFLOW</t>
  </si>
  <si>
    <t>NET CASH FLOW</t>
  </si>
  <si>
    <t>CASH BALANCE</t>
  </si>
  <si>
    <t>Annual Interest Rate</t>
  </si>
  <si>
    <t>Financial Value</t>
  </si>
  <si>
    <t>Business Loan 
(PV)</t>
  </si>
  <si>
    <t>Future Value
(FV)</t>
  </si>
  <si>
    <t>Years</t>
  </si>
  <si>
    <t>Payments per Year</t>
  </si>
  <si>
    <t>Payments
(NPER)</t>
  </si>
  <si>
    <t>Annual Rate</t>
  </si>
  <si>
    <t>Rate per Quarter
(RATE)</t>
  </si>
  <si>
    <t>Quarterly Payments
(PMT)</t>
  </si>
  <si>
    <t>Quarterly Payment (PMT)</t>
  </si>
  <si>
    <t>Future Value (FV)</t>
  </si>
  <si>
    <t>Payments (NPER)</t>
  </si>
  <si>
    <t>Business Loan (PV)</t>
  </si>
  <si>
    <t>Loan (PV)</t>
  </si>
  <si>
    <t>Annual  Rate</t>
  </si>
  <si>
    <t>Rate per Period (RATE)</t>
  </si>
  <si>
    <t>Payment
(PMT)</t>
  </si>
  <si>
    <t>Amortization Schedule</t>
  </si>
  <si>
    <t>Year</t>
  </si>
  <si>
    <t>Period</t>
  </si>
  <si>
    <t>Remaining 
Principal</t>
  </si>
  <si>
    <t>Total Payment</t>
  </si>
  <si>
    <t>Final Balance</t>
  </si>
  <si>
    <t>Cumulative Interest and Principal Payments per Year</t>
  </si>
  <si>
    <t>Quarters</t>
  </si>
  <si>
    <t>Total</t>
  </si>
  <si>
    <t>Principal Remaining</t>
  </si>
  <si>
    <t>Salvage Value (Salvage)</t>
  </si>
  <si>
    <t>Life of Asset (Life)</t>
  </si>
  <si>
    <t>Straight-Line (SLN)</t>
  </si>
  <si>
    <t>Yearly Depreciation</t>
  </si>
  <si>
    <t>Cumulative Depreciation</t>
  </si>
  <si>
    <t>Depreciated Asset Value</t>
  </si>
  <si>
    <t>Declining Balance (DB)</t>
  </si>
  <si>
    <t>Proposed Repayment Schedule to Investors</t>
  </si>
  <si>
    <t>Investment (PV)</t>
  </si>
  <si>
    <t>Yearly Payments (PMT)</t>
  </si>
  <si>
    <t>Interest Rate (RATE)</t>
  </si>
  <si>
    <t>Payments</t>
  </si>
  <si>
    <t>Return on the Investment</t>
  </si>
  <si>
    <t>Net Cash Flow</t>
  </si>
  <si>
    <t>Startup</t>
  </si>
  <si>
    <t>Desired Rate of Return</t>
  </si>
  <si>
    <t>Present Value (NPV)</t>
  </si>
  <si>
    <t>Net Present Value</t>
  </si>
  <si>
    <t>Internal Rate of Return (IRR)</t>
  </si>
  <si>
    <t>Plant Construction</t>
  </si>
  <si>
    <t>Plant Equipment</t>
  </si>
  <si>
    <t>Tech Innovations Startup Grant</t>
  </si>
  <si>
    <t>Other Required Expenses</t>
  </si>
  <si>
    <t>Miscellaneous Expenses</t>
  </si>
  <si>
    <t>Long-Term Assets (Cost)</t>
  </si>
  <si>
    <t>Investment</t>
  </si>
  <si>
    <t>Loan Scenarios</t>
  </si>
  <si>
    <t>Pro Forma Profit &amp; Loss Statement</t>
  </si>
  <si>
    <t>Tax Liability</t>
  </si>
  <si>
    <t>Percent Cost of Marketing</t>
  </si>
  <si>
    <t>Cost of Marketing</t>
  </si>
  <si>
    <t>Revenue</t>
  </si>
  <si>
    <t>Cost of R&amp;D</t>
  </si>
  <si>
    <t>Percent Cost of R&amp;D</t>
  </si>
  <si>
    <t>Occupancy Costs</t>
  </si>
  <si>
    <t>Holoease</t>
  </si>
  <si>
    <t>To perform a financial analysis for the startup tech company, Holoease</t>
  </si>
  <si>
    <t>Holoease Business Plan</t>
  </si>
  <si>
    <t>Terms and Definitions</t>
  </si>
  <si>
    <t>Term</t>
  </si>
  <si>
    <t>Definition</t>
  </si>
  <si>
    <t>Notes</t>
  </si>
  <si>
    <t>Cash flow</t>
  </si>
  <si>
    <t>The direction in which money flows either to or from the user</t>
  </si>
  <si>
    <t>Negative cash flow</t>
  </si>
  <si>
    <t>Money that is flowing from the user</t>
  </si>
  <si>
    <t>Excel returns negative cash flow values for loan payments</t>
  </si>
  <si>
    <t>Positive cash flow</t>
  </si>
  <si>
    <t>Money that is flowing towards the user</t>
  </si>
  <si>
    <t>Excel returns positive cash flow values for investments</t>
  </si>
  <si>
    <t>Present value</t>
  </si>
  <si>
    <t>The current value of a loan or investment</t>
  </si>
  <si>
    <t>Future value</t>
  </si>
  <si>
    <t>The future value of a loan or investment</t>
  </si>
  <si>
    <t>Use a future value of 0 for loans that will be completely repaid</t>
  </si>
  <si>
    <t>Cost of sales</t>
  </si>
  <si>
    <t>Expenses which are directly related to production</t>
  </si>
  <si>
    <t>Tangible assets</t>
  </si>
  <si>
    <t>Noncash assets such as equipment, land, buildings, and vehicles</t>
  </si>
  <si>
    <t>Gross profit</t>
  </si>
  <si>
    <t>The difference between the company's sales and the cost of goods sold</t>
  </si>
  <si>
    <t>Extrapolation</t>
  </si>
  <si>
    <t>A process by extending a series from a single value or a few values to project future values</t>
  </si>
  <si>
    <t>Interpolation</t>
  </si>
  <si>
    <t>A process to fill in a series when given then starting and ending values of the series</t>
  </si>
  <si>
    <t>Linear trend</t>
  </si>
  <si>
    <t>A trend by which values change by a constant amount</t>
  </si>
  <si>
    <t>Growth trend</t>
  </si>
  <si>
    <t>A trend by which values change by a constant percentage</t>
  </si>
  <si>
    <t>The process of allocating the original cost of an asset over the lifetime of the asset</t>
  </si>
  <si>
    <t>Straight-line depreciation</t>
  </si>
  <si>
    <t>Depreciation in which the asset drops in value by a constant amount</t>
  </si>
  <si>
    <t>Calculate using the SLN function</t>
  </si>
  <si>
    <t>Declining balance depreciation</t>
  </si>
  <si>
    <t>Depreciation in which the asset drops in value by a constant percentage</t>
  </si>
  <si>
    <t>Calculate using the DB function</t>
  </si>
  <si>
    <t>Payback period</t>
  </si>
  <si>
    <t>The length of time before an investment recovers its initial cost</t>
  </si>
  <si>
    <t>Rate of return</t>
  </si>
  <si>
    <t>An interest rate that compares of value of current dollars to future dollars from a series of cash flows</t>
  </si>
  <si>
    <t>Net present value</t>
  </si>
  <si>
    <t>The difference between the present value of an investment and the initial expenditure on that investment</t>
  </si>
  <si>
    <t>Calculate by adding the current expenditure to the value returned by the NPV function</t>
  </si>
  <si>
    <t>Internal rate of return</t>
  </si>
  <si>
    <t>The return rate for a series of future cash flow that will will result in a net present value of 0</t>
  </si>
  <si>
    <t>Calculate using the IRR function</t>
  </si>
  <si>
    <t>Interest 
Payment (IPMT)</t>
  </si>
  <si>
    <t>Principal 
Payment (PPMT)</t>
  </si>
  <si>
    <t>Interest Paid (CUMIPMT)</t>
  </si>
  <si>
    <t>Principal Paid (CUMPRINC)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</si>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</sst>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0.0000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9" tint="-0.249977111117893"/>
      <name val="Calibri"/>
      <family val="2"/>
      <scheme val="minor"/>
    </font>
    <font>
      <sz val="18"/>
      <color theme="9" tint="-0.249977111117893"/>
      <name val="Calibri Light"/>
      <family val="2"/>
      <scheme val="major"/>
    </font>
    <font>
      <sz val="28"/>
      <color theme="5" tint="-0.249977111117893"/>
      <name val="Bauhaus 93"/>
      <family val="5"/>
    </font>
    <font>
      <sz val="18"/>
      <color theme="5" tint="-0.249977111117893"/>
      <name val="Calibri Light"/>
      <family val="2"/>
      <scheme val="major"/>
    </font>
    <font>
      <b/>
      <sz val="13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34">
    <xf numFmtId="0" fontId="0" fillId="0" borderId="0" xfId="0"/>
    <xf numFmtId="0" fontId="9" fillId="0" borderId="0" xfId="4" applyFont="1" applyFill="1" applyBorder="1" applyAlignment="1"/>
    <xf numFmtId="0" fontId="10" fillId="0" borderId="0" xfId="0" applyFont="1" applyFill="1" applyBorder="1" applyAlignment="1"/>
    <xf numFmtId="0" fontId="11" fillId="0" borderId="0" xfId="4" applyFont="1" applyFill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0" fontId="0" fillId="0" borderId="5" xfId="0" applyFont="1" applyBorder="1" applyAlignment="1"/>
    <xf numFmtId="164" fontId="0" fillId="0" borderId="5" xfId="1" applyNumberFormat="1" applyFont="1" applyBorder="1" applyAlignment="1"/>
    <xf numFmtId="0" fontId="0" fillId="4" borderId="5" xfId="0" applyFont="1" applyFill="1" applyBorder="1" applyAlignment="1"/>
    <xf numFmtId="165" fontId="0" fillId="4" borderId="5" xfId="1" applyNumberFormat="1" applyFont="1" applyFill="1" applyBorder="1" applyAlignment="1"/>
    <xf numFmtId="164" fontId="0" fillId="0" borderId="0" xfId="1" applyNumberFormat="1" applyFont="1" applyBorder="1" applyAlignment="1"/>
    <xf numFmtId="0" fontId="0" fillId="4" borderId="6" xfId="0" applyFont="1" applyFill="1" applyBorder="1" applyAlignment="1"/>
    <xf numFmtId="165" fontId="0" fillId="4" borderId="6" xfId="1" applyNumberFormat="1" applyFont="1" applyFill="1" applyBorder="1" applyAlignment="1"/>
    <xf numFmtId="0" fontId="0" fillId="5" borderId="0" xfId="0" applyFont="1" applyFill="1" applyAlignment="1"/>
    <xf numFmtId="165" fontId="0" fillId="5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0" fillId="0" borderId="5" xfId="0" applyFont="1" applyFill="1" applyBorder="1" applyAlignment="1"/>
    <xf numFmtId="164" fontId="0" fillId="0" borderId="0" xfId="1" applyNumberFormat="1" applyFont="1" applyFill="1" applyAlignment="1"/>
    <xf numFmtId="164" fontId="0" fillId="0" borderId="5" xfId="1" applyNumberFormat="1" applyFont="1" applyFill="1" applyBorder="1" applyAlignment="1"/>
    <xf numFmtId="0" fontId="0" fillId="0" borderId="6" xfId="0" applyFont="1" applyFill="1" applyBorder="1" applyAlignment="1"/>
    <xf numFmtId="164" fontId="0" fillId="0" borderId="6" xfId="1" applyNumberFormat="1" applyFont="1" applyFill="1" applyBorder="1" applyAlignment="1"/>
    <xf numFmtId="165" fontId="0" fillId="5" borderId="0" xfId="1" applyNumberFormat="1" applyFont="1" applyFill="1" applyAlignment="1"/>
    <xf numFmtId="6" fontId="0" fillId="0" borderId="0" xfId="0" applyNumberFormat="1" applyFont="1" applyFill="1" applyAlignment="1"/>
    <xf numFmtId="0" fontId="0" fillId="0" borderId="0" xfId="0" applyFont="1" applyFill="1" applyBorder="1" applyAlignmen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 applyAlignment="1"/>
    <xf numFmtId="0" fontId="8" fillId="0" borderId="0" xfId="0" applyFont="1" applyFill="1" applyBorder="1" applyAlignment="1">
      <alignment horizontal="right" indent="1"/>
    </xf>
    <xf numFmtId="165" fontId="1" fillId="0" borderId="0" xfId="1" applyNumberFormat="1" applyFont="1" applyFill="1" applyBorder="1" applyAlignment="1"/>
    <xf numFmtId="164" fontId="1" fillId="0" borderId="5" xfId="1" applyNumberFormat="1" applyFont="1" applyFill="1" applyBorder="1" applyAlignment="1"/>
    <xf numFmtId="0" fontId="0" fillId="5" borderId="3" xfId="8" applyFont="1" applyFill="1" applyAlignment="1"/>
    <xf numFmtId="164" fontId="1" fillId="5" borderId="3" xfId="8" applyNumberFormat="1" applyFont="1" applyFill="1" applyAlignment="1"/>
    <xf numFmtId="164" fontId="1" fillId="0" borderId="0" xfId="1" applyNumberFormat="1" applyFont="1" applyFill="1" applyBorder="1" applyAlignment="1"/>
    <xf numFmtId="0" fontId="1" fillId="5" borderId="3" xfId="8" applyFont="1" applyFill="1" applyAlignment="1"/>
    <xf numFmtId="0" fontId="0" fillId="0" borderId="0" xfId="0" applyFont="1" applyFill="1" applyBorder="1" applyAlignment="1">
      <alignment wrapText="1"/>
    </xf>
    <xf numFmtId="0" fontId="0" fillId="5" borderId="0" xfId="0" applyFont="1" applyFill="1" applyBorder="1" applyAlignment="1"/>
    <xf numFmtId="164" fontId="1" fillId="5" borderId="0" xfId="1" applyNumberFormat="1" applyFont="1" applyFill="1" applyBorder="1" applyAlignment="1"/>
    <xf numFmtId="6" fontId="0" fillId="0" borderId="0" xfId="0" applyNumberFormat="1" applyFont="1" applyFill="1" applyBorder="1" applyAlignment="1"/>
    <xf numFmtId="165" fontId="1" fillId="5" borderId="0" xfId="1" applyNumberFormat="1" applyFont="1" applyFill="1" applyBorder="1" applyAlignment="1"/>
    <xf numFmtId="0" fontId="1" fillId="0" borderId="3" xfId="8" applyFont="1" applyFill="1" applyAlignment="1"/>
    <xf numFmtId="165" fontId="1" fillId="0" borderId="3" xfId="8" applyNumberFormat="1" applyFont="1" applyFill="1" applyAlignment="1"/>
    <xf numFmtId="0" fontId="0" fillId="0" borderId="0" xfId="0" applyFont="1" applyBorder="1" applyAlignment="1"/>
    <xf numFmtId="164" fontId="1" fillId="0" borderId="0" xfId="1" applyNumberFormat="1" applyFont="1" applyBorder="1" applyAlignment="1"/>
    <xf numFmtId="0" fontId="0" fillId="5" borderId="7" xfId="0" applyFont="1" applyFill="1" applyBorder="1" applyAlignment="1"/>
    <xf numFmtId="164" fontId="0" fillId="5" borderId="7" xfId="0" applyNumberFormat="1" applyFont="1" applyFill="1" applyBorder="1" applyAlignment="1"/>
    <xf numFmtId="164" fontId="1" fillId="0" borderId="3" xfId="8" applyNumberFormat="1" applyFont="1" applyAlignment="1"/>
    <xf numFmtId="164" fontId="0" fillId="0" borderId="0" xfId="0" applyNumberFormat="1" applyFont="1" applyAlignment="1"/>
    <xf numFmtId="165" fontId="0" fillId="5" borderId="7" xfId="0" applyNumberFormat="1" applyFont="1" applyFill="1" applyBorder="1" applyAlignment="1"/>
    <xf numFmtId="6" fontId="0" fillId="0" borderId="0" xfId="0" applyNumberFormat="1" applyFont="1" applyAlignment="1"/>
    <xf numFmtId="165" fontId="0" fillId="0" borderId="0" xfId="0" applyNumberFormat="1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165" fontId="0" fillId="0" borderId="0" xfId="1" applyNumberFormat="1" applyFont="1" applyBorder="1"/>
    <xf numFmtId="44" fontId="0" fillId="0" borderId="0" xfId="0" applyNumberFormat="1" applyFont="1" applyBorder="1"/>
    <xf numFmtId="164" fontId="0" fillId="0" borderId="0" xfId="1" applyNumberFormat="1" applyFont="1" applyFill="1" applyBorder="1"/>
    <xf numFmtId="10" fontId="0" fillId="0" borderId="0" xfId="0" applyNumberFormat="1" applyFont="1" applyBorder="1"/>
    <xf numFmtId="10" fontId="1" fillId="0" borderId="0" xfId="3" applyNumberFormat="1" applyFont="1" applyBorder="1"/>
    <xf numFmtId="165" fontId="0" fillId="0" borderId="0" xfId="0" applyNumberFormat="1" applyFont="1" applyBorder="1"/>
    <xf numFmtId="6" fontId="0" fillId="0" borderId="0" xfId="0" applyNumberFormat="1"/>
    <xf numFmtId="10" fontId="0" fillId="0" borderId="0" xfId="0" applyNumberFormat="1"/>
    <xf numFmtId="10" fontId="0" fillId="0" borderId="0" xfId="3" applyNumberFormat="1" applyFont="1"/>
    <xf numFmtId="0" fontId="1" fillId="0" borderId="0" xfId="9" applyFill="1"/>
    <xf numFmtId="165" fontId="0" fillId="0" borderId="0" xfId="0" applyNumberFormat="1"/>
    <xf numFmtId="164" fontId="0" fillId="0" borderId="0" xfId="1" applyNumberFormat="1" applyFont="1"/>
    <xf numFmtId="0" fontId="1" fillId="0" borderId="5" xfId="9" applyFill="1" applyBorder="1"/>
    <xf numFmtId="164" fontId="0" fillId="0" borderId="5" xfId="1" applyNumberFormat="1" applyFont="1" applyBorder="1"/>
    <xf numFmtId="0" fontId="8" fillId="0" borderId="0" xfId="0" applyFont="1" applyAlignment="1">
      <alignment horizontal="right" indent="1"/>
    </xf>
    <xf numFmtId="166" fontId="0" fillId="5" borderId="4" xfId="0" applyNumberFormat="1" applyFill="1" applyBorder="1"/>
    <xf numFmtId="0" fontId="0" fillId="0" borderId="0" xfId="0" applyBorder="1"/>
    <xf numFmtId="0" fontId="8" fillId="0" borderId="5" xfId="7" applyFont="1" applyBorder="1" applyAlignment="1">
      <alignment horizontal="center"/>
    </xf>
    <xf numFmtId="0" fontId="8" fillId="0" borderId="0" xfId="6" applyFont="1" applyBorder="1" applyAlignment="1">
      <alignment horizontal="center"/>
    </xf>
    <xf numFmtId="0" fontId="8" fillId="0" borderId="4" xfId="9" applyFont="1" applyFill="1" applyBorder="1" applyAlignment="1">
      <alignment horizontal="right" indent="1"/>
    </xf>
    <xf numFmtId="6" fontId="0" fillId="0" borderId="4" xfId="0" applyNumberFormat="1" applyBorder="1"/>
    <xf numFmtId="6" fontId="0" fillId="5" borderId="4" xfId="0" applyNumberFormat="1" applyFill="1" applyBorder="1"/>
    <xf numFmtId="0" fontId="0" fillId="0" borderId="4" xfId="0" applyBorder="1" applyAlignment="1">
      <alignment horizontal="right" indent="1"/>
    </xf>
    <xf numFmtId="0" fontId="0" fillId="0" borderId="0" xfId="0" applyFill="1" applyBorder="1"/>
    <xf numFmtId="165" fontId="0" fillId="0" borderId="4" xfId="1" applyNumberFormat="1" applyFont="1" applyFill="1" applyBorder="1"/>
    <xf numFmtId="0" fontId="0" fillId="0" borderId="4" xfId="0" applyFill="1" applyBorder="1"/>
    <xf numFmtId="0" fontId="1" fillId="0" borderId="0" xfId="9" applyFill="1" applyBorder="1"/>
    <xf numFmtId="164" fontId="0" fillId="0" borderId="5" xfId="1" applyNumberFormat="1" applyFont="1" applyFill="1" applyBorder="1"/>
    <xf numFmtId="0" fontId="1" fillId="5" borderId="0" xfId="8" applyFont="1" applyFill="1" applyBorder="1"/>
    <xf numFmtId="165" fontId="1" fillId="5" borderId="0" xfId="8" applyNumberFormat="1" applyFont="1" applyFill="1" applyBorder="1"/>
    <xf numFmtId="167" fontId="0" fillId="0" borderId="0" xfId="0" applyNumberFormat="1"/>
    <xf numFmtId="165" fontId="8" fillId="0" borderId="4" xfId="2" applyNumberFormat="1" applyFont="1" applyFill="1" applyBorder="1" applyAlignment="1"/>
    <xf numFmtId="164" fontId="0" fillId="0" borderId="4" xfId="1" applyNumberFormat="1" applyFont="1" applyFill="1" applyBorder="1" applyAlignment="1"/>
    <xf numFmtId="10" fontId="0" fillId="0" borderId="4" xfId="3" applyNumberFormat="1" applyFont="1" applyFill="1" applyBorder="1" applyAlignment="1"/>
    <xf numFmtId="0" fontId="0" fillId="0" borderId="4" xfId="0" applyFont="1" applyBorder="1" applyAlignment="1"/>
    <xf numFmtId="164" fontId="0" fillId="0" borderId="4" xfId="1" applyNumberFormat="1" applyFont="1" applyBorder="1" applyAlignment="1"/>
    <xf numFmtId="3" fontId="0" fillId="0" borderId="0" xfId="0" applyNumberFormat="1" applyFont="1" applyAlignment="1"/>
    <xf numFmtId="0" fontId="0" fillId="5" borderId="4" xfId="0" applyFont="1" applyFill="1" applyBorder="1" applyAlignment="1"/>
    <xf numFmtId="164" fontId="0" fillId="5" borderId="4" xfId="1" applyNumberFormat="1" applyFont="1" applyFill="1" applyBorder="1" applyAlignment="1"/>
    <xf numFmtId="0" fontId="0" fillId="0" borderId="4" xfId="0" applyFont="1" applyFill="1" applyBorder="1" applyAlignment="1"/>
    <xf numFmtId="165" fontId="0" fillId="0" borderId="4" xfId="1" applyNumberFormat="1" applyFont="1" applyFill="1" applyBorder="1" applyAlignment="1"/>
    <xf numFmtId="8" fontId="0" fillId="0" borderId="0" xfId="0" applyNumberFormat="1" applyFont="1" applyAlignment="1"/>
    <xf numFmtId="6" fontId="0" fillId="0" borderId="4" xfId="0" applyNumberFormat="1" applyFont="1" applyBorder="1" applyAlignment="1">
      <alignment vertical="top"/>
    </xf>
    <xf numFmtId="164" fontId="8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165" fontId="0" fillId="0" borderId="0" xfId="2" applyNumberFormat="1" applyFont="1" applyAlignment="1"/>
    <xf numFmtId="165" fontId="6" fillId="0" borderId="4" xfId="0" applyNumberFormat="1" applyFont="1" applyFill="1" applyBorder="1" applyAlignment="1"/>
    <xf numFmtId="168" fontId="0" fillId="0" borderId="4" xfId="0" applyNumberFormat="1" applyFont="1" applyFill="1" applyBorder="1" applyAlignment="1">
      <alignment vertical="top"/>
    </xf>
    <xf numFmtId="0" fontId="12" fillId="0" borderId="0" xfId="4" applyFont="1"/>
    <xf numFmtId="0" fontId="13" fillId="0" borderId="0" xfId="4" applyFont="1" applyFill="1" applyBorder="1" applyAlignment="1"/>
    <xf numFmtId="0" fontId="14" fillId="0" borderId="0" xfId="5" applyFont="1" applyBorder="1" applyAlignment="1">
      <alignment horizontal="left" vertical="center"/>
    </xf>
    <xf numFmtId="164" fontId="1" fillId="7" borderId="4" xfId="10" applyNumberFormat="1" applyFill="1" applyBorder="1" applyAlignment="1"/>
    <xf numFmtId="9" fontId="8" fillId="7" borderId="4" xfId="0" applyNumberFormat="1" applyFont="1" applyFill="1" applyBorder="1" applyAlignment="1"/>
    <xf numFmtId="0" fontId="15" fillId="0" borderId="0" xfId="0" applyFont="1" applyAlignment="1"/>
    <xf numFmtId="165" fontId="1" fillId="7" borderId="4" xfId="10" applyNumberFormat="1" applyFill="1" applyBorder="1"/>
    <xf numFmtId="43" fontId="1" fillId="7" borderId="4" xfId="10" applyNumberFormat="1" applyFill="1" applyBorder="1"/>
    <xf numFmtId="0" fontId="15" fillId="0" borderId="4" xfId="0" applyFont="1" applyBorder="1" applyAlignment="1">
      <alignment wrapText="1"/>
    </xf>
    <xf numFmtId="14" fontId="15" fillId="0" borderId="4" xfId="0" applyNumberFormat="1" applyFont="1" applyBorder="1" applyAlignment="1">
      <alignment wrapText="1"/>
    </xf>
    <xf numFmtId="0" fontId="7" fillId="6" borderId="4" xfId="11" applyBorder="1" applyAlignment="1">
      <alignment vertical="top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Alignment="1">
      <alignment horizontal="center" vertical="top" wrapText="1"/>
    </xf>
    <xf numFmtId="0" fontId="8" fillId="8" borderId="4" xfId="7" applyFont="1" applyFill="1" applyBorder="1" applyAlignment="1">
      <alignment horizontal="center" vertical="center"/>
    </xf>
    <xf numFmtId="0" fontId="8" fillId="8" borderId="8" xfId="6" applyFont="1" applyFill="1" applyBorder="1" applyAlignment="1">
      <alignment horizontal="center" vertical="center"/>
    </xf>
    <xf numFmtId="0" fontId="0" fillId="8" borderId="4" xfId="9" applyFont="1" applyFill="1" applyBorder="1"/>
    <xf numFmtId="0" fontId="4" fillId="8" borderId="0" xfId="6" applyFill="1" applyBorder="1" applyAlignment="1">
      <alignment horizontal="center"/>
    </xf>
    <xf numFmtId="0" fontId="0" fillId="8" borderId="4" xfId="0" applyFont="1" applyFill="1" applyBorder="1" applyAlignment="1"/>
    <xf numFmtId="0" fontId="8" fillId="8" borderId="4" xfId="0" applyFont="1" applyFill="1" applyBorder="1" applyAlignment="1"/>
    <xf numFmtId="0" fontId="0" fillId="8" borderId="4" xfId="0" applyFont="1" applyFill="1" applyBorder="1" applyAlignment="1">
      <alignment horizontal="center"/>
    </xf>
    <xf numFmtId="10" fontId="1" fillId="7" borderId="4" xfId="10" applyNumberFormat="1" applyFill="1" applyBorder="1" applyAlignment="1"/>
    <xf numFmtId="0" fontId="0" fillId="0" borderId="4" xfId="0" applyBorder="1" applyAlignment="1">
      <alignment horizontal="left" vertical="top" wrapText="1"/>
    </xf>
    <xf numFmtId="0" fontId="7" fillId="9" borderId="4" xfId="12" applyBorder="1" applyAlignment="1">
      <alignment horizontal="left" vertical="top"/>
    </xf>
    <xf numFmtId="0" fontId="1" fillId="10" borderId="4" xfId="13" applyBorder="1" applyAlignment="1">
      <alignment horizontal="left" vertical="top" wrapText="1" indent="1"/>
    </xf>
    <xf numFmtId="6" fontId="0" fillId="7" borderId="4" xfId="0" applyNumberFormat="1" applyFill="1" applyBorder="1"/>
    <xf numFmtId="6" fontId="8" fillId="7" borderId="4" xfId="0" applyNumberFormat="1" applyFont="1" applyFill="1" applyBorder="1"/>
    <xf numFmtId="0" fontId="8" fillId="0" borderId="8" xfId="0" applyFont="1" applyBorder="1" applyAlignment="1">
      <alignment horizontal="right" textRotation="90"/>
    </xf>
    <xf numFmtId="0" fontId="8" fillId="0" borderId="9" xfId="0" applyFont="1" applyBorder="1" applyAlignment="1">
      <alignment horizontal="right" textRotation="90"/>
    </xf>
    <xf numFmtId="0" fontId="8" fillId="0" borderId="0" xfId="7" applyFont="1" applyAlignment="1">
      <alignment horizontal="center"/>
    </xf>
    <xf numFmtId="0" fontId="0" fillId="8" borderId="10" xfId="0" applyFont="1" applyFill="1" applyBorder="1" applyAlignment="1">
      <alignment horizontal="left" vertical="top" wrapText="1"/>
    </xf>
    <xf numFmtId="0" fontId="0" fillId="8" borderId="11" xfId="0" applyFont="1" applyFill="1" applyBorder="1" applyAlignment="1">
      <alignment horizontal="left" vertical="top" wrapText="1"/>
    </xf>
    <xf numFmtId="165" fontId="6" fillId="0" borderId="0" xfId="0" applyNumberFormat="1" applyFont="1" applyAlignment="1"/>
  </cellXfs>
  <cellStyles count="14">
    <cellStyle name="20% - Accent1" xfId="13" builtinId="30"/>
    <cellStyle name="20% - Accent3" xfId="9" builtinId="38"/>
    <cellStyle name="40% - Accent6" xfId="10" builtinId="51"/>
    <cellStyle name="Accent1" xfId="12" builtinId="29"/>
    <cellStyle name="Accent2" xfId="11" builtinId="33"/>
    <cellStyle name="Comma" xfId="1" builtinId="3"/>
    <cellStyle name="Currency" xfId="2" builtinId="4"/>
    <cellStyle name="Heading 2" xfId="5" builtinId="17"/>
    <cellStyle name="Heading 3" xfId="6" builtinId="18"/>
    <cellStyle name="Heading 4" xfId="7" builtinId="19"/>
    <cellStyle name="Normal" xfId="0" builtinId="0"/>
    <cellStyle name="Percent" xfId="3" builtinId="5"/>
    <cellStyle name="Title" xfId="4" builtinId="15"/>
    <cellStyle name="Total" xfId="8" builtinId="25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2" max="2" width="44.54296875" customWidth="1"/>
  </cols>
  <sheetData>
    <row r="1" spans="1:2" ht="43" x14ac:dyDescent="1.1000000000000001">
      <c r="A1" s="102" t="s">
        <v>157</v>
      </c>
    </row>
    <row r="3" spans="1:2" x14ac:dyDescent="0.35">
      <c r="A3" s="112" t="s">
        <v>0</v>
      </c>
      <c r="B3" s="110" t="s">
        <v>212</v>
      </c>
    </row>
    <row r="4" spans="1:2" x14ac:dyDescent="0.35">
      <c r="A4" s="112" t="s">
        <v>1</v>
      </c>
      <c r="B4" s="111">
        <v>44535</v>
      </c>
    </row>
    <row r="5" spans="1:2" ht="29" x14ac:dyDescent="0.35">
      <c r="A5" s="112" t="s">
        <v>2</v>
      </c>
      <c r="B5" s="110" t="s">
        <v>158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19E8-F70E-4BB0-A716-DE590628BCF9}">
  <dimension ref="A1:C23"/>
  <sheetViews>
    <sheetView zoomScale="120" zoomScaleNormal="120" workbookViewId="0"/>
  </sheetViews>
  <sheetFormatPr defaultRowHeight="14.5" x14ac:dyDescent="0.35"/>
  <cols>
    <col min="1" max="1" width="29" customWidth="1"/>
    <col min="2" max="2" width="51.26953125" customWidth="1"/>
    <col min="3" max="3" width="36.54296875" customWidth="1"/>
  </cols>
  <sheetData>
    <row r="1" spans="1:3" ht="43" x14ac:dyDescent="1.1000000000000001">
      <c r="A1" s="102" t="s">
        <v>157</v>
      </c>
    </row>
    <row r="2" spans="1:3" ht="23.5" x14ac:dyDescent="0.55000000000000004">
      <c r="A2" s="103" t="s">
        <v>160</v>
      </c>
    </row>
    <row r="4" spans="1:3" x14ac:dyDescent="0.35">
      <c r="A4" s="124" t="s">
        <v>161</v>
      </c>
      <c r="B4" s="124" t="s">
        <v>162</v>
      </c>
      <c r="C4" s="124" t="s">
        <v>163</v>
      </c>
    </row>
    <row r="5" spans="1:3" ht="29" x14ac:dyDescent="0.35">
      <c r="A5" s="125" t="s">
        <v>164</v>
      </c>
      <c r="B5" s="123" t="s">
        <v>165</v>
      </c>
      <c r="C5" s="123"/>
    </row>
    <row r="6" spans="1:3" ht="29" x14ac:dyDescent="0.35">
      <c r="A6" s="125" t="s">
        <v>166</v>
      </c>
      <c r="B6" s="123" t="s">
        <v>167</v>
      </c>
      <c r="C6" s="123" t="s">
        <v>168</v>
      </c>
    </row>
    <row r="7" spans="1:3" ht="29" x14ac:dyDescent="0.35">
      <c r="A7" s="125" t="s">
        <v>169</v>
      </c>
      <c r="B7" s="123" t="s">
        <v>170</v>
      </c>
      <c r="C7" s="123" t="s">
        <v>171</v>
      </c>
    </row>
    <row r="8" spans="1:3" x14ac:dyDescent="0.35">
      <c r="A8" s="125" t="s">
        <v>172</v>
      </c>
      <c r="B8" s="123" t="s">
        <v>173</v>
      </c>
      <c r="C8" s="123"/>
    </row>
    <row r="9" spans="1:3" ht="29" x14ac:dyDescent="0.35">
      <c r="A9" s="125" t="s">
        <v>174</v>
      </c>
      <c r="B9" s="123" t="s">
        <v>175</v>
      </c>
      <c r="C9" s="123" t="s">
        <v>176</v>
      </c>
    </row>
    <row r="10" spans="1:3" x14ac:dyDescent="0.35">
      <c r="A10" s="125" t="s">
        <v>177</v>
      </c>
      <c r="B10" s="123" t="s">
        <v>178</v>
      </c>
      <c r="C10" s="123"/>
    </row>
    <row r="11" spans="1:3" ht="29" x14ac:dyDescent="0.35">
      <c r="A11" s="125" t="s">
        <v>179</v>
      </c>
      <c r="B11" s="123" t="s">
        <v>180</v>
      </c>
      <c r="C11" s="123"/>
    </row>
    <row r="12" spans="1:3" ht="29" x14ac:dyDescent="0.35">
      <c r="A12" s="125" t="s">
        <v>181</v>
      </c>
      <c r="B12" s="123" t="s">
        <v>182</v>
      </c>
      <c r="C12" s="123"/>
    </row>
    <row r="13" spans="1:3" ht="29" x14ac:dyDescent="0.35">
      <c r="A13" s="125" t="s">
        <v>183</v>
      </c>
      <c r="B13" s="123" t="s">
        <v>184</v>
      </c>
      <c r="C13" s="123"/>
    </row>
    <row r="14" spans="1:3" ht="29" x14ac:dyDescent="0.35">
      <c r="A14" s="125" t="s">
        <v>185</v>
      </c>
      <c r="B14" s="123" t="s">
        <v>186</v>
      </c>
      <c r="C14" s="123"/>
    </row>
    <row r="15" spans="1:3" x14ac:dyDescent="0.35">
      <c r="A15" s="125" t="s">
        <v>187</v>
      </c>
      <c r="B15" s="123" t="s">
        <v>188</v>
      </c>
      <c r="C15" s="123"/>
    </row>
    <row r="16" spans="1:3" x14ac:dyDescent="0.35">
      <c r="A16" s="125" t="s">
        <v>189</v>
      </c>
      <c r="B16" s="123" t="s">
        <v>190</v>
      </c>
      <c r="C16" s="123"/>
    </row>
    <row r="17" spans="1:3" ht="29" x14ac:dyDescent="0.35">
      <c r="A17" s="125" t="s">
        <v>48</v>
      </c>
      <c r="B17" s="123" t="s">
        <v>191</v>
      </c>
      <c r="C17" s="123"/>
    </row>
    <row r="18" spans="1:3" ht="29" x14ac:dyDescent="0.35">
      <c r="A18" s="125" t="s">
        <v>192</v>
      </c>
      <c r="B18" s="123" t="s">
        <v>193</v>
      </c>
      <c r="C18" s="123" t="s">
        <v>194</v>
      </c>
    </row>
    <row r="19" spans="1:3" ht="29" x14ac:dyDescent="0.35">
      <c r="A19" s="125" t="s">
        <v>195</v>
      </c>
      <c r="B19" s="123" t="s">
        <v>196</v>
      </c>
      <c r="C19" s="123" t="s">
        <v>197</v>
      </c>
    </row>
    <row r="20" spans="1:3" ht="29" x14ac:dyDescent="0.35">
      <c r="A20" s="125" t="s">
        <v>198</v>
      </c>
      <c r="B20" s="123" t="s">
        <v>199</v>
      </c>
      <c r="C20" s="123"/>
    </row>
    <row r="21" spans="1:3" ht="29" x14ac:dyDescent="0.35">
      <c r="A21" s="125" t="s">
        <v>200</v>
      </c>
      <c r="B21" s="123" t="s">
        <v>201</v>
      </c>
      <c r="C21" s="123"/>
    </row>
    <row r="22" spans="1:3" ht="43.5" x14ac:dyDescent="0.35">
      <c r="A22" s="125" t="s">
        <v>202</v>
      </c>
      <c r="B22" s="123" t="s">
        <v>203</v>
      </c>
      <c r="C22" s="123" t="s">
        <v>204</v>
      </c>
    </row>
    <row r="23" spans="1:3" ht="29" x14ac:dyDescent="0.35">
      <c r="A23" s="125" t="s">
        <v>205</v>
      </c>
      <c r="B23" s="123" t="s">
        <v>206</v>
      </c>
      <c r="C23" s="12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52"/>
  <sheetViews>
    <sheetView topLeftCell="A19" zoomScale="120" zoomScaleNormal="120" workbookViewId="0">
      <selection activeCell="B31" sqref="B31"/>
    </sheetView>
  </sheetViews>
  <sheetFormatPr defaultColWidth="9.1796875" defaultRowHeight="14.5" x14ac:dyDescent="0.35"/>
  <cols>
    <col min="1" max="1" width="41.54296875" style="28" customWidth="1"/>
    <col min="2" max="2" width="13.453125" style="28" customWidth="1"/>
    <col min="3" max="16384" width="9.1796875" style="28"/>
  </cols>
  <sheetData>
    <row r="1" spans="1:2" s="2" customFormat="1" ht="43" x14ac:dyDescent="1.1000000000000001">
      <c r="A1" s="102" t="s">
        <v>157</v>
      </c>
    </row>
    <row r="2" spans="1:2" s="2" customFormat="1" ht="23.5" x14ac:dyDescent="0.55000000000000004">
      <c r="A2" s="103" t="s">
        <v>3</v>
      </c>
    </row>
    <row r="3" spans="1:2" s="4" customFormat="1" ht="15" customHeight="1" x14ac:dyDescent="0.35">
      <c r="A3" s="104" t="s">
        <v>4</v>
      </c>
    </row>
    <row r="4" spans="1:2" s="4" customFormat="1" x14ac:dyDescent="0.35">
      <c r="A4" s="4" t="s">
        <v>141</v>
      </c>
      <c r="B4" s="5">
        <v>400000</v>
      </c>
    </row>
    <row r="5" spans="1:2" s="4" customFormat="1" x14ac:dyDescent="0.35">
      <c r="A5" s="4" t="s">
        <v>142</v>
      </c>
      <c r="B5" s="5">
        <v>300000</v>
      </c>
    </row>
    <row r="6" spans="1:2" s="4" customFormat="1" x14ac:dyDescent="0.35">
      <c r="A6" s="6" t="s">
        <v>144</v>
      </c>
      <c r="B6" s="7">
        <v>250000</v>
      </c>
    </row>
    <row r="7" spans="1:2" s="4" customFormat="1" x14ac:dyDescent="0.35">
      <c r="A7" s="8" t="s">
        <v>5</v>
      </c>
      <c r="B7" s="9">
        <f>SUM(B4:B6)</f>
        <v>950000</v>
      </c>
    </row>
    <row r="8" spans="1:2" s="4" customFormat="1" ht="17" x14ac:dyDescent="0.35">
      <c r="A8" s="104" t="s">
        <v>6</v>
      </c>
    </row>
    <row r="9" spans="1:2" s="4" customFormat="1" x14ac:dyDescent="0.35">
      <c r="A9" s="4" t="s">
        <v>7</v>
      </c>
      <c r="B9" s="5">
        <v>175000</v>
      </c>
    </row>
    <row r="10" spans="1:2" s="4" customFormat="1" x14ac:dyDescent="0.35">
      <c r="A10" s="4" t="s">
        <v>8</v>
      </c>
      <c r="B10" s="5">
        <v>110000</v>
      </c>
    </row>
    <row r="11" spans="1:2" s="4" customFormat="1" x14ac:dyDescent="0.35">
      <c r="A11" s="4" t="s">
        <v>9</v>
      </c>
      <c r="B11" s="10">
        <v>100000</v>
      </c>
    </row>
    <row r="12" spans="1:2" s="4" customFormat="1" x14ac:dyDescent="0.35">
      <c r="A12" s="6" t="s">
        <v>10</v>
      </c>
      <c r="B12" s="105">
        <v>350000</v>
      </c>
    </row>
    <row r="13" spans="1:2" s="4" customFormat="1" x14ac:dyDescent="0.35">
      <c r="A13" s="11" t="s">
        <v>11</v>
      </c>
      <c r="B13" s="12">
        <f>SUM(B9:B12)</f>
        <v>735000</v>
      </c>
    </row>
    <row r="14" spans="1:2" s="4" customFormat="1" x14ac:dyDescent="0.35">
      <c r="A14" s="13" t="s">
        <v>12</v>
      </c>
      <c r="B14" s="14">
        <f>B7+B13</f>
        <v>1685000</v>
      </c>
    </row>
    <row r="15" spans="1:2" s="15" customFormat="1" x14ac:dyDescent="0.35">
      <c r="B15" s="16"/>
    </row>
    <row r="16" spans="1:2" s="4" customFormat="1" ht="23.5" x14ac:dyDescent="0.55000000000000004">
      <c r="A16" s="103" t="s">
        <v>13</v>
      </c>
    </row>
    <row r="17" spans="1:2" s="15" customFormat="1" x14ac:dyDescent="0.35">
      <c r="A17" s="17" t="s">
        <v>14</v>
      </c>
      <c r="B17" s="7">
        <f>SUM($B$10:$B$12)</f>
        <v>560000</v>
      </c>
    </row>
    <row r="18" spans="1:2" s="15" customFormat="1" x14ac:dyDescent="0.35">
      <c r="A18" s="15" t="s">
        <v>15</v>
      </c>
      <c r="B18" s="18">
        <f>B9</f>
        <v>175000</v>
      </c>
    </row>
    <row r="19" spans="1:2" s="15" customFormat="1" x14ac:dyDescent="0.35">
      <c r="A19" s="17" t="s">
        <v>16</v>
      </c>
      <c r="B19" s="19">
        <f>B21-B17-B18</f>
        <v>35000</v>
      </c>
    </row>
    <row r="20" spans="1:2" s="15" customFormat="1" x14ac:dyDescent="0.35">
      <c r="A20" s="20" t="s">
        <v>17</v>
      </c>
      <c r="B20" s="21">
        <f>SUM(B18:B19)</f>
        <v>210000</v>
      </c>
    </row>
    <row r="21" spans="1:2" s="15" customFormat="1" x14ac:dyDescent="0.35">
      <c r="A21" s="13" t="s">
        <v>18</v>
      </c>
      <c r="B21" s="22">
        <f>B38</f>
        <v>770000</v>
      </c>
    </row>
    <row r="22" spans="1:2" s="4" customFormat="1" x14ac:dyDescent="0.35"/>
    <row r="23" spans="1:2" s="4" customFormat="1" ht="23.5" x14ac:dyDescent="0.55000000000000004">
      <c r="A23" s="103" t="s">
        <v>19</v>
      </c>
    </row>
    <row r="24" spans="1:2" s="4" customFormat="1" ht="17" x14ac:dyDescent="0.35">
      <c r="A24" s="104" t="s">
        <v>20</v>
      </c>
    </row>
    <row r="25" spans="1:2" s="4" customFormat="1" x14ac:dyDescent="0.35">
      <c r="A25" s="4" t="s">
        <v>21</v>
      </c>
      <c r="B25" s="105">
        <v>660000</v>
      </c>
    </row>
    <row r="26" spans="1:2" s="4" customFormat="1" x14ac:dyDescent="0.35">
      <c r="A26" s="6" t="s">
        <v>22</v>
      </c>
      <c r="B26" s="7">
        <v>0</v>
      </c>
    </row>
    <row r="27" spans="1:2" s="4" customFormat="1" x14ac:dyDescent="0.35">
      <c r="A27" s="13" t="s">
        <v>23</v>
      </c>
      <c r="B27" s="22">
        <f>SUM(B25:B26)</f>
        <v>660000</v>
      </c>
    </row>
    <row r="28" spans="1:2" s="4" customFormat="1" ht="17" x14ac:dyDescent="0.35">
      <c r="A28" s="104" t="s">
        <v>24</v>
      </c>
    </row>
    <row r="29" spans="1:2" s="4" customFormat="1" x14ac:dyDescent="0.35">
      <c r="A29" s="4" t="s">
        <v>25</v>
      </c>
      <c r="B29" s="5">
        <v>420000</v>
      </c>
    </row>
    <row r="30" spans="1:2" s="4" customFormat="1" x14ac:dyDescent="0.35">
      <c r="A30" s="4" t="s">
        <v>26</v>
      </c>
      <c r="B30" s="105">
        <v>250000</v>
      </c>
    </row>
    <row r="31" spans="1:2" s="4" customFormat="1" x14ac:dyDescent="0.35">
      <c r="A31" s="6" t="s">
        <v>143</v>
      </c>
      <c r="B31" s="7">
        <v>390000</v>
      </c>
    </row>
    <row r="32" spans="1:2" s="4" customFormat="1" x14ac:dyDescent="0.35">
      <c r="A32" s="13" t="s">
        <v>27</v>
      </c>
      <c r="B32" s="14">
        <f>SUM(B29:B31)</f>
        <v>1060000</v>
      </c>
    </row>
    <row r="33" spans="1:2" s="15" customFormat="1" x14ac:dyDescent="0.35">
      <c r="B33" s="23"/>
    </row>
    <row r="34" spans="1:2" s="15" customFormat="1" ht="23.5" x14ac:dyDescent="0.55000000000000004">
      <c r="A34" s="103" t="s">
        <v>28</v>
      </c>
      <c r="B34" s="23"/>
    </row>
    <row r="35" spans="1:2" s="15" customFormat="1" x14ac:dyDescent="0.35">
      <c r="A35" s="15" t="s">
        <v>29</v>
      </c>
      <c r="B35" s="18">
        <f>B32</f>
        <v>1060000</v>
      </c>
    </row>
    <row r="36" spans="1:2" s="15" customFormat="1" x14ac:dyDescent="0.35">
      <c r="A36" s="24" t="s">
        <v>30</v>
      </c>
      <c r="B36" s="25">
        <f>-B7</f>
        <v>-950000</v>
      </c>
    </row>
    <row r="37" spans="1:2" s="15" customFormat="1" x14ac:dyDescent="0.35">
      <c r="A37" s="17" t="s">
        <v>31</v>
      </c>
      <c r="B37" s="19">
        <f>B35+B36</f>
        <v>110000</v>
      </c>
    </row>
    <row r="38" spans="1:2" s="15" customFormat="1" x14ac:dyDescent="0.35">
      <c r="A38" s="13" t="s">
        <v>32</v>
      </c>
      <c r="B38" s="14">
        <f>B27+B37</f>
        <v>770000</v>
      </c>
    </row>
    <row r="39" spans="1:2" s="4" customFormat="1" x14ac:dyDescent="0.35"/>
    <row r="40" spans="1:2" s="4" customFormat="1" ht="15" thickBot="1" x14ac:dyDescent="0.4">
      <c r="A40" s="26" t="s">
        <v>33</v>
      </c>
      <c r="B40" s="27">
        <f>B27+B32</f>
        <v>1720000</v>
      </c>
    </row>
    <row r="41" spans="1:2" s="4" customFormat="1" ht="15" thickTop="1" x14ac:dyDescent="0.35"/>
    <row r="42" spans="1:2" s="4" customFormat="1" x14ac:dyDescent="0.35"/>
    <row r="43" spans="1:2" s="4" customFormat="1" x14ac:dyDescent="0.35"/>
    <row r="44" spans="1:2" s="4" customFormat="1" x14ac:dyDescent="0.35"/>
    <row r="45" spans="1:2" s="4" customFormat="1" x14ac:dyDescent="0.35"/>
    <row r="46" spans="1:2" s="4" customFormat="1" x14ac:dyDescent="0.35"/>
    <row r="47" spans="1:2" s="4" customFormat="1" x14ac:dyDescent="0.35"/>
    <row r="48" spans="1:2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</sheetData>
  <conditionalFormatting sqref="B36">
    <cfRule type="cellIs" dxfId="17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0"/>
  <sheetViews>
    <sheetView zoomScale="120" zoomScaleNormal="120" workbookViewId="0">
      <selection activeCell="B11" sqref="B11"/>
    </sheetView>
  </sheetViews>
  <sheetFormatPr defaultColWidth="9.1796875" defaultRowHeight="14.5" x14ac:dyDescent="0.35"/>
  <cols>
    <col min="1" max="1" width="25.54296875" style="28" customWidth="1"/>
    <col min="2" max="2" width="14.81640625" style="28" customWidth="1"/>
    <col min="3" max="3" width="13.7265625" style="28" customWidth="1"/>
    <col min="4" max="4" width="9.54296875" style="28" customWidth="1"/>
    <col min="5" max="5" width="13" style="28" customWidth="1"/>
    <col min="6" max="6" width="15.26953125" style="28" customWidth="1"/>
    <col min="7" max="7" width="11" style="28" customWidth="1"/>
    <col min="8" max="8" width="16.1796875" style="28" customWidth="1"/>
    <col min="9" max="9" width="18.1796875" style="28" customWidth="1"/>
    <col min="10" max="16384" width="9.1796875" style="28"/>
  </cols>
  <sheetData>
    <row r="1" spans="1:9" s="2" customFormat="1" ht="43" x14ac:dyDescent="1.1000000000000001">
      <c r="A1" s="102" t="s">
        <v>159</v>
      </c>
    </row>
    <row r="2" spans="1:9" s="2" customFormat="1" ht="23.5" x14ac:dyDescent="0.55000000000000004">
      <c r="A2" s="103" t="s">
        <v>148</v>
      </c>
    </row>
    <row r="3" spans="1:9" s="2" customFormat="1" ht="15" customHeight="1" x14ac:dyDescent="0.55000000000000004">
      <c r="A3" s="3"/>
    </row>
    <row r="4" spans="1:9" s="2" customFormat="1" ht="15" customHeight="1" x14ac:dyDescent="0.35">
      <c r="A4" s="52" t="s">
        <v>94</v>
      </c>
      <c r="B4" s="122">
        <v>5.7500000000000002E-2</v>
      </c>
    </row>
    <row r="5" spans="1:9" s="2" customFormat="1" ht="15" customHeight="1" x14ac:dyDescent="0.35">
      <c r="A5" s="52"/>
    </row>
    <row r="6" spans="1:9" s="53" customFormat="1" ht="33" customHeight="1" x14ac:dyDescent="0.35">
      <c r="A6" s="114" t="s">
        <v>95</v>
      </c>
      <c r="B6" s="114" t="s">
        <v>96</v>
      </c>
      <c r="C6" s="114" t="s">
        <v>97</v>
      </c>
      <c r="D6" s="114" t="s">
        <v>98</v>
      </c>
      <c r="E6" s="114" t="s">
        <v>99</v>
      </c>
      <c r="F6" s="114" t="s">
        <v>100</v>
      </c>
      <c r="G6" s="114" t="s">
        <v>101</v>
      </c>
      <c r="H6" s="114" t="s">
        <v>102</v>
      </c>
      <c r="I6" s="114" t="s">
        <v>103</v>
      </c>
    </row>
    <row r="7" spans="1:9" s="4" customFormat="1" ht="15" customHeight="1" x14ac:dyDescent="0.35">
      <c r="A7" s="4" t="s">
        <v>104</v>
      </c>
      <c r="B7" s="54">
        <v>750000</v>
      </c>
      <c r="C7" s="55">
        <v>0</v>
      </c>
      <c r="D7" s="5">
        <v>10</v>
      </c>
      <c r="E7" s="56">
        <v>4</v>
      </c>
      <c r="F7" s="56">
        <f>D7*E7</f>
        <v>40</v>
      </c>
      <c r="G7" s="57">
        <f>$B$4</f>
        <v>5.7500000000000002E-2</v>
      </c>
      <c r="H7" s="58">
        <f>G7/E7</f>
        <v>1.4375000000000001E-2</v>
      </c>
      <c r="I7" s="108">
        <f>PMT(H7,F7,B7)</f>
        <v>-24785.228868027541</v>
      </c>
    </row>
    <row r="8" spans="1:9" s="4" customFormat="1" ht="15" customHeight="1" x14ac:dyDescent="0.35">
      <c r="A8" s="4" t="s">
        <v>105</v>
      </c>
      <c r="B8" s="54">
        <v>750000</v>
      </c>
      <c r="C8" s="108">
        <f>FV(H8,F8,I8,B8)</f>
        <v>-149166.295572598</v>
      </c>
      <c r="D8" s="5">
        <v>10</v>
      </c>
      <c r="E8" s="56">
        <v>4</v>
      </c>
      <c r="F8" s="56">
        <f>D8*E8</f>
        <v>40</v>
      </c>
      <c r="G8" s="57">
        <f>$B$4</f>
        <v>5.7500000000000002E-2</v>
      </c>
      <c r="H8" s="58">
        <f>G8/E8</f>
        <v>1.4375000000000001E-2</v>
      </c>
      <c r="I8" s="59">
        <v>-22000</v>
      </c>
    </row>
    <row r="9" spans="1:9" s="4" customFormat="1" ht="15" customHeight="1" x14ac:dyDescent="0.35">
      <c r="A9" s="4" t="s">
        <v>106</v>
      </c>
      <c r="B9" s="54">
        <v>750000</v>
      </c>
      <c r="C9" s="55">
        <v>0</v>
      </c>
      <c r="D9" s="109">
        <f>F9/E9</f>
        <v>11.796259445085424</v>
      </c>
      <c r="E9" s="56">
        <v>4</v>
      </c>
      <c r="F9" s="109">
        <f>NPER(H9,I9,B9,C9)</f>
        <v>47.185037780341695</v>
      </c>
      <c r="G9" s="57">
        <f>$B$4</f>
        <v>5.7500000000000002E-2</v>
      </c>
      <c r="H9" s="58">
        <f>G9/E9</f>
        <v>1.4375000000000001E-2</v>
      </c>
      <c r="I9" s="59">
        <v>-22000</v>
      </c>
    </row>
    <row r="10" spans="1:9" s="4" customFormat="1" ht="15" customHeight="1" x14ac:dyDescent="0.35">
      <c r="A10" s="4" t="s">
        <v>107</v>
      </c>
      <c r="B10" s="108">
        <f>PV(H10,F10,I10)</f>
        <v>665719.08969881351</v>
      </c>
      <c r="C10" s="55">
        <v>0</v>
      </c>
      <c r="D10" s="5">
        <v>10</v>
      </c>
      <c r="E10" s="56">
        <v>4</v>
      </c>
      <c r="F10" s="56">
        <f>D10*E10</f>
        <v>40</v>
      </c>
      <c r="G10" s="57">
        <f>$B$4</f>
        <v>5.7500000000000002E-2</v>
      </c>
      <c r="H10" s="58">
        <f>G10/E10</f>
        <v>1.4375000000000001E-2</v>
      </c>
      <c r="I10" s="59">
        <v>-22000</v>
      </c>
    </row>
    <row r="11" spans="1:9" s="4" customFormat="1" x14ac:dyDescent="0.35">
      <c r="E11" s="15"/>
      <c r="F11" s="15"/>
    </row>
    <row r="12" spans="1:9" s="4" customFormat="1" x14ac:dyDescent="0.35"/>
    <row r="13" spans="1:9" s="4" customFormat="1" x14ac:dyDescent="0.35"/>
    <row r="14" spans="1:9" s="4" customFormat="1" x14ac:dyDescent="0.35"/>
    <row r="15" spans="1:9" s="4" customFormat="1" x14ac:dyDescent="0.35"/>
    <row r="16" spans="1:9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  <row r="27" s="4" customFormat="1" x14ac:dyDescent="0.35"/>
    <row r="28" s="4" customFormat="1" x14ac:dyDescent="0.35"/>
    <row r="29" s="4" customFormat="1" x14ac:dyDescent="0.35"/>
    <row r="30" s="4" customFormat="1" x14ac:dyDescent="0.35"/>
    <row r="31" s="4" customFormat="1" x14ac:dyDescent="0.35"/>
    <row r="32" s="4" customFormat="1" x14ac:dyDescent="0.35"/>
    <row r="33" s="4" customFormat="1" x14ac:dyDescent="0.35"/>
    <row r="34" s="4" customFormat="1" x14ac:dyDescent="0.35"/>
    <row r="35" s="4" customFormat="1" x14ac:dyDescent="0.35"/>
    <row r="36" s="4" customFormat="1" x14ac:dyDescent="0.35"/>
    <row r="37" s="4" customFormat="1" x14ac:dyDescent="0.35"/>
    <row r="38" s="4" customFormat="1" x14ac:dyDescent="0.35"/>
    <row r="39" s="4" customFormat="1" x14ac:dyDescent="0.35"/>
    <row r="40" s="4" customFormat="1" x14ac:dyDescent="0.35"/>
    <row r="41" s="4" customFormat="1" x14ac:dyDescent="0.35"/>
    <row r="42" s="4" customFormat="1" x14ac:dyDescent="0.35"/>
    <row r="43" s="4" customFormat="1" x14ac:dyDescent="0.35"/>
    <row r="44" s="4" customFormat="1" x14ac:dyDescent="0.35"/>
    <row r="45" s="4" customFormat="1" x14ac:dyDescent="0.35"/>
    <row r="46" s="4" customFormat="1" x14ac:dyDescent="0.35"/>
    <row r="47" s="4" customFormat="1" x14ac:dyDescent="0.35"/>
    <row r="48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</sheetData>
  <conditionalFormatting sqref="C7:C8 I7:I8 E7:F7 F9">
    <cfRule type="cellIs" dxfId="16" priority="11" operator="lessThan">
      <formula>0</formula>
    </cfRule>
  </conditionalFormatting>
  <conditionalFormatting sqref="E9">
    <cfRule type="cellIs" dxfId="15" priority="9" operator="lessThan">
      <formula>0</formula>
    </cfRule>
  </conditionalFormatting>
  <conditionalFormatting sqref="D9">
    <cfRule type="cellIs" dxfId="14" priority="6" operator="lessThan">
      <formula>0</formula>
    </cfRule>
  </conditionalFormatting>
  <conditionalFormatting sqref="E8:F8">
    <cfRule type="cellIs" dxfId="13" priority="5" operator="lessThan">
      <formula>0</formula>
    </cfRule>
  </conditionalFormatting>
  <conditionalFormatting sqref="C9">
    <cfRule type="cellIs" dxfId="12" priority="4" operator="lessThan">
      <formula>0</formula>
    </cfRule>
  </conditionalFormatting>
  <conditionalFormatting sqref="I9">
    <cfRule type="cellIs" dxfId="11" priority="3" operator="lessThan">
      <formula>0</formula>
    </cfRule>
  </conditionalFormatting>
  <conditionalFormatting sqref="C10 E10:F10">
    <cfRule type="cellIs" dxfId="10" priority="2" operator="lessThan">
      <formula>0</formula>
    </cfRule>
  </conditionalFormatting>
  <conditionalFormatting sqref="I10">
    <cfRule type="cellIs" dxfId="9" priority="1" operator="lessThan">
      <formula>0</formula>
    </cfRule>
  </conditionalFormatting>
  <pageMargins left="0.7" right="0.7" top="0.75" bottom="0.75" header="0.3" footer="0.3"/>
  <pageSetup scale="65" orientation="portrait" r:id="rId1"/>
  <headerFooter>
    <oddFooter>&amp;R&amp;F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opLeftCell="A50" zoomScale="120" zoomScaleNormal="120" workbookViewId="0">
      <selection activeCell="B56" sqref="B56"/>
    </sheetView>
  </sheetViews>
  <sheetFormatPr defaultRowHeight="14.5" x14ac:dyDescent="0.35"/>
  <cols>
    <col min="1" max="1" width="32.7265625" customWidth="1"/>
    <col min="2" max="2" width="14" customWidth="1"/>
    <col min="3" max="3" width="14.54296875" customWidth="1"/>
    <col min="4" max="5" width="18.7265625" customWidth="1"/>
    <col min="6" max="6" width="13.453125" customWidth="1"/>
    <col min="7" max="7" width="20.1796875" customWidth="1"/>
    <col min="8" max="8" width="10.81640625" customWidth="1"/>
    <col min="9" max="9" width="12" customWidth="1"/>
  </cols>
  <sheetData>
    <row r="1" spans="1:7" ht="43" x14ac:dyDescent="1.1000000000000001">
      <c r="A1" s="102" t="s">
        <v>159</v>
      </c>
      <c r="B1" s="1"/>
    </row>
    <row r="2" spans="1:7" ht="23.5" x14ac:dyDescent="0.55000000000000004">
      <c r="A2" s="103" t="s">
        <v>112</v>
      </c>
    </row>
    <row r="3" spans="1:7" ht="15" customHeight="1" x14ac:dyDescent="0.55000000000000004">
      <c r="A3" s="3"/>
    </row>
    <row r="4" spans="1:7" ht="29" x14ac:dyDescent="0.35">
      <c r="A4" s="114" t="s">
        <v>108</v>
      </c>
      <c r="B4" s="114" t="s">
        <v>109</v>
      </c>
      <c r="C4" s="114" t="s">
        <v>99</v>
      </c>
      <c r="D4" s="114" t="s">
        <v>110</v>
      </c>
      <c r="E4" s="114" t="s">
        <v>98</v>
      </c>
      <c r="F4" s="114" t="s">
        <v>100</v>
      </c>
      <c r="G4" s="114" t="s">
        <v>111</v>
      </c>
    </row>
    <row r="5" spans="1:7" ht="15.75" customHeight="1" x14ac:dyDescent="0.35">
      <c r="A5" s="126">
        <f>'Startup Plan'!B25</f>
        <v>660000</v>
      </c>
      <c r="B5" s="61">
        <v>5.7500000000000002E-2</v>
      </c>
      <c r="C5">
        <v>4</v>
      </c>
      <c r="D5" s="62">
        <f>B5/4</f>
        <v>1.4375000000000001E-2</v>
      </c>
      <c r="E5">
        <v>10</v>
      </c>
      <c r="F5">
        <f>C5*E5</f>
        <v>40</v>
      </c>
      <c r="G5" s="127">
        <f>PMT(D5,F5,A5)</f>
        <v>-21811.00140386424</v>
      </c>
    </row>
    <row r="6" spans="1:7" ht="15.75" customHeight="1" x14ac:dyDescent="0.35"/>
    <row r="7" spans="1:7" ht="17" x14ac:dyDescent="0.35">
      <c r="A7" s="104" t="s">
        <v>112</v>
      </c>
      <c r="F7" s="60"/>
    </row>
    <row r="8" spans="1:7" ht="29" x14ac:dyDescent="0.35">
      <c r="A8" s="114" t="s">
        <v>113</v>
      </c>
      <c r="B8" s="114" t="s">
        <v>114</v>
      </c>
      <c r="C8" s="114" t="s">
        <v>115</v>
      </c>
      <c r="D8" s="114" t="s">
        <v>208</v>
      </c>
      <c r="E8" s="114" t="s">
        <v>209</v>
      </c>
      <c r="F8" s="114" t="s">
        <v>116</v>
      </c>
    </row>
    <row r="9" spans="1:7" x14ac:dyDescent="0.35">
      <c r="A9" s="63">
        <v>1</v>
      </c>
      <c r="B9" s="63">
        <v>1</v>
      </c>
      <c r="C9" s="64">
        <f>A5</f>
        <v>660000</v>
      </c>
      <c r="D9" s="64">
        <f>IPMT($D$5,B9,$F$5,$A$5)</f>
        <v>-9487.5</v>
      </c>
      <c r="E9" s="64">
        <f>PPMT($D$5,B9,$F$5,$A$5)</f>
        <v>-12323.501403864238</v>
      </c>
      <c r="F9" s="64">
        <f>D9+E9</f>
        <v>-21811.00140386424</v>
      </c>
    </row>
    <row r="10" spans="1:7" x14ac:dyDescent="0.35">
      <c r="A10" s="63">
        <v>1</v>
      </c>
      <c r="B10" s="63">
        <v>2</v>
      </c>
      <c r="C10" s="65">
        <f>C9+E9</f>
        <v>647676.49859613576</v>
      </c>
      <c r="D10" s="65">
        <f t="shared" ref="D10:D48" si="0">IPMT($D$5,B10,$F$5,$A$5)</f>
        <v>-9310.3496673194513</v>
      </c>
      <c r="E10" s="65">
        <f t="shared" ref="E10:E48" si="1">PPMT($D$5,B10,$F$5,$A$5)</f>
        <v>-12500.651736544787</v>
      </c>
      <c r="F10" s="65">
        <f>D10+E10</f>
        <v>-21811.00140386424</v>
      </c>
    </row>
    <row r="11" spans="1:7" x14ac:dyDescent="0.35">
      <c r="A11" s="63">
        <v>1</v>
      </c>
      <c r="B11" s="63">
        <v>3</v>
      </c>
      <c r="C11" s="65">
        <f t="shared" ref="C11:C48" si="2">C10+E10</f>
        <v>635175.84685959097</v>
      </c>
      <c r="D11" s="65">
        <f t="shared" si="0"/>
        <v>-9130.6527986066212</v>
      </c>
      <c r="E11" s="65">
        <f t="shared" si="1"/>
        <v>-12680.348605257619</v>
      </c>
      <c r="F11" s="65">
        <f t="shared" ref="F11:F48" si="3">D11+E11</f>
        <v>-21811.00140386424</v>
      </c>
    </row>
    <row r="12" spans="1:7" x14ac:dyDescent="0.35">
      <c r="A12" s="66">
        <v>1</v>
      </c>
      <c r="B12" s="66">
        <v>4</v>
      </c>
      <c r="C12" s="67">
        <f t="shared" si="2"/>
        <v>622495.49825433339</v>
      </c>
      <c r="D12" s="67">
        <f t="shared" si="0"/>
        <v>-8948.3727874060423</v>
      </c>
      <c r="E12" s="67">
        <f t="shared" si="1"/>
        <v>-12862.628616458196</v>
      </c>
      <c r="F12" s="67">
        <f t="shared" si="3"/>
        <v>-21811.00140386424</v>
      </c>
    </row>
    <row r="13" spans="1:7" x14ac:dyDescent="0.35">
      <c r="A13" s="63">
        <v>2</v>
      </c>
      <c r="B13" s="63">
        <v>5</v>
      </c>
      <c r="C13" s="65">
        <f t="shared" si="2"/>
        <v>609632.86963787524</v>
      </c>
      <c r="D13" s="65">
        <f t="shared" si="0"/>
        <v>-8763.4725010444563</v>
      </c>
      <c r="E13" s="65">
        <f t="shared" si="1"/>
        <v>-13047.528902819782</v>
      </c>
      <c r="F13" s="65">
        <f t="shared" si="3"/>
        <v>-21811.00140386424</v>
      </c>
    </row>
    <row r="14" spans="1:7" x14ac:dyDescent="0.35">
      <c r="A14" s="63">
        <v>2</v>
      </c>
      <c r="B14" s="63">
        <v>6</v>
      </c>
      <c r="C14" s="65">
        <f t="shared" si="2"/>
        <v>596585.34073505551</v>
      </c>
      <c r="D14" s="65">
        <f t="shared" si="0"/>
        <v>-8575.9142730664207</v>
      </c>
      <c r="E14" s="65">
        <f t="shared" si="1"/>
        <v>-13235.08713079782</v>
      </c>
      <c r="F14" s="65">
        <f t="shared" si="3"/>
        <v>-21811.00140386424</v>
      </c>
    </row>
    <row r="15" spans="1:7" x14ac:dyDescent="0.35">
      <c r="A15" s="63">
        <v>2</v>
      </c>
      <c r="B15" s="63">
        <v>7</v>
      </c>
      <c r="C15" s="65">
        <f t="shared" si="2"/>
        <v>583350.25360425771</v>
      </c>
      <c r="D15" s="65">
        <f t="shared" si="0"/>
        <v>-8385.6598955612008</v>
      </c>
      <c r="E15" s="65">
        <f t="shared" si="1"/>
        <v>-13425.341508303038</v>
      </c>
      <c r="F15" s="65">
        <f t="shared" si="3"/>
        <v>-21811.00140386424</v>
      </c>
    </row>
    <row r="16" spans="1:7" x14ac:dyDescent="0.35">
      <c r="A16" s="66">
        <v>2</v>
      </c>
      <c r="B16" s="66">
        <v>8</v>
      </c>
      <c r="C16" s="67">
        <f t="shared" si="2"/>
        <v>569924.91209595464</v>
      </c>
      <c r="D16" s="67">
        <f t="shared" si="0"/>
        <v>-8192.6706113793443</v>
      </c>
      <c r="E16" s="67">
        <f t="shared" si="1"/>
        <v>-13618.330792484892</v>
      </c>
      <c r="F16" s="67">
        <f t="shared" si="3"/>
        <v>-21811.001403864237</v>
      </c>
    </row>
    <row r="17" spans="1:6" x14ac:dyDescent="0.35">
      <c r="A17" s="63">
        <v>3</v>
      </c>
      <c r="B17" s="63">
        <v>9</v>
      </c>
      <c r="C17" s="65">
        <f t="shared" si="2"/>
        <v>556306.58130346972</v>
      </c>
      <c r="D17" s="65">
        <f t="shared" si="0"/>
        <v>-7996.907106237376</v>
      </c>
      <c r="E17" s="65">
        <f t="shared" si="1"/>
        <v>-13814.094297626865</v>
      </c>
      <c r="F17" s="65">
        <f t="shared" si="3"/>
        <v>-21811.00140386424</v>
      </c>
    </row>
    <row r="18" spans="1:6" x14ac:dyDescent="0.35">
      <c r="A18" s="63">
        <v>3</v>
      </c>
      <c r="B18" s="63">
        <v>10</v>
      </c>
      <c r="C18" s="65">
        <f t="shared" si="2"/>
        <v>542492.48700584285</v>
      </c>
      <c r="D18" s="65">
        <f t="shared" si="0"/>
        <v>-7798.3295007089901</v>
      </c>
      <c r="E18" s="65">
        <f t="shared" si="1"/>
        <v>-14012.671903155249</v>
      </c>
      <c r="F18" s="65">
        <f t="shared" si="3"/>
        <v>-21811.00140386424</v>
      </c>
    </row>
    <row r="19" spans="1:6" x14ac:dyDescent="0.35">
      <c r="A19" s="63">
        <v>3</v>
      </c>
      <c r="B19" s="63">
        <v>11</v>
      </c>
      <c r="C19" s="65">
        <f t="shared" si="2"/>
        <v>528479.81510268757</v>
      </c>
      <c r="D19" s="65">
        <f t="shared" si="0"/>
        <v>-7596.8973421011306</v>
      </c>
      <c r="E19" s="65">
        <f t="shared" si="1"/>
        <v>-14214.104061763106</v>
      </c>
      <c r="F19" s="65">
        <f t="shared" si="3"/>
        <v>-21811.001403864237</v>
      </c>
    </row>
    <row r="20" spans="1:6" x14ac:dyDescent="0.35">
      <c r="A20" s="66">
        <v>3</v>
      </c>
      <c r="B20" s="66">
        <v>12</v>
      </c>
      <c r="C20" s="67">
        <f t="shared" si="2"/>
        <v>514265.71104092448</v>
      </c>
      <c r="D20" s="67">
        <f t="shared" si="0"/>
        <v>-7392.5695962132877</v>
      </c>
      <c r="E20" s="67">
        <f t="shared" si="1"/>
        <v>-14418.431807650952</v>
      </c>
      <c r="F20" s="67">
        <f t="shared" si="3"/>
        <v>-21811.00140386424</v>
      </c>
    </row>
    <row r="21" spans="1:6" x14ac:dyDescent="0.35">
      <c r="A21" s="63">
        <v>4</v>
      </c>
      <c r="B21" s="63">
        <v>13</v>
      </c>
      <c r="C21" s="65">
        <f t="shared" si="2"/>
        <v>499847.27923327353</v>
      </c>
      <c r="D21" s="65">
        <f t="shared" si="0"/>
        <v>-7185.3046389783058</v>
      </c>
      <c r="E21" s="65">
        <f t="shared" si="1"/>
        <v>-14625.696764885934</v>
      </c>
      <c r="F21" s="65">
        <f t="shared" si="3"/>
        <v>-21811.00140386424</v>
      </c>
    </row>
    <row r="22" spans="1:6" x14ac:dyDescent="0.35">
      <c r="A22" s="63">
        <v>4</v>
      </c>
      <c r="B22" s="63">
        <v>14</v>
      </c>
      <c r="C22" s="65">
        <f t="shared" si="2"/>
        <v>485221.58246838761</v>
      </c>
      <c r="D22" s="65">
        <f t="shared" si="0"/>
        <v>-6975.0602479830704</v>
      </c>
      <c r="E22" s="65">
        <f t="shared" si="1"/>
        <v>-14835.94115588117</v>
      </c>
      <c r="F22" s="65">
        <f t="shared" si="3"/>
        <v>-21811.00140386424</v>
      </c>
    </row>
    <row r="23" spans="1:6" x14ac:dyDescent="0.35">
      <c r="A23" s="63">
        <v>4</v>
      </c>
      <c r="B23" s="63">
        <v>15</v>
      </c>
      <c r="C23" s="65">
        <f t="shared" si="2"/>
        <v>470385.64131250646</v>
      </c>
      <c r="D23" s="65">
        <f t="shared" si="0"/>
        <v>-6761.7935938672781</v>
      </c>
      <c r="E23" s="65">
        <f t="shared" si="1"/>
        <v>-15049.20780999696</v>
      </c>
      <c r="F23" s="65">
        <f t="shared" si="3"/>
        <v>-21811.00140386424</v>
      </c>
    </row>
    <row r="24" spans="1:6" x14ac:dyDescent="0.35">
      <c r="A24" s="66">
        <v>4</v>
      </c>
      <c r="B24" s="66">
        <v>16</v>
      </c>
      <c r="C24" s="67">
        <f t="shared" si="2"/>
        <v>455336.43350250949</v>
      </c>
      <c r="D24" s="67">
        <f t="shared" si="0"/>
        <v>-6545.4612315985714</v>
      </c>
      <c r="E24" s="67">
        <f t="shared" si="1"/>
        <v>-15265.540172265668</v>
      </c>
      <c r="F24" s="67">
        <f t="shared" si="3"/>
        <v>-21811.00140386424</v>
      </c>
    </row>
    <row r="25" spans="1:6" x14ac:dyDescent="0.35">
      <c r="A25" s="63">
        <v>5</v>
      </c>
      <c r="B25" s="63">
        <v>17</v>
      </c>
      <c r="C25" s="65">
        <f t="shared" si="2"/>
        <v>440070.89333024382</v>
      </c>
      <c r="D25" s="65">
        <f t="shared" si="0"/>
        <v>-6326.0190916222527</v>
      </c>
      <c r="E25" s="65">
        <f t="shared" si="1"/>
        <v>-15484.982312241986</v>
      </c>
      <c r="F25" s="65">
        <f t="shared" si="3"/>
        <v>-21811.00140386424</v>
      </c>
    </row>
    <row r="26" spans="1:6" x14ac:dyDescent="0.35">
      <c r="A26" s="63">
        <v>5</v>
      </c>
      <c r="B26" s="63">
        <v>18</v>
      </c>
      <c r="C26" s="65">
        <f t="shared" si="2"/>
        <v>424585.91101800185</v>
      </c>
      <c r="D26" s="65">
        <f t="shared" si="0"/>
        <v>-6103.4224708837755</v>
      </c>
      <c r="E26" s="65">
        <f t="shared" si="1"/>
        <v>-15707.578932980467</v>
      </c>
      <c r="F26" s="65">
        <f t="shared" si="3"/>
        <v>-21811.00140386424</v>
      </c>
    </row>
    <row r="27" spans="1:6" x14ac:dyDescent="0.35">
      <c r="A27" s="63">
        <v>5</v>
      </c>
      <c r="B27" s="63">
        <v>19</v>
      </c>
      <c r="C27" s="65">
        <f t="shared" si="2"/>
        <v>408878.33208502136</v>
      </c>
      <c r="D27" s="65">
        <f t="shared" si="0"/>
        <v>-5877.6260237221804</v>
      </c>
      <c r="E27" s="65">
        <f t="shared" si="1"/>
        <v>-15933.375380142057</v>
      </c>
      <c r="F27" s="65">
        <f t="shared" si="3"/>
        <v>-21811.001403864237</v>
      </c>
    </row>
    <row r="28" spans="1:6" x14ac:dyDescent="0.35">
      <c r="A28" s="66">
        <v>5</v>
      </c>
      <c r="B28" s="66">
        <v>20</v>
      </c>
      <c r="C28" s="67">
        <f t="shared" si="2"/>
        <v>392944.9567048793</v>
      </c>
      <c r="D28" s="67">
        <f t="shared" si="0"/>
        <v>-5648.5837526326386</v>
      </c>
      <c r="E28" s="67">
        <f t="shared" si="1"/>
        <v>-16162.417651231601</v>
      </c>
      <c r="F28" s="67">
        <f t="shared" si="3"/>
        <v>-21811.00140386424</v>
      </c>
    </row>
    <row r="29" spans="1:6" x14ac:dyDescent="0.35">
      <c r="A29" s="63">
        <v>6</v>
      </c>
      <c r="B29" s="63">
        <v>21</v>
      </c>
      <c r="C29" s="65">
        <f t="shared" si="2"/>
        <v>376782.53905364772</v>
      </c>
      <c r="D29" s="65">
        <f t="shared" si="0"/>
        <v>-5416.2489988961843</v>
      </c>
      <c r="E29" s="65">
        <f t="shared" si="1"/>
        <v>-16394.752404968054</v>
      </c>
      <c r="F29" s="65">
        <f t="shared" si="3"/>
        <v>-21811.00140386424</v>
      </c>
    </row>
    <row r="30" spans="1:6" x14ac:dyDescent="0.35">
      <c r="A30" s="63">
        <v>6</v>
      </c>
      <c r="B30" s="63">
        <v>22</v>
      </c>
      <c r="C30" s="65">
        <f t="shared" si="2"/>
        <v>360387.78664867964</v>
      </c>
      <c r="D30" s="65">
        <f t="shared" si="0"/>
        <v>-5180.5744330747684</v>
      </c>
      <c r="E30" s="65">
        <f t="shared" si="1"/>
        <v>-16630.426970789471</v>
      </c>
      <c r="F30" s="65">
        <f t="shared" si="3"/>
        <v>-21811.00140386424</v>
      </c>
    </row>
    <row r="31" spans="1:6" x14ac:dyDescent="0.35">
      <c r="A31" s="63">
        <v>6</v>
      </c>
      <c r="B31" s="63">
        <v>23</v>
      </c>
      <c r="C31" s="65">
        <f t="shared" si="2"/>
        <v>343757.3596778902</v>
      </c>
      <c r="D31" s="65">
        <f t="shared" si="0"/>
        <v>-4941.5120453696691</v>
      </c>
      <c r="E31" s="65">
        <f t="shared" si="1"/>
        <v>-16869.489358494568</v>
      </c>
      <c r="F31" s="65">
        <f t="shared" si="3"/>
        <v>-21811.001403864237</v>
      </c>
    </row>
    <row r="32" spans="1:6" x14ac:dyDescent="0.35">
      <c r="A32" s="66">
        <v>6</v>
      </c>
      <c r="B32" s="66">
        <v>24</v>
      </c>
      <c r="C32" s="67">
        <f t="shared" si="2"/>
        <v>326887.87031939562</v>
      </c>
      <c r="D32" s="67">
        <f t="shared" si="0"/>
        <v>-4699.0131358413109</v>
      </c>
      <c r="E32" s="67">
        <f t="shared" si="1"/>
        <v>-17111.988268022928</v>
      </c>
      <c r="F32" s="67">
        <f t="shared" si="3"/>
        <v>-21811.00140386424</v>
      </c>
    </row>
    <row r="33" spans="1:6" x14ac:dyDescent="0.35">
      <c r="A33" s="63">
        <v>7</v>
      </c>
      <c r="B33" s="63">
        <v>25</v>
      </c>
      <c r="C33" s="65">
        <f t="shared" si="2"/>
        <v>309775.88205137267</v>
      </c>
      <c r="D33" s="65">
        <f t="shared" si="0"/>
        <v>-4453.0283044884809</v>
      </c>
      <c r="E33" s="65">
        <f t="shared" si="1"/>
        <v>-17357.973099375762</v>
      </c>
      <c r="F33" s="65">
        <f t="shared" si="3"/>
        <v>-21811.001403864244</v>
      </c>
    </row>
    <row r="34" spans="1:6" x14ac:dyDescent="0.35">
      <c r="A34" s="63">
        <v>7</v>
      </c>
      <c r="B34" s="63">
        <v>26</v>
      </c>
      <c r="C34" s="65">
        <f t="shared" si="2"/>
        <v>292417.90895199688</v>
      </c>
      <c r="D34" s="65">
        <f t="shared" si="0"/>
        <v>-4203.5074411849528</v>
      </c>
      <c r="E34" s="65">
        <f t="shared" si="1"/>
        <v>-17607.493962679284</v>
      </c>
      <c r="F34" s="65">
        <f t="shared" si="3"/>
        <v>-21811.001403864237</v>
      </c>
    </row>
    <row r="35" spans="1:6" x14ac:dyDescent="0.35">
      <c r="A35" s="63">
        <v>7</v>
      </c>
      <c r="B35" s="63">
        <v>27</v>
      </c>
      <c r="C35" s="65">
        <f t="shared" si="2"/>
        <v>274810.41498931759</v>
      </c>
      <c r="D35" s="65">
        <f t="shared" si="0"/>
        <v>-3950.399715471438</v>
      </c>
      <c r="E35" s="65">
        <f t="shared" si="1"/>
        <v>-17860.601688392799</v>
      </c>
      <c r="F35" s="65">
        <f t="shared" si="3"/>
        <v>-21811.001403864237</v>
      </c>
    </row>
    <row r="36" spans="1:6" x14ac:dyDescent="0.35">
      <c r="A36" s="66">
        <v>7</v>
      </c>
      <c r="B36" s="66">
        <v>28</v>
      </c>
      <c r="C36" s="67">
        <f t="shared" si="2"/>
        <v>256949.81330092478</v>
      </c>
      <c r="D36" s="67">
        <f t="shared" si="0"/>
        <v>-3693.6535662007918</v>
      </c>
      <c r="E36" s="67">
        <f t="shared" si="1"/>
        <v>-18117.347837663448</v>
      </c>
      <c r="F36" s="67">
        <f t="shared" si="3"/>
        <v>-21811.00140386424</v>
      </c>
    </row>
    <row r="37" spans="1:6" x14ac:dyDescent="0.35">
      <c r="A37" s="63">
        <v>8</v>
      </c>
      <c r="B37" s="63">
        <v>29</v>
      </c>
      <c r="C37" s="65">
        <f t="shared" si="2"/>
        <v>238832.46546326132</v>
      </c>
      <c r="D37" s="65">
        <f t="shared" si="0"/>
        <v>-3433.2166910343794</v>
      </c>
      <c r="E37" s="65">
        <f t="shared" si="1"/>
        <v>-18377.78471282986</v>
      </c>
      <c r="F37" s="65">
        <f t="shared" si="3"/>
        <v>-21811.00140386424</v>
      </c>
    </row>
    <row r="38" spans="1:6" x14ac:dyDescent="0.35">
      <c r="A38" s="63">
        <v>8</v>
      </c>
      <c r="B38" s="63">
        <v>30</v>
      </c>
      <c r="C38" s="65">
        <f t="shared" si="2"/>
        <v>220454.68075043146</v>
      </c>
      <c r="D38" s="65">
        <f t="shared" si="0"/>
        <v>-3169.0360357874511</v>
      </c>
      <c r="E38" s="65">
        <f t="shared" si="1"/>
        <v>-18641.965368076791</v>
      </c>
      <c r="F38" s="65">
        <f t="shared" si="3"/>
        <v>-21811.001403864244</v>
      </c>
    </row>
    <row r="39" spans="1:6" x14ac:dyDescent="0.35">
      <c r="A39" s="63">
        <v>8</v>
      </c>
      <c r="B39" s="63">
        <v>31</v>
      </c>
      <c r="C39" s="65">
        <f t="shared" si="2"/>
        <v>201812.71538235468</v>
      </c>
      <c r="D39" s="65">
        <f t="shared" si="0"/>
        <v>-2901.057783621347</v>
      </c>
      <c r="E39" s="65">
        <f t="shared" si="1"/>
        <v>-18909.943620242891</v>
      </c>
      <c r="F39" s="65">
        <f t="shared" si="3"/>
        <v>-21811.00140386424</v>
      </c>
    </row>
    <row r="40" spans="1:6" x14ac:dyDescent="0.35">
      <c r="A40" s="66">
        <v>8</v>
      </c>
      <c r="B40" s="66">
        <v>32</v>
      </c>
      <c r="C40" s="67">
        <f t="shared" si="2"/>
        <v>182902.77176211181</v>
      </c>
      <c r="D40" s="67">
        <f t="shared" si="0"/>
        <v>-2629.2273440803547</v>
      </c>
      <c r="E40" s="67">
        <f t="shared" si="1"/>
        <v>-19181.774059783882</v>
      </c>
      <c r="F40" s="67">
        <f t="shared" si="3"/>
        <v>-21811.001403864237</v>
      </c>
    </row>
    <row r="41" spans="1:6" x14ac:dyDescent="0.35">
      <c r="A41" s="63">
        <v>9</v>
      </c>
      <c r="B41" s="63">
        <v>33</v>
      </c>
      <c r="C41" s="65">
        <f t="shared" si="2"/>
        <v>163720.99770232794</v>
      </c>
      <c r="D41" s="65">
        <f t="shared" si="0"/>
        <v>-2353.4893419709615</v>
      </c>
      <c r="E41" s="65">
        <f t="shared" si="1"/>
        <v>-19457.512061893278</v>
      </c>
      <c r="F41" s="65">
        <f t="shared" si="3"/>
        <v>-21811.00140386424</v>
      </c>
    </row>
    <row r="42" spans="1:6" x14ac:dyDescent="0.35">
      <c r="A42" s="63">
        <v>9</v>
      </c>
      <c r="B42" s="63">
        <v>34</v>
      </c>
      <c r="C42" s="65">
        <f t="shared" si="2"/>
        <v>144263.48564043466</v>
      </c>
      <c r="D42" s="65">
        <f t="shared" si="0"/>
        <v>-2073.7876060812455</v>
      </c>
      <c r="E42" s="65">
        <f t="shared" si="1"/>
        <v>-19737.213797782992</v>
      </c>
      <c r="F42" s="65">
        <f t="shared" si="3"/>
        <v>-21811.001403864237</v>
      </c>
    </row>
    <row r="43" spans="1:6" x14ac:dyDescent="0.35">
      <c r="A43" s="63">
        <v>9</v>
      </c>
      <c r="B43" s="63">
        <v>35</v>
      </c>
      <c r="C43" s="65">
        <f t="shared" si="2"/>
        <v>124526.27184265168</v>
      </c>
      <c r="D43" s="65">
        <f t="shared" si="0"/>
        <v>-1790.065157738115</v>
      </c>
      <c r="E43" s="65">
        <f t="shared" si="1"/>
        <v>-20020.936246126123</v>
      </c>
      <c r="F43" s="65">
        <f t="shared" si="3"/>
        <v>-21811.001403864237</v>
      </c>
    </row>
    <row r="44" spans="1:6" x14ac:dyDescent="0.35">
      <c r="A44" s="66">
        <v>9</v>
      </c>
      <c r="B44" s="66">
        <v>36</v>
      </c>
      <c r="C44" s="67">
        <f t="shared" si="2"/>
        <v>104505.33559652556</v>
      </c>
      <c r="D44" s="67">
        <f t="shared" si="0"/>
        <v>-1502.2641992000522</v>
      </c>
      <c r="E44" s="67">
        <f t="shared" si="1"/>
        <v>-20308.737204664187</v>
      </c>
      <c r="F44" s="67">
        <f t="shared" si="3"/>
        <v>-21811.00140386424</v>
      </c>
    </row>
    <row r="45" spans="1:6" x14ac:dyDescent="0.35">
      <c r="A45" s="63">
        <v>10</v>
      </c>
      <c r="B45" s="63">
        <v>37</v>
      </c>
      <c r="C45" s="65">
        <f t="shared" si="2"/>
        <v>84196.598391861378</v>
      </c>
      <c r="D45" s="65">
        <f t="shared" si="0"/>
        <v>-1210.3261018830042</v>
      </c>
      <c r="E45" s="65">
        <f t="shared" si="1"/>
        <v>-20600.675301981235</v>
      </c>
      <c r="F45" s="65">
        <f t="shared" si="3"/>
        <v>-21811.00140386424</v>
      </c>
    </row>
    <row r="46" spans="1:6" x14ac:dyDescent="0.35">
      <c r="A46" s="63">
        <v>10</v>
      </c>
      <c r="B46" s="63">
        <v>38</v>
      </c>
      <c r="C46" s="65">
        <f t="shared" si="2"/>
        <v>63595.923089880147</v>
      </c>
      <c r="D46" s="65">
        <f t="shared" si="0"/>
        <v>-914.19139441702396</v>
      </c>
      <c r="E46" s="65">
        <f t="shared" si="1"/>
        <v>-20896.810009447214</v>
      </c>
      <c r="F46" s="65">
        <f t="shared" si="3"/>
        <v>-21811.001403864237</v>
      </c>
    </row>
    <row r="47" spans="1:6" x14ac:dyDescent="0.35">
      <c r="A47" s="63">
        <v>10</v>
      </c>
      <c r="B47" s="63">
        <v>39</v>
      </c>
      <c r="C47" s="65">
        <f t="shared" si="2"/>
        <v>42699.11308043293</v>
      </c>
      <c r="D47" s="65">
        <f t="shared" si="0"/>
        <v>-613.7997505312203</v>
      </c>
      <c r="E47" s="65">
        <f t="shared" si="1"/>
        <v>-21197.201653333017</v>
      </c>
      <c r="F47" s="65">
        <f t="shared" si="3"/>
        <v>-21811.001403864237</v>
      </c>
    </row>
    <row r="48" spans="1:6" x14ac:dyDescent="0.35">
      <c r="A48" s="66">
        <v>10</v>
      </c>
      <c r="B48" s="66">
        <v>40</v>
      </c>
      <c r="C48" s="67">
        <f t="shared" si="2"/>
        <v>21501.911427099913</v>
      </c>
      <c r="D48" s="67">
        <f t="shared" si="0"/>
        <v>-309.089976764558</v>
      </c>
      <c r="E48" s="67">
        <f t="shared" si="1"/>
        <v>-21501.91142709968</v>
      </c>
      <c r="F48" s="67">
        <f t="shared" si="3"/>
        <v>-21811.001403864237</v>
      </c>
    </row>
    <row r="49" spans="1:7" x14ac:dyDescent="0.35">
      <c r="B49" s="68" t="s">
        <v>117</v>
      </c>
      <c r="C49" s="69">
        <f>C48+E48</f>
        <v>2.3283064365386963E-10</v>
      </c>
    </row>
    <row r="51" spans="1:7" ht="17" x14ac:dyDescent="0.35">
      <c r="A51" s="104" t="s">
        <v>118</v>
      </c>
    </row>
    <row r="52" spans="1:7" x14ac:dyDescent="0.35">
      <c r="A52" s="70"/>
      <c r="B52" s="71" t="s">
        <v>36</v>
      </c>
      <c r="C52" s="71" t="s">
        <v>37</v>
      </c>
      <c r="D52" s="71" t="s">
        <v>38</v>
      </c>
      <c r="E52" s="71" t="s">
        <v>39</v>
      </c>
      <c r="F52" s="71" t="s">
        <v>40</v>
      </c>
    </row>
    <row r="53" spans="1:7" ht="24" customHeight="1" x14ac:dyDescent="0.35">
      <c r="A53" s="128" t="s">
        <v>119</v>
      </c>
      <c r="B53" s="115">
        <v>1</v>
      </c>
      <c r="C53" s="115">
        <v>5</v>
      </c>
      <c r="D53" s="115">
        <v>9</v>
      </c>
      <c r="E53" s="115">
        <v>13</v>
      </c>
      <c r="F53" s="115">
        <v>17</v>
      </c>
    </row>
    <row r="54" spans="1:7" ht="24" customHeight="1" x14ac:dyDescent="0.35">
      <c r="A54" s="129"/>
      <c r="B54" s="116">
        <v>4</v>
      </c>
      <c r="C54" s="116">
        <v>8</v>
      </c>
      <c r="D54" s="116">
        <v>12</v>
      </c>
      <c r="E54" s="116">
        <v>16</v>
      </c>
      <c r="F54" s="116">
        <v>20</v>
      </c>
      <c r="G54" s="72" t="s">
        <v>120</v>
      </c>
    </row>
    <row r="55" spans="1:7" x14ac:dyDescent="0.35">
      <c r="A55" s="73" t="s">
        <v>211</v>
      </c>
      <c r="B55" s="74">
        <f>CUMPRINC($D$5,$F$5,$A$5,B53,B54,0)</f>
        <v>-50367.130362124852</v>
      </c>
      <c r="C55" s="74">
        <f t="shared" ref="C55:F55" si="4">CUMPRINC($D$5,$F$5,$A$5,C53,C54,0)</f>
        <v>-53326.288334405537</v>
      </c>
      <c r="D55" s="74">
        <f t="shared" si="4"/>
        <v>-56459.30207019618</v>
      </c>
      <c r="E55" s="74">
        <f t="shared" si="4"/>
        <v>-59776.385903029746</v>
      </c>
      <c r="F55" s="74">
        <f t="shared" si="4"/>
        <v>-63288.354276596117</v>
      </c>
      <c r="G55" s="75">
        <f>SUM(B55:F55)</f>
        <v>-283217.46094635245</v>
      </c>
    </row>
    <row r="56" spans="1:7" x14ac:dyDescent="0.35">
      <c r="A56" s="73" t="s">
        <v>210</v>
      </c>
      <c r="B56" s="74">
        <f>CUMIPMT($D$5,$F$5,$A$5,B53,B54,0)</f>
        <v>-36876.875253332109</v>
      </c>
      <c r="C56" s="74">
        <f t="shared" ref="C56:F56" si="5">CUMIPMT($D$5,$F$5,$A$5,C53,C54,0)</f>
        <v>-33917.717281051424</v>
      </c>
      <c r="D56" s="74">
        <f t="shared" si="5"/>
        <v>-30784.703545260782</v>
      </c>
      <c r="E56" s="74">
        <f t="shared" si="5"/>
        <v>-27467.619712427215</v>
      </c>
      <c r="F56" s="74">
        <f t="shared" si="5"/>
        <v>-23955.651338860844</v>
      </c>
      <c r="G56" s="75">
        <f>SUM(B56:F56)</f>
        <v>-153002.56713093235</v>
      </c>
    </row>
    <row r="57" spans="1:7" x14ac:dyDescent="0.35">
      <c r="A57" s="76" t="s">
        <v>121</v>
      </c>
      <c r="B57" s="75">
        <f>A5+B55</f>
        <v>609632.86963787512</v>
      </c>
      <c r="C57" s="75">
        <f>B57+C55</f>
        <v>556306.5813034696</v>
      </c>
      <c r="D57" s="75">
        <f t="shared" ref="D57:F57" si="6">C57+D55</f>
        <v>499847.27923327341</v>
      </c>
      <c r="E57" s="75">
        <f t="shared" si="6"/>
        <v>440070.89333024365</v>
      </c>
      <c r="F57" s="75">
        <f t="shared" si="6"/>
        <v>376782.53905364755</v>
      </c>
      <c r="G57" s="77"/>
    </row>
  </sheetData>
  <mergeCells count="1">
    <mergeCell ref="A53:A54"/>
  </mergeCells>
  <conditionalFormatting sqref="B55:G56">
    <cfRule type="cellIs" dxfId="8" priority="8" operator="lessThan">
      <formula>0</formula>
    </cfRule>
  </conditionalFormatting>
  <conditionalFormatting sqref="G5">
    <cfRule type="cellIs" dxfId="7" priority="7" operator="lessThan">
      <formula>0</formula>
    </cfRule>
  </conditionalFormatting>
  <conditionalFormatting sqref="D31:F48 D9:F28">
    <cfRule type="cellIs" dxfId="6" priority="2" operator="lessThan">
      <formula>0</formula>
    </cfRule>
  </conditionalFormatting>
  <conditionalFormatting sqref="D29:F30">
    <cfRule type="cellIs" dxfId="5" priority="1" operator="lessThan">
      <formula>0</formula>
    </cfRule>
  </conditionalFormatting>
  <pageMargins left="0.7" right="0.7" top="0.75" bottom="0.75" header="0.3" footer="0.3"/>
  <pageSetup scale="80" orientation="portrait" r:id="rId1"/>
  <headerFooter>
    <oddFooter>&amp;R&amp;F &amp;A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52"/>
  <sheetViews>
    <sheetView topLeftCell="A19" zoomScale="120" zoomScaleNormal="120" workbookViewId="0">
      <selection activeCell="B23" sqref="B23"/>
    </sheetView>
  </sheetViews>
  <sheetFormatPr defaultColWidth="9.1796875" defaultRowHeight="14.5" x14ac:dyDescent="0.35"/>
  <cols>
    <col min="1" max="1" width="32.81640625" style="28" customWidth="1"/>
    <col min="2" max="6" width="14.26953125" style="28" customWidth="1"/>
    <col min="7" max="7" width="12.81640625" style="28" customWidth="1"/>
    <col min="8" max="9" width="9.1796875" style="28"/>
    <col min="10" max="10" width="11.453125" style="28" customWidth="1"/>
    <col min="11" max="11" width="10.26953125" style="28" customWidth="1"/>
    <col min="12" max="16384" width="9.1796875" style="28"/>
  </cols>
  <sheetData>
    <row r="1" spans="1:6" s="2" customFormat="1" ht="43" x14ac:dyDescent="1.1000000000000001">
      <c r="A1" s="102" t="s">
        <v>159</v>
      </c>
    </row>
    <row r="2" spans="1:6" s="2" customFormat="1" ht="23.5" x14ac:dyDescent="0.55000000000000004">
      <c r="A2" s="103" t="s">
        <v>149</v>
      </c>
    </row>
    <row r="3" spans="1:6" s="2" customFormat="1" ht="15" customHeight="1" x14ac:dyDescent="0.55000000000000004">
      <c r="A3" s="3"/>
      <c r="E3" s="29" t="s">
        <v>151</v>
      </c>
      <c r="F3" s="106">
        <v>0.2</v>
      </c>
    </row>
    <row r="4" spans="1:6" s="2" customFormat="1" ht="15" customHeight="1" x14ac:dyDescent="0.55000000000000004">
      <c r="A4" s="3"/>
      <c r="E4" s="29" t="s">
        <v>155</v>
      </c>
      <c r="F4" s="106">
        <v>0.1</v>
      </c>
    </row>
    <row r="5" spans="1:6" s="2" customFormat="1" ht="15" customHeight="1" x14ac:dyDescent="0.55000000000000004">
      <c r="A5" s="3"/>
      <c r="E5" s="29" t="s">
        <v>34</v>
      </c>
      <c r="F5" s="106">
        <v>0.33</v>
      </c>
    </row>
    <row r="6" spans="1:6" s="4" customFormat="1" ht="15" customHeight="1" x14ac:dyDescent="0.35"/>
    <row r="7" spans="1:6" s="15" customFormat="1" ht="15" customHeight="1" x14ac:dyDescent="0.35">
      <c r="A7" s="104" t="s">
        <v>35</v>
      </c>
      <c r="B7" s="113" t="s">
        <v>36</v>
      </c>
      <c r="C7" s="113" t="s">
        <v>37</v>
      </c>
      <c r="D7" s="113" t="s">
        <v>38</v>
      </c>
      <c r="E7" s="113" t="s">
        <v>39</v>
      </c>
      <c r="F7" s="113" t="s">
        <v>40</v>
      </c>
    </row>
    <row r="8" spans="1:6" s="24" customFormat="1" ht="15" customHeight="1" x14ac:dyDescent="0.35">
      <c r="A8" s="24" t="s">
        <v>153</v>
      </c>
      <c r="B8" s="30">
        <v>1000000.0000000005</v>
      </c>
      <c r="C8" s="30">
        <v>1316074.0129524935</v>
      </c>
      <c r="D8" s="30">
        <v>1732050.8075688791</v>
      </c>
      <c r="E8" s="30">
        <v>2279507.0569547806</v>
      </c>
      <c r="F8" s="30">
        <v>3000000.0000000051</v>
      </c>
    </row>
    <row r="9" spans="1:6" s="24" customFormat="1" ht="15" customHeight="1" x14ac:dyDescent="0.35">
      <c r="A9" s="24" t="s">
        <v>152</v>
      </c>
      <c r="B9" s="34">
        <f>B8*$F$3</f>
        <v>200000.00000000012</v>
      </c>
      <c r="C9" s="34">
        <f t="shared" ref="C9:F9" si="0">C8*$F$3</f>
        <v>263214.8025904987</v>
      </c>
      <c r="D9" s="34">
        <f t="shared" si="0"/>
        <v>346410.16151377582</v>
      </c>
      <c r="E9" s="34">
        <f t="shared" si="0"/>
        <v>455901.41139095614</v>
      </c>
      <c r="F9" s="34">
        <f t="shared" si="0"/>
        <v>600000.00000000105</v>
      </c>
    </row>
    <row r="10" spans="1:6" s="24" customFormat="1" ht="15" customHeight="1" x14ac:dyDescent="0.35">
      <c r="A10" s="17" t="s">
        <v>154</v>
      </c>
      <c r="B10" s="31">
        <f>B8*$F$4</f>
        <v>100000.00000000006</v>
      </c>
      <c r="C10" s="31">
        <f t="shared" ref="C10:F10" si="1">C8*$F$4</f>
        <v>131607.40129524935</v>
      </c>
      <c r="D10" s="31">
        <f t="shared" si="1"/>
        <v>173205.08075688791</v>
      </c>
      <c r="E10" s="31">
        <f t="shared" si="1"/>
        <v>227950.70569547807</v>
      </c>
      <c r="F10" s="31">
        <f t="shared" si="1"/>
        <v>300000.00000000052</v>
      </c>
    </row>
    <row r="11" spans="1:6" s="24" customFormat="1" ht="15" customHeight="1" thickBot="1" x14ac:dyDescent="0.4">
      <c r="A11" s="32" t="s">
        <v>41</v>
      </c>
      <c r="B11" s="33">
        <f>B8-(B9+B10)</f>
        <v>700000.00000000023</v>
      </c>
      <c r="C11" s="33">
        <f t="shared" ref="C11:F11" si="2">C8-(C9+C10)</f>
        <v>921251.80906674545</v>
      </c>
      <c r="D11" s="33">
        <f t="shared" si="2"/>
        <v>1212435.5652982155</v>
      </c>
      <c r="E11" s="33">
        <f t="shared" si="2"/>
        <v>1595654.9398683463</v>
      </c>
      <c r="F11" s="33">
        <f t="shared" si="2"/>
        <v>2100000.0000000037</v>
      </c>
    </row>
    <row r="12" spans="1:6" s="24" customFormat="1" ht="15" customHeight="1" thickTop="1" x14ac:dyDescent="0.35">
      <c r="B12" s="34"/>
      <c r="C12" s="34"/>
      <c r="D12" s="34"/>
      <c r="E12" s="34"/>
      <c r="F12" s="34"/>
    </row>
    <row r="13" spans="1:6" s="24" customFormat="1" ht="15" customHeight="1" x14ac:dyDescent="0.35">
      <c r="A13" s="104" t="s">
        <v>42</v>
      </c>
      <c r="B13" s="113" t="s">
        <v>36</v>
      </c>
      <c r="C13" s="113" t="s">
        <v>37</v>
      </c>
      <c r="D13" s="113" t="s">
        <v>38</v>
      </c>
      <c r="E13" s="113" t="s">
        <v>39</v>
      </c>
      <c r="F13" s="113" t="s">
        <v>40</v>
      </c>
    </row>
    <row r="14" spans="1:6" s="24" customFormat="1" ht="15" customHeight="1" x14ac:dyDescent="0.35">
      <c r="A14" s="24" t="s">
        <v>43</v>
      </c>
      <c r="B14" s="30">
        <v>630000.00000002293</v>
      </c>
      <c r="C14" s="30">
        <v>705600.00000002573</v>
      </c>
      <c r="D14" s="30">
        <v>790272.00000002887</v>
      </c>
      <c r="E14" s="30">
        <v>885104.64000003249</v>
      </c>
      <c r="F14" s="30">
        <v>991317.19680003636</v>
      </c>
    </row>
    <row r="15" spans="1:6" s="24" customFormat="1" ht="15" customHeight="1" x14ac:dyDescent="0.35">
      <c r="A15" s="24" t="s">
        <v>156</v>
      </c>
      <c r="B15" s="34">
        <v>120000</v>
      </c>
      <c r="C15" s="34">
        <v>126000</v>
      </c>
      <c r="D15" s="34">
        <v>132300</v>
      </c>
      <c r="E15" s="34">
        <v>138915.00000000003</v>
      </c>
      <c r="F15" s="34">
        <v>145860.75</v>
      </c>
    </row>
    <row r="16" spans="1:6" s="24" customFormat="1" ht="15" customHeight="1" x14ac:dyDescent="0.35">
      <c r="A16" s="24" t="s">
        <v>44</v>
      </c>
      <c r="B16" s="34">
        <v>30000</v>
      </c>
      <c r="C16" s="34">
        <v>31500</v>
      </c>
      <c r="D16" s="34">
        <v>33075</v>
      </c>
      <c r="E16" s="34">
        <v>34728.750000000007</v>
      </c>
      <c r="F16" s="34">
        <v>36465.1875</v>
      </c>
    </row>
    <row r="17" spans="1:7" s="24" customFormat="1" ht="15" customHeight="1" x14ac:dyDescent="0.35">
      <c r="A17" s="24" t="s">
        <v>145</v>
      </c>
      <c r="B17" s="34">
        <v>45000</v>
      </c>
      <c r="C17" s="34">
        <v>47250</v>
      </c>
      <c r="D17" s="34">
        <v>49612.5</v>
      </c>
      <c r="E17" s="34">
        <v>52093.125000000007</v>
      </c>
      <c r="F17" s="34">
        <v>54697.78125</v>
      </c>
    </row>
    <row r="18" spans="1:7" s="24" customFormat="1" ht="15" customHeight="1" thickBot="1" x14ac:dyDescent="0.4">
      <c r="A18" s="35" t="s">
        <v>45</v>
      </c>
      <c r="B18" s="33">
        <f>SUM(B14:B17)</f>
        <v>825000.00000002293</v>
      </c>
      <c r="C18" s="33">
        <f t="shared" ref="C18:F18" si="3">SUM(C14:C17)</f>
        <v>910350.00000002573</v>
      </c>
      <c r="D18" s="33">
        <f t="shared" si="3"/>
        <v>1005259.5000000289</v>
      </c>
      <c r="E18" s="33">
        <f t="shared" si="3"/>
        <v>1110841.5150000325</v>
      </c>
      <c r="F18" s="33">
        <f t="shared" si="3"/>
        <v>1228340.9155500364</v>
      </c>
    </row>
    <row r="19" spans="1:7" s="24" customFormat="1" ht="15" customHeight="1" thickTop="1" x14ac:dyDescent="0.35">
      <c r="B19" s="34"/>
      <c r="C19" s="34"/>
      <c r="D19" s="34"/>
      <c r="E19" s="34"/>
      <c r="F19" s="34"/>
    </row>
    <row r="20" spans="1:7" s="24" customFormat="1" ht="17" x14ac:dyDescent="0.35">
      <c r="A20" s="104" t="s">
        <v>46</v>
      </c>
      <c r="B20" s="113" t="s">
        <v>36</v>
      </c>
      <c r="C20" s="113" t="s">
        <v>37</v>
      </c>
      <c r="D20" s="113" t="s">
        <v>38</v>
      </c>
      <c r="E20" s="113" t="s">
        <v>39</v>
      </c>
      <c r="F20" s="113" t="s">
        <v>40</v>
      </c>
    </row>
    <row r="21" spans="1:7" s="24" customFormat="1" ht="15" customHeight="1" x14ac:dyDescent="0.35">
      <c r="A21" s="36" t="s">
        <v>47</v>
      </c>
      <c r="B21" s="30">
        <f>B11-B18</f>
        <v>-125000.0000000227</v>
      </c>
      <c r="C21" s="30">
        <f t="shared" ref="C21:F21" si="4">C11-C18</f>
        <v>10901.809066719725</v>
      </c>
      <c r="D21" s="30">
        <f t="shared" si="4"/>
        <v>207176.06529818662</v>
      </c>
      <c r="E21" s="30">
        <f t="shared" si="4"/>
        <v>484813.42486831383</v>
      </c>
      <c r="F21" s="30">
        <f t="shared" si="4"/>
        <v>871659.08444996737</v>
      </c>
    </row>
    <row r="22" spans="1:7" s="24" customFormat="1" ht="15" customHeight="1" x14ac:dyDescent="0.35">
      <c r="A22" s="17" t="s">
        <v>48</v>
      </c>
      <c r="B22" s="31">
        <f>Depreciation!B16</f>
        <v>42700</v>
      </c>
      <c r="C22" s="31">
        <f>Depreciation!C16</f>
        <v>37490.6</v>
      </c>
      <c r="D22" s="31">
        <f>Depreciation!D16</f>
        <v>32916.746800000001</v>
      </c>
      <c r="E22" s="31">
        <f>Depreciation!E16</f>
        <v>28900.903690400002</v>
      </c>
      <c r="F22" s="31">
        <f>Depreciation!F16</f>
        <v>25374.993440171202</v>
      </c>
    </row>
    <row r="23" spans="1:7" s="24" customFormat="1" ht="15" customHeight="1" x14ac:dyDescent="0.35">
      <c r="A23" s="37" t="s">
        <v>49</v>
      </c>
      <c r="B23" s="38">
        <f>B21-B22</f>
        <v>-167700.0000000227</v>
      </c>
      <c r="C23" s="38">
        <f t="shared" ref="C23:F23" si="5">C21-C22</f>
        <v>-26588.790933280274</v>
      </c>
      <c r="D23" s="38">
        <f t="shared" si="5"/>
        <v>174259.31849818662</v>
      </c>
      <c r="E23" s="38">
        <f t="shared" si="5"/>
        <v>455912.52117791382</v>
      </c>
      <c r="F23" s="38">
        <f t="shared" si="5"/>
        <v>846284.09100979613</v>
      </c>
    </row>
    <row r="24" spans="1:7" s="24" customFormat="1" ht="15" customHeight="1" x14ac:dyDescent="0.35">
      <c r="B24" s="34"/>
      <c r="C24" s="34"/>
      <c r="D24" s="34"/>
      <c r="E24" s="34"/>
      <c r="F24" s="34"/>
      <c r="G24" s="39"/>
    </row>
    <row r="25" spans="1:7" s="24" customFormat="1" ht="15" customHeight="1" x14ac:dyDescent="0.35">
      <c r="A25" s="17" t="s">
        <v>50</v>
      </c>
      <c r="B25" s="31">
        <f>-'Amortization Schedule'!B56</f>
        <v>36876.875253332109</v>
      </c>
      <c r="C25" s="31">
        <f>-'Amortization Schedule'!C56</f>
        <v>33917.717281051424</v>
      </c>
      <c r="D25" s="31">
        <f>-'Amortization Schedule'!D56</f>
        <v>30784.703545260782</v>
      </c>
      <c r="E25" s="31">
        <f>-'Amortization Schedule'!E56</f>
        <v>27467.619712427215</v>
      </c>
      <c r="F25" s="31">
        <f>-'Amortization Schedule'!F56</f>
        <v>23955.651338860844</v>
      </c>
      <c r="G25" s="39"/>
    </row>
    <row r="26" spans="1:7" s="24" customFormat="1" ht="15" customHeight="1" x14ac:dyDescent="0.35">
      <c r="A26" s="37" t="s">
        <v>51</v>
      </c>
      <c r="B26" s="38">
        <f>B23-B25</f>
        <v>-204576.87525335481</v>
      </c>
      <c r="C26" s="38">
        <f t="shared" ref="C26:F26" si="6">C23-C25</f>
        <v>-60506.508214331698</v>
      </c>
      <c r="D26" s="38">
        <f t="shared" si="6"/>
        <v>143474.61495292583</v>
      </c>
      <c r="E26" s="38">
        <f t="shared" si="6"/>
        <v>428444.90146548662</v>
      </c>
      <c r="F26" s="38">
        <f t="shared" si="6"/>
        <v>822328.43967093527</v>
      </c>
      <c r="G26" s="39"/>
    </row>
    <row r="27" spans="1:7" s="24" customFormat="1" ht="15" customHeight="1" x14ac:dyDescent="0.35">
      <c r="B27" s="34"/>
      <c r="C27" s="34"/>
      <c r="D27" s="34"/>
      <c r="E27" s="34"/>
      <c r="F27" s="34"/>
    </row>
    <row r="28" spans="1:7" s="24" customFormat="1" ht="15" customHeight="1" x14ac:dyDescent="0.35">
      <c r="A28" s="17" t="s">
        <v>150</v>
      </c>
      <c r="B28" s="31">
        <f>IF(B26&lt;0,$F$5*B26,0)</f>
        <v>-67510.368833607092</v>
      </c>
      <c r="C28" s="31">
        <f t="shared" ref="C28:F28" si="7">IF(C26&lt;0,$F$5*C26,0)</f>
        <v>-19967.14771072946</v>
      </c>
      <c r="D28" s="31">
        <f t="shared" si="7"/>
        <v>0</v>
      </c>
      <c r="E28" s="31">
        <f t="shared" si="7"/>
        <v>0</v>
      </c>
      <c r="F28" s="31">
        <f t="shared" si="7"/>
        <v>0</v>
      </c>
    </row>
    <row r="29" spans="1:7" s="24" customFormat="1" ht="15" customHeight="1" x14ac:dyDescent="0.35">
      <c r="A29" s="37" t="s">
        <v>52</v>
      </c>
      <c r="B29" s="40">
        <f>B26-B28</f>
        <v>-137066.50641974772</v>
      </c>
      <c r="C29" s="40">
        <f t="shared" ref="C29:F29" si="8">C26-C28</f>
        <v>-40539.360503602235</v>
      </c>
      <c r="D29" s="40">
        <f t="shared" si="8"/>
        <v>143474.61495292583</v>
      </c>
      <c r="E29" s="40">
        <f t="shared" si="8"/>
        <v>428444.90146548662</v>
      </c>
      <c r="F29" s="40">
        <f t="shared" si="8"/>
        <v>822328.43967093527</v>
      </c>
    </row>
    <row r="30" spans="1:7" s="24" customFormat="1" ht="15" customHeight="1" x14ac:dyDescent="0.35"/>
    <row r="31" spans="1:7" s="24" customFormat="1" ht="15" customHeight="1" x14ac:dyDescent="0.35">
      <c r="A31" s="17" t="s">
        <v>53</v>
      </c>
      <c r="B31" s="7">
        <f>Investment!B13</f>
        <v>0</v>
      </c>
      <c r="C31" s="7">
        <f>Investment!C13</f>
        <v>6000</v>
      </c>
      <c r="D31" s="7">
        <f>Investment!D13</f>
        <v>6000</v>
      </c>
      <c r="E31" s="7">
        <f>Investment!E13</f>
        <v>25000</v>
      </c>
      <c r="F31" s="7">
        <f>Investment!F13</f>
        <v>25000</v>
      </c>
    </row>
    <row r="32" spans="1:7" s="24" customFormat="1" ht="15" customHeight="1" x14ac:dyDescent="0.35"/>
    <row r="33" spans="1:6" s="24" customFormat="1" ht="15" customHeight="1" thickBot="1" x14ac:dyDescent="0.4">
      <c r="A33" s="41" t="s">
        <v>54</v>
      </c>
      <c r="B33" s="42">
        <f>B29-B31</f>
        <v>-137066.50641974772</v>
      </c>
      <c r="C33" s="42">
        <f t="shared" ref="C33:F33" si="9">C29-C31</f>
        <v>-46539.360503602235</v>
      </c>
      <c r="D33" s="42">
        <f t="shared" si="9"/>
        <v>137474.61495292583</v>
      </c>
      <c r="E33" s="42">
        <f t="shared" si="9"/>
        <v>403444.90146548662</v>
      </c>
      <c r="F33" s="42">
        <f t="shared" si="9"/>
        <v>797328.43967093527</v>
      </c>
    </row>
    <row r="34" spans="1:6" s="43" customFormat="1" ht="15" customHeight="1" thickTop="1" x14ac:dyDescent="0.35">
      <c r="B34" s="44"/>
      <c r="C34" s="44"/>
      <c r="D34" s="44"/>
      <c r="E34" s="44"/>
      <c r="F34" s="44"/>
    </row>
    <row r="35" spans="1:6" s="43" customFormat="1" ht="15" customHeight="1" x14ac:dyDescent="0.35">
      <c r="B35" s="10"/>
      <c r="C35" s="10"/>
      <c r="D35" s="10"/>
      <c r="E35" s="10"/>
      <c r="F35" s="10"/>
    </row>
    <row r="36" spans="1:6" s="43" customFormat="1" ht="15" customHeight="1" x14ac:dyDescent="0.35">
      <c r="B36" s="10"/>
      <c r="C36" s="10"/>
      <c r="D36" s="10"/>
      <c r="E36" s="10"/>
      <c r="F36" s="10"/>
    </row>
    <row r="37" spans="1:6" s="43" customFormat="1" ht="15" customHeight="1" x14ac:dyDescent="0.35">
      <c r="B37" s="10"/>
      <c r="C37" s="10"/>
      <c r="D37" s="10"/>
      <c r="E37" s="10"/>
      <c r="F37" s="10"/>
    </row>
    <row r="38" spans="1:6" s="43" customFormat="1" ht="15" customHeight="1" x14ac:dyDescent="0.35">
      <c r="B38" s="10"/>
      <c r="C38" s="10"/>
      <c r="D38" s="10"/>
      <c r="E38" s="10"/>
      <c r="F38" s="10"/>
    </row>
    <row r="39" spans="1:6" s="43" customFormat="1" ht="15" customHeight="1" x14ac:dyDescent="0.35">
      <c r="B39" s="10"/>
      <c r="C39" s="10"/>
      <c r="D39" s="10"/>
      <c r="E39" s="10"/>
      <c r="F39" s="10"/>
    </row>
    <row r="40" spans="1:6" s="43" customFormat="1" ht="15" customHeight="1" x14ac:dyDescent="0.35">
      <c r="B40" s="10"/>
      <c r="C40" s="10"/>
      <c r="D40" s="10"/>
      <c r="E40" s="10"/>
      <c r="F40" s="10"/>
    </row>
    <row r="41" spans="1:6" s="43" customFormat="1" ht="15" customHeight="1" x14ac:dyDescent="0.35">
      <c r="B41" s="10"/>
      <c r="C41" s="10"/>
      <c r="D41" s="10"/>
      <c r="E41" s="10"/>
      <c r="F41" s="10"/>
    </row>
    <row r="42" spans="1:6" s="4" customFormat="1" ht="15" customHeight="1" x14ac:dyDescent="0.35">
      <c r="B42" s="5"/>
      <c r="C42" s="5"/>
      <c r="D42" s="5"/>
      <c r="E42" s="5"/>
      <c r="F42" s="5"/>
    </row>
    <row r="43" spans="1:6" s="4" customFormat="1" ht="15" customHeight="1" x14ac:dyDescent="0.35">
      <c r="B43" s="5"/>
      <c r="C43" s="5"/>
      <c r="D43" s="5"/>
      <c r="E43" s="5"/>
      <c r="F43" s="5"/>
    </row>
    <row r="44" spans="1:6" s="4" customFormat="1" ht="15" customHeight="1" x14ac:dyDescent="0.35">
      <c r="B44" s="5"/>
      <c r="C44" s="5"/>
      <c r="D44" s="5"/>
      <c r="E44" s="5"/>
      <c r="F44" s="5"/>
    </row>
    <row r="45" spans="1:6" s="4" customFormat="1" ht="15" customHeight="1" x14ac:dyDescent="0.35">
      <c r="B45" s="5"/>
      <c r="C45" s="5"/>
      <c r="D45" s="5"/>
      <c r="E45" s="5"/>
      <c r="F45" s="5"/>
    </row>
    <row r="46" spans="1:6" s="4" customFormat="1" ht="15" customHeight="1" x14ac:dyDescent="0.35">
      <c r="B46" s="5"/>
      <c r="C46" s="5"/>
      <c r="D46" s="5"/>
      <c r="E46" s="5"/>
      <c r="F46" s="5"/>
    </row>
    <row r="47" spans="1:6" s="4" customFormat="1" ht="15" customHeight="1" x14ac:dyDescent="0.35">
      <c r="B47" s="5"/>
      <c r="C47" s="5"/>
      <c r="D47" s="5"/>
      <c r="E47" s="5"/>
      <c r="F47" s="5"/>
    </row>
    <row r="48" spans="1:6" s="4" customFormat="1" ht="15" customHeight="1" x14ac:dyDescent="0.35"/>
    <row r="49" s="4" customFormat="1" ht="15" customHeight="1" x14ac:dyDescent="0.35"/>
    <row r="50" s="4" customFormat="1" ht="15" customHeight="1" x14ac:dyDescent="0.35"/>
    <row r="51" s="4" customFormat="1" ht="15" customHeight="1" x14ac:dyDescent="0.35"/>
    <row r="52" s="4" customFormat="1" ht="15" customHeight="1" x14ac:dyDescent="0.35"/>
    <row r="53" s="4" customFormat="1" ht="15" customHeight="1" x14ac:dyDescent="0.35"/>
    <row r="54" s="4" customFormat="1" ht="15" customHeight="1" x14ac:dyDescent="0.35"/>
    <row r="55" s="4" customFormat="1" ht="15" customHeight="1" x14ac:dyDescent="0.35"/>
    <row r="56" s="4" customFormat="1" ht="15" customHeight="1" x14ac:dyDescent="0.35"/>
    <row r="57" s="4" customFormat="1" ht="15" customHeight="1" x14ac:dyDescent="0.35"/>
    <row r="58" s="4" customFormat="1" ht="15" customHeight="1" x14ac:dyDescent="0.35"/>
    <row r="59" s="4" customFormat="1" ht="15" customHeight="1" x14ac:dyDescent="0.35"/>
    <row r="60" s="4" customFormat="1" ht="15" customHeight="1" x14ac:dyDescent="0.35"/>
    <row r="61" s="4" customFormat="1" ht="15" customHeight="1" x14ac:dyDescent="0.35"/>
    <row r="62" s="4" customFormat="1" ht="15" customHeight="1" x14ac:dyDescent="0.35"/>
    <row r="63" s="4" customFormat="1" ht="15" customHeight="1" x14ac:dyDescent="0.35"/>
    <row r="64" s="4" customFormat="1" ht="15" customHeight="1" x14ac:dyDescent="0.35"/>
    <row r="65" s="4" customFormat="1" ht="15" customHeight="1" x14ac:dyDescent="0.35"/>
    <row r="66" s="4" customFormat="1" ht="15" customHeight="1" x14ac:dyDescent="0.35"/>
    <row r="67" s="4" customFormat="1" ht="15" customHeight="1" x14ac:dyDescent="0.35"/>
    <row r="68" s="4" customFormat="1" ht="15" customHeight="1" x14ac:dyDescent="0.35"/>
    <row r="69" s="4" customFormat="1" ht="15" customHeight="1" x14ac:dyDescent="0.35"/>
    <row r="70" s="4" customFormat="1" ht="15" customHeight="1" x14ac:dyDescent="0.35"/>
    <row r="71" s="4" customFormat="1" ht="15" customHeight="1" x14ac:dyDescent="0.35"/>
    <row r="72" s="4" customFormat="1" ht="15" customHeight="1" x14ac:dyDescent="0.35"/>
    <row r="73" s="4" customFormat="1" ht="15" customHeight="1" x14ac:dyDescent="0.35"/>
    <row r="74" s="4" customFormat="1" ht="15" customHeight="1" x14ac:dyDescent="0.35"/>
    <row r="75" s="4" customFormat="1" ht="15" customHeight="1" x14ac:dyDescent="0.35"/>
    <row r="76" s="4" customFormat="1" ht="15" customHeight="1" x14ac:dyDescent="0.35"/>
    <row r="77" s="4" customFormat="1" ht="15" customHeight="1" x14ac:dyDescent="0.35"/>
    <row r="78" s="4" customFormat="1" ht="15" customHeight="1" x14ac:dyDescent="0.35"/>
    <row r="79" s="4" customFormat="1" ht="15" customHeight="1" x14ac:dyDescent="0.35"/>
    <row r="80" s="4" customFormat="1" ht="15" customHeight="1" x14ac:dyDescent="0.35"/>
    <row r="81" s="4" customFormat="1" ht="15" customHeight="1" x14ac:dyDescent="0.35"/>
    <row r="82" s="4" customFormat="1" ht="15" customHeight="1" x14ac:dyDescent="0.35"/>
    <row r="83" s="4" customFormat="1" ht="15" customHeight="1" x14ac:dyDescent="0.35"/>
    <row r="84" s="4" customFormat="1" ht="15" customHeight="1" x14ac:dyDescent="0.35"/>
    <row r="85" s="4" customFormat="1" ht="15" customHeight="1" x14ac:dyDescent="0.35"/>
    <row r="86" s="4" customFormat="1" ht="15" customHeight="1" x14ac:dyDescent="0.35"/>
    <row r="87" s="4" customFormat="1" ht="15" customHeigh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3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9"/>
  <sheetViews>
    <sheetView zoomScale="120" zoomScaleNormal="120" workbookViewId="0">
      <selection activeCell="F16" sqref="F16"/>
    </sheetView>
  </sheetViews>
  <sheetFormatPr defaultRowHeight="14.5" x14ac:dyDescent="0.35"/>
  <cols>
    <col min="1" max="1" width="25.81640625" customWidth="1"/>
    <col min="2" max="2" width="15" customWidth="1"/>
    <col min="3" max="4" width="13.54296875" customWidth="1"/>
    <col min="5" max="5" width="12.26953125" customWidth="1"/>
    <col min="6" max="6" width="12.54296875" customWidth="1"/>
    <col min="7" max="9" width="14.26953125" customWidth="1"/>
    <col min="10" max="10" width="17" customWidth="1"/>
  </cols>
  <sheetData>
    <row r="1" spans="1:6" ht="43" x14ac:dyDescent="1.1000000000000001">
      <c r="A1" s="102" t="s">
        <v>159</v>
      </c>
      <c r="B1" s="1"/>
    </row>
    <row r="2" spans="1:6" ht="23.5" x14ac:dyDescent="0.55000000000000004">
      <c r="A2" s="103" t="s">
        <v>48</v>
      </c>
    </row>
    <row r="3" spans="1:6" ht="15" customHeight="1" x14ac:dyDescent="0.55000000000000004">
      <c r="A3" s="3"/>
    </row>
    <row r="4" spans="1:6" x14ac:dyDescent="0.35">
      <c r="A4" s="117" t="s">
        <v>146</v>
      </c>
      <c r="B4" s="78">
        <f>'Startup Plan'!B12</f>
        <v>350000</v>
      </c>
    </row>
    <row r="5" spans="1:6" x14ac:dyDescent="0.35">
      <c r="A5" s="117" t="s">
        <v>122</v>
      </c>
      <c r="B5" s="78">
        <v>50000</v>
      </c>
    </row>
    <row r="6" spans="1:6" x14ac:dyDescent="0.35">
      <c r="A6" s="117" t="s">
        <v>123</v>
      </c>
      <c r="B6" s="79">
        <v>15</v>
      </c>
    </row>
    <row r="8" spans="1:6" x14ac:dyDescent="0.35">
      <c r="B8" s="130" t="s">
        <v>113</v>
      </c>
      <c r="C8" s="130"/>
      <c r="D8" s="130"/>
      <c r="E8" s="130"/>
      <c r="F8" s="130"/>
    </row>
    <row r="9" spans="1:6" ht="17" x14ac:dyDescent="0.35">
      <c r="A9" s="104" t="s">
        <v>124</v>
      </c>
      <c r="B9" s="118">
        <v>1</v>
      </c>
      <c r="C9" s="118">
        <v>2</v>
      </c>
      <c r="D9" s="118">
        <v>3</v>
      </c>
      <c r="E9" s="118">
        <v>4</v>
      </c>
      <c r="F9" s="118">
        <v>5</v>
      </c>
    </row>
    <row r="10" spans="1:6" x14ac:dyDescent="0.35">
      <c r="A10" s="80" t="s">
        <v>125</v>
      </c>
      <c r="B10" s="56">
        <f>SLN($B$4,$B$5,$B$6)</f>
        <v>20000</v>
      </c>
      <c r="C10" s="56">
        <f t="shared" ref="C10:F10" si="0">SLN($B$4,$B$5,$B$6)</f>
        <v>20000</v>
      </c>
      <c r="D10" s="56">
        <f t="shared" si="0"/>
        <v>20000</v>
      </c>
      <c r="E10" s="56">
        <f t="shared" si="0"/>
        <v>20000</v>
      </c>
      <c r="F10" s="56">
        <f t="shared" si="0"/>
        <v>20000</v>
      </c>
    </row>
    <row r="11" spans="1:6" x14ac:dyDescent="0.35">
      <c r="A11" s="66" t="s">
        <v>126</v>
      </c>
      <c r="B11" s="81">
        <f>B10</f>
        <v>20000</v>
      </c>
      <c r="C11" s="81">
        <f>B11+C10</f>
        <v>40000</v>
      </c>
      <c r="D11" s="81">
        <f t="shared" ref="D11:F11" si="1">C11+D10</f>
        <v>60000</v>
      </c>
      <c r="E11" s="81">
        <f t="shared" si="1"/>
        <v>80000</v>
      </c>
      <c r="F11" s="81">
        <f t="shared" si="1"/>
        <v>100000</v>
      </c>
    </row>
    <row r="12" spans="1:6" x14ac:dyDescent="0.35">
      <c r="A12" s="82" t="s">
        <v>127</v>
      </c>
      <c r="B12" s="83">
        <f>$B$4-B11</f>
        <v>330000</v>
      </c>
      <c r="C12" s="83">
        <f t="shared" ref="C12:F12" si="2">$B$4-C11</f>
        <v>310000</v>
      </c>
      <c r="D12" s="83">
        <f t="shared" si="2"/>
        <v>290000</v>
      </c>
      <c r="E12" s="83">
        <f t="shared" si="2"/>
        <v>270000</v>
      </c>
      <c r="F12" s="83">
        <f t="shared" si="2"/>
        <v>250000</v>
      </c>
    </row>
    <row r="14" spans="1:6" x14ac:dyDescent="0.35">
      <c r="B14" s="130" t="s">
        <v>113</v>
      </c>
      <c r="C14" s="130"/>
      <c r="D14" s="130"/>
      <c r="E14" s="130"/>
      <c r="F14" s="130"/>
    </row>
    <row r="15" spans="1:6" ht="17" x14ac:dyDescent="0.35">
      <c r="A15" s="104" t="s">
        <v>128</v>
      </c>
      <c r="B15" s="118">
        <v>1</v>
      </c>
      <c r="C15" s="118">
        <v>2</v>
      </c>
      <c r="D15" s="118">
        <v>3</v>
      </c>
      <c r="E15" s="118">
        <v>4</v>
      </c>
      <c r="F15" s="118">
        <v>5</v>
      </c>
    </row>
    <row r="16" spans="1:6" x14ac:dyDescent="0.35">
      <c r="A16" s="80" t="s">
        <v>125</v>
      </c>
      <c r="B16" s="56">
        <f>DB($B$4,$B$5,$B$6,B15)</f>
        <v>42700</v>
      </c>
      <c r="C16" s="56">
        <f t="shared" ref="C16:F16" si="3">DB($B$4,$B$5,$B$6,C15)</f>
        <v>37490.6</v>
      </c>
      <c r="D16" s="56">
        <f t="shared" si="3"/>
        <v>32916.746800000001</v>
      </c>
      <c r="E16" s="56">
        <f t="shared" si="3"/>
        <v>28900.903690400002</v>
      </c>
      <c r="F16" s="56">
        <f t="shared" si="3"/>
        <v>25374.993440171202</v>
      </c>
    </row>
    <row r="17" spans="1:6" x14ac:dyDescent="0.35">
      <c r="A17" s="66" t="s">
        <v>126</v>
      </c>
      <c r="B17" s="81">
        <f>B16</f>
        <v>42700</v>
      </c>
      <c r="C17" s="81">
        <f>B17+C16</f>
        <v>80190.600000000006</v>
      </c>
      <c r="D17" s="81">
        <f t="shared" ref="D17" si="4">C17+D16</f>
        <v>113107.3468</v>
      </c>
      <c r="E17" s="81">
        <f t="shared" ref="E17" si="5">D17+E16</f>
        <v>142008.25049040001</v>
      </c>
      <c r="F17" s="81">
        <f t="shared" ref="F17" si="6">E17+F16</f>
        <v>167383.24393057122</v>
      </c>
    </row>
    <row r="18" spans="1:6" x14ac:dyDescent="0.35">
      <c r="A18" s="82" t="s">
        <v>127</v>
      </c>
      <c r="B18" s="83">
        <f>$B$4-B17</f>
        <v>307300</v>
      </c>
      <c r="C18" s="83">
        <f t="shared" ref="C18" si="7">$B$4-C17</f>
        <v>269809.40000000002</v>
      </c>
      <c r="D18" s="83">
        <f t="shared" ref="D18" si="8">$B$4-D17</f>
        <v>236892.6532</v>
      </c>
      <c r="E18" s="83">
        <f t="shared" ref="E18" si="9">$B$4-E17</f>
        <v>207991.74950959999</v>
      </c>
      <c r="F18" s="83">
        <f t="shared" ref="F18" si="10">$B$4-F17</f>
        <v>182616.75606942878</v>
      </c>
    </row>
    <row r="19" spans="1:6" x14ac:dyDescent="0.35">
      <c r="C19" s="84"/>
      <c r="D19" s="84"/>
      <c r="E19" s="84"/>
      <c r="F19" s="84"/>
    </row>
  </sheetData>
  <mergeCells count="2">
    <mergeCell ref="B8:F8"/>
    <mergeCell ref="B14:F14"/>
  </mergeCells>
  <pageMargins left="0.7" right="0.7" top="0.75" bottom="0.75" header="0.3" footer="0.3"/>
  <pageSetup scale="97" orientation="portrait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54"/>
  <sheetViews>
    <sheetView zoomScale="120" zoomScaleNormal="120" workbookViewId="0">
      <selection activeCell="B13" sqref="B13"/>
    </sheetView>
  </sheetViews>
  <sheetFormatPr defaultColWidth="9.1796875" defaultRowHeight="14.5" x14ac:dyDescent="0.35"/>
  <cols>
    <col min="1" max="1" width="22.81640625" style="28" customWidth="1"/>
    <col min="2" max="6" width="16.453125" style="28" customWidth="1"/>
    <col min="7" max="9" width="14.26953125" style="28" customWidth="1"/>
    <col min="10" max="10" width="17" style="28" customWidth="1"/>
    <col min="11" max="16384" width="9.1796875" style="28"/>
  </cols>
  <sheetData>
    <row r="1" spans="1:9" s="2" customFormat="1" ht="43" x14ac:dyDescent="1.1000000000000001">
      <c r="A1" s="102" t="s">
        <v>159</v>
      </c>
    </row>
    <row r="2" spans="1:9" s="2" customFormat="1" ht="23.5" x14ac:dyDescent="0.55000000000000004">
      <c r="A2" s="103" t="s">
        <v>147</v>
      </c>
    </row>
    <row r="4" spans="1:9" s="4" customFormat="1" ht="17" x14ac:dyDescent="0.35">
      <c r="A4" s="104" t="s">
        <v>129</v>
      </c>
    </row>
    <row r="5" spans="1:9" s="4" customFormat="1" x14ac:dyDescent="0.35"/>
    <row r="6" spans="1:9" s="4" customFormat="1" x14ac:dyDescent="0.35">
      <c r="A6" s="119" t="s">
        <v>130</v>
      </c>
      <c r="B6" s="85">
        <f>-'Startup Plan'!B30</f>
        <v>-250000</v>
      </c>
    </row>
    <row r="7" spans="1:9" s="4" customFormat="1" x14ac:dyDescent="0.35">
      <c r="A7" s="120" t="s">
        <v>131</v>
      </c>
      <c r="B7" s="86">
        <v>55000</v>
      </c>
    </row>
    <row r="8" spans="1:9" s="4" customFormat="1" x14ac:dyDescent="0.35">
      <c r="A8" s="120" t="s">
        <v>106</v>
      </c>
      <c r="B8" s="86">
        <v>5</v>
      </c>
    </row>
    <row r="9" spans="1:9" s="4" customFormat="1" x14ac:dyDescent="0.35">
      <c r="A9" s="120" t="s">
        <v>132</v>
      </c>
      <c r="B9" s="87">
        <f>RATE($B$8,$B$7,$B$6)</f>
        <v>3.2634958177826828E-2</v>
      </c>
    </row>
    <row r="10" spans="1:9" s="4" customFormat="1" x14ac:dyDescent="0.35"/>
    <row r="11" spans="1:9" s="4" customFormat="1" x14ac:dyDescent="0.35">
      <c r="A11" s="121"/>
      <c r="B11" s="121" t="s">
        <v>36</v>
      </c>
      <c r="C11" s="121" t="s">
        <v>37</v>
      </c>
      <c r="D11" s="121" t="s">
        <v>38</v>
      </c>
      <c r="E11" s="121" t="s">
        <v>39</v>
      </c>
      <c r="F11" s="121" t="s">
        <v>40</v>
      </c>
    </row>
    <row r="12" spans="1:9" s="4" customFormat="1" x14ac:dyDescent="0.35">
      <c r="A12" s="88" t="s">
        <v>133</v>
      </c>
      <c r="B12" s="89">
        <f>$B$7</f>
        <v>55000</v>
      </c>
      <c r="C12" s="89">
        <f t="shared" ref="C12:F12" si="0">$B$7</f>
        <v>55000</v>
      </c>
      <c r="D12" s="89">
        <f t="shared" si="0"/>
        <v>55000</v>
      </c>
      <c r="E12" s="89">
        <f t="shared" si="0"/>
        <v>55000</v>
      </c>
      <c r="F12" s="89">
        <f t="shared" si="0"/>
        <v>55000</v>
      </c>
      <c r="G12" s="90"/>
      <c r="H12" s="90"/>
      <c r="I12" s="90"/>
    </row>
    <row r="13" spans="1:9" s="4" customFormat="1" x14ac:dyDescent="0.35">
      <c r="A13" s="88" t="s">
        <v>87</v>
      </c>
      <c r="B13" s="89">
        <v>0</v>
      </c>
      <c r="C13" s="89">
        <v>6000</v>
      </c>
      <c r="D13" s="89">
        <v>6000</v>
      </c>
      <c r="E13" s="89">
        <v>25000</v>
      </c>
      <c r="F13" s="89">
        <v>25000</v>
      </c>
      <c r="G13" s="90"/>
    </row>
    <row r="14" spans="1:9" s="4" customFormat="1" x14ac:dyDescent="0.35">
      <c r="A14" s="91" t="s">
        <v>120</v>
      </c>
      <c r="B14" s="92">
        <f>SUM(B12:B13)</f>
        <v>55000</v>
      </c>
      <c r="C14" s="92">
        <f t="shared" ref="C14:F14" si="1">SUM(C12:C13)</f>
        <v>61000</v>
      </c>
      <c r="D14" s="92">
        <f t="shared" si="1"/>
        <v>61000</v>
      </c>
      <c r="E14" s="92">
        <f t="shared" si="1"/>
        <v>80000</v>
      </c>
      <c r="F14" s="92">
        <f t="shared" si="1"/>
        <v>80000</v>
      </c>
      <c r="G14" s="48"/>
    </row>
    <row r="15" spans="1:9" s="4" customFormat="1" x14ac:dyDescent="0.35"/>
    <row r="16" spans="1:9" s="4" customFormat="1" ht="15" customHeight="1" x14ac:dyDescent="0.35">
      <c r="A16" s="104" t="s">
        <v>134</v>
      </c>
    </row>
    <row r="17" spans="1:10" s="4" customFormat="1" ht="15" customHeight="1" x14ac:dyDescent="0.35">
      <c r="A17" s="121"/>
      <c r="B17" s="121" t="s">
        <v>133</v>
      </c>
      <c r="C17" s="121" t="s">
        <v>135</v>
      </c>
      <c r="E17" s="90"/>
      <c r="F17" s="90"/>
    </row>
    <row r="18" spans="1:10" s="4" customFormat="1" ht="15" customHeight="1" x14ac:dyDescent="0.35">
      <c r="A18" s="93" t="s">
        <v>136</v>
      </c>
      <c r="B18" s="94">
        <f>B6</f>
        <v>-250000</v>
      </c>
      <c r="C18" s="100">
        <f>B18</f>
        <v>-250000</v>
      </c>
      <c r="D18" s="90"/>
      <c r="E18" s="90"/>
      <c r="F18" s="90"/>
      <c r="J18" s="95"/>
    </row>
    <row r="19" spans="1:10" s="4" customFormat="1" ht="15" customHeight="1" x14ac:dyDescent="0.35">
      <c r="A19" s="88" t="s">
        <v>36</v>
      </c>
      <c r="B19" s="89">
        <f>B14</f>
        <v>55000</v>
      </c>
      <c r="C19" s="100">
        <f>SUM($B$18:B19)</f>
        <v>-195000</v>
      </c>
      <c r="G19" s="5"/>
      <c r="H19" s="48"/>
      <c r="I19" s="48"/>
    </row>
    <row r="20" spans="1:10" s="4" customFormat="1" ht="15" customHeight="1" x14ac:dyDescent="0.35">
      <c r="A20" s="88" t="s">
        <v>37</v>
      </c>
      <c r="B20" s="89">
        <f>C14</f>
        <v>61000</v>
      </c>
      <c r="C20" s="100">
        <f>SUM($B$18:B20)</f>
        <v>-134000</v>
      </c>
      <c r="G20" s="5"/>
      <c r="H20" s="48"/>
      <c r="I20" s="48"/>
    </row>
    <row r="21" spans="1:10" s="4" customFormat="1" ht="15" customHeight="1" x14ac:dyDescent="0.35">
      <c r="A21" s="88" t="s">
        <v>38</v>
      </c>
      <c r="B21" s="89">
        <f>D14</f>
        <v>61000</v>
      </c>
      <c r="C21" s="100">
        <f>SUM($B$18:B21)</f>
        <v>-73000</v>
      </c>
    </row>
    <row r="22" spans="1:10" s="4" customFormat="1" ht="15" customHeight="1" x14ac:dyDescent="0.35">
      <c r="A22" s="88" t="s">
        <v>39</v>
      </c>
      <c r="B22" s="89">
        <f>E14</f>
        <v>80000</v>
      </c>
      <c r="C22" s="100">
        <f>SUM($B$18:B22)</f>
        <v>7000</v>
      </c>
    </row>
    <row r="23" spans="1:10" s="4" customFormat="1" ht="15" customHeight="1" x14ac:dyDescent="0.35">
      <c r="A23" s="88" t="s">
        <v>40</v>
      </c>
      <c r="B23" s="89">
        <f>F14</f>
        <v>80000</v>
      </c>
      <c r="C23" s="100">
        <f>SUM($B$18:B23)</f>
        <v>87000</v>
      </c>
    </row>
    <row r="24" spans="1:10" s="4" customFormat="1" ht="15" customHeight="1" x14ac:dyDescent="0.35">
      <c r="B24" s="133"/>
      <c r="F24" s="5"/>
    </row>
    <row r="25" spans="1:10" s="4" customFormat="1" ht="15" customHeight="1" x14ac:dyDescent="0.35">
      <c r="A25" s="131" t="s">
        <v>137</v>
      </c>
      <c r="B25" s="132"/>
      <c r="C25" s="101">
        <v>0.12</v>
      </c>
    </row>
    <row r="26" spans="1:10" s="4" customFormat="1" ht="15" customHeight="1" x14ac:dyDescent="0.35">
      <c r="A26" s="131" t="s">
        <v>138</v>
      </c>
      <c r="B26" s="132"/>
      <c r="C26" s="96">
        <f>NPV(C25,B19:B23)</f>
        <v>237390.15923424758</v>
      </c>
    </row>
    <row r="27" spans="1:10" s="4" customFormat="1" ht="15" customHeight="1" x14ac:dyDescent="0.35">
      <c r="A27" s="131" t="s">
        <v>139</v>
      </c>
      <c r="B27" s="132"/>
      <c r="C27" s="97">
        <f>B18+C26</f>
        <v>-12609.840765752422</v>
      </c>
    </row>
    <row r="28" spans="1:10" s="4" customFormat="1" ht="15" customHeight="1" x14ac:dyDescent="0.35">
      <c r="A28" s="131" t="s">
        <v>140</v>
      </c>
      <c r="B28" s="132"/>
      <c r="C28" s="98">
        <f>IRR(B18:B23)</f>
        <v>0.10081442374090899</v>
      </c>
    </row>
    <row r="29" spans="1:10" s="4" customFormat="1" x14ac:dyDescent="0.35"/>
    <row r="30" spans="1:10" s="4" customFormat="1" x14ac:dyDescent="0.35"/>
    <row r="31" spans="1:10" s="4" customFormat="1" x14ac:dyDescent="0.35"/>
    <row r="32" spans="1:10" s="4" customFormat="1" x14ac:dyDescent="0.35"/>
    <row r="33" s="4" customFormat="1" x14ac:dyDescent="0.35"/>
    <row r="34" s="4" customFormat="1" x14ac:dyDescent="0.35"/>
    <row r="35" s="4" customFormat="1" x14ac:dyDescent="0.35"/>
    <row r="36" s="4" customFormat="1" x14ac:dyDescent="0.35"/>
    <row r="37" s="4" customFormat="1" x14ac:dyDescent="0.35"/>
    <row r="38" s="4" customFormat="1" x14ac:dyDescent="0.35"/>
    <row r="39" s="4" customFormat="1" x14ac:dyDescent="0.35"/>
    <row r="40" s="4" customFormat="1" x14ac:dyDescent="0.35"/>
    <row r="41" s="4" customFormat="1" x14ac:dyDescent="0.35"/>
    <row r="42" s="4" customFormat="1" x14ac:dyDescent="0.35"/>
    <row r="43" s="4" customFormat="1" x14ac:dyDescent="0.35"/>
    <row r="44" s="4" customFormat="1" x14ac:dyDescent="0.35"/>
    <row r="45" s="4" customFormat="1" x14ac:dyDescent="0.35"/>
    <row r="46" s="4" customFormat="1" x14ac:dyDescent="0.35"/>
    <row r="47" s="4" customFormat="1" x14ac:dyDescent="0.35"/>
    <row r="48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  <row r="153" s="4" customFormat="1" x14ac:dyDescent="0.35"/>
    <row r="154" s="4" customFormat="1" x14ac:dyDescent="0.35"/>
  </sheetData>
  <mergeCells count="4">
    <mergeCell ref="A25:B25"/>
    <mergeCell ref="A26:B26"/>
    <mergeCell ref="A27:B27"/>
    <mergeCell ref="A28:B28"/>
  </mergeCells>
  <conditionalFormatting sqref="C18:C23">
    <cfRule type="cellIs" dxfId="4" priority="4" operator="lessThan">
      <formula>0</formula>
    </cfRule>
  </conditionalFormatting>
  <conditionalFormatting sqref="B18:B23">
    <cfRule type="cellIs" dxfId="3" priority="3" operator="lessThan">
      <formula>0</formula>
    </cfRule>
  </conditionalFormatting>
  <conditionalFormatting sqref="B6">
    <cfRule type="cellIs" dxfId="2" priority="2" operator="lessThan">
      <formula>0</formula>
    </cfRule>
  </conditionalFormatting>
  <conditionalFormatting sqref="C27">
    <cfRule type="cellIs" dxfId="1" priority="1" operator="lessThan">
      <formula>0</formula>
    </cfRule>
  </conditionalFormatting>
  <pageMargins left="0.7" right="0.7" top="0.75" bottom="0.75" header="0.3" footer="0.3"/>
  <pageSetup scale="86" orientation="portrait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13"/>
  <sheetViews>
    <sheetView tabSelected="1" topLeftCell="A2" zoomScale="120" zoomScaleNormal="120" workbookViewId="0">
      <selection activeCell="F18" sqref="F18"/>
    </sheetView>
  </sheetViews>
  <sheetFormatPr defaultColWidth="9.1796875" defaultRowHeight="14.5" x14ac:dyDescent="0.35"/>
  <cols>
    <col min="1" max="1" width="36" style="28" customWidth="1"/>
    <col min="2" max="6" width="13.7265625" style="28" customWidth="1"/>
    <col min="7" max="16384" width="9.1796875" style="28"/>
  </cols>
  <sheetData>
    <row r="1" spans="1:6" s="2" customFormat="1" ht="43" x14ac:dyDescent="1.1000000000000001">
      <c r="A1" s="102" t="s">
        <v>159</v>
      </c>
    </row>
    <row r="2" spans="1:6" s="2" customFormat="1" ht="23.5" x14ac:dyDescent="0.55000000000000004">
      <c r="A2" s="103" t="s">
        <v>55</v>
      </c>
    </row>
    <row r="4" spans="1:6" s="4" customFormat="1" ht="17" x14ac:dyDescent="0.35">
      <c r="A4" s="104" t="s">
        <v>56</v>
      </c>
      <c r="B4" s="113" t="s">
        <v>36</v>
      </c>
      <c r="C4" s="113" t="s">
        <v>37</v>
      </c>
      <c r="D4" s="113" t="s">
        <v>38</v>
      </c>
      <c r="E4" s="113" t="s">
        <v>39</v>
      </c>
      <c r="F4" s="113" t="s">
        <v>40</v>
      </c>
    </row>
    <row r="5" spans="1:6" s="4" customFormat="1" x14ac:dyDescent="0.35">
      <c r="A5" s="107" t="s">
        <v>57</v>
      </c>
    </row>
    <row r="6" spans="1:6" s="4" customFormat="1" x14ac:dyDescent="0.35">
      <c r="A6" s="4" t="s">
        <v>7</v>
      </c>
      <c r="B6" s="5">
        <f>Cash!B23</f>
        <v>10266.36321812743</v>
      </c>
      <c r="C6" s="5">
        <f>Cash!C23</f>
        <v>-107108.68561988036</v>
      </c>
      <c r="D6" s="5">
        <f>Cash!D23</f>
        <v>-48176.625937150704</v>
      </c>
      <c r="E6" s="5">
        <f>Cash!E23</f>
        <v>269392.79331570619</v>
      </c>
      <c r="F6" s="5">
        <f>Cash!F23</f>
        <v>973807.8721502166</v>
      </c>
    </row>
    <row r="7" spans="1:6" s="4" customFormat="1" x14ac:dyDescent="0.35">
      <c r="A7" s="4" t="s">
        <v>58</v>
      </c>
      <c r="B7" s="5">
        <v>0</v>
      </c>
      <c r="C7" s="5">
        <v>0</v>
      </c>
      <c r="D7" s="5">
        <v>0</v>
      </c>
      <c r="E7" s="5">
        <v>0</v>
      </c>
      <c r="F7" s="5">
        <v>0</v>
      </c>
    </row>
    <row r="8" spans="1:6" s="4" customFormat="1" x14ac:dyDescent="0.35">
      <c r="A8" s="4" t="s">
        <v>59</v>
      </c>
      <c r="B8" s="5">
        <v>0</v>
      </c>
      <c r="C8" s="5">
        <v>0</v>
      </c>
      <c r="D8" s="5">
        <v>0</v>
      </c>
      <c r="E8" s="5">
        <v>0</v>
      </c>
      <c r="F8" s="5">
        <v>0</v>
      </c>
    </row>
    <row r="9" spans="1:6" s="4" customFormat="1" x14ac:dyDescent="0.35">
      <c r="A9" s="45" t="s">
        <v>60</v>
      </c>
      <c r="B9" s="46">
        <f>SUM(B6:B8)</f>
        <v>10266.36321812743</v>
      </c>
      <c r="C9" s="46">
        <f>SUM(C6:C8)</f>
        <v>-107108.68561988036</v>
      </c>
      <c r="D9" s="46">
        <f>SUM(D6:D8)</f>
        <v>-48176.625937150704</v>
      </c>
      <c r="E9" s="46">
        <f>SUM(E6:E8)</f>
        <v>269392.79331570619</v>
      </c>
      <c r="F9" s="46">
        <f>SUM(F6:F8)</f>
        <v>973807.8721502166</v>
      </c>
    </row>
    <row r="10" spans="1:6" s="4" customFormat="1" x14ac:dyDescent="0.35"/>
    <row r="11" spans="1:6" s="4" customFormat="1" x14ac:dyDescent="0.35">
      <c r="A11" s="107" t="s">
        <v>61</v>
      </c>
    </row>
    <row r="12" spans="1:6" s="4" customFormat="1" x14ac:dyDescent="0.35">
      <c r="A12" s="4" t="s">
        <v>8</v>
      </c>
      <c r="B12" s="5">
        <f>'Startup Plan'!$B$10</f>
        <v>110000</v>
      </c>
      <c r="C12" s="5">
        <f>'Startup Plan'!$B$10</f>
        <v>110000</v>
      </c>
      <c r="D12" s="5">
        <f>'Startup Plan'!$B$10</f>
        <v>110000</v>
      </c>
      <c r="E12" s="5">
        <f>'Startup Plan'!$B$10</f>
        <v>110000</v>
      </c>
      <c r="F12" s="5">
        <f>'Startup Plan'!$B$10</f>
        <v>110000</v>
      </c>
    </row>
    <row r="13" spans="1:6" s="4" customFormat="1" x14ac:dyDescent="0.35">
      <c r="A13" s="4" t="s">
        <v>9</v>
      </c>
      <c r="B13" s="5">
        <f>'Startup Plan'!$B$11</f>
        <v>100000</v>
      </c>
      <c r="C13" s="5">
        <f>'Startup Plan'!$B$11</f>
        <v>100000</v>
      </c>
      <c r="D13" s="5">
        <f>'Startup Plan'!$B$11</f>
        <v>100000</v>
      </c>
      <c r="E13" s="5">
        <f>'Startup Plan'!$B$11</f>
        <v>100000</v>
      </c>
      <c r="F13" s="5">
        <f>'Startup Plan'!$B$11</f>
        <v>100000</v>
      </c>
    </row>
    <row r="14" spans="1:6" s="4" customFormat="1" x14ac:dyDescent="0.35">
      <c r="A14" s="6" t="s">
        <v>10</v>
      </c>
      <c r="B14" s="7">
        <f>'Startup Plan'!$B$12</f>
        <v>350000</v>
      </c>
      <c r="C14" s="7">
        <f>'Startup Plan'!$B$12</f>
        <v>350000</v>
      </c>
      <c r="D14" s="7">
        <f>'Startup Plan'!$B$12</f>
        <v>350000</v>
      </c>
      <c r="E14" s="7">
        <f>'Startup Plan'!$B$12</f>
        <v>350000</v>
      </c>
      <c r="F14" s="7">
        <f>'Startup Plan'!$B$12</f>
        <v>350000</v>
      </c>
    </row>
    <row r="15" spans="1:6" s="4" customFormat="1" x14ac:dyDescent="0.35">
      <c r="A15" s="4" t="s">
        <v>62</v>
      </c>
      <c r="B15" s="5">
        <f>-Depreciation!B17</f>
        <v>-42700</v>
      </c>
      <c r="C15" s="5">
        <f>-Depreciation!C17</f>
        <v>-80190.600000000006</v>
      </c>
      <c r="D15" s="5">
        <f>-Depreciation!D17</f>
        <v>-113107.3468</v>
      </c>
      <c r="E15" s="5">
        <f>-Depreciation!E17</f>
        <v>-142008.25049040001</v>
      </c>
      <c r="F15" s="5">
        <f>-Depreciation!F17</f>
        <v>-167383.24393057122</v>
      </c>
    </row>
    <row r="16" spans="1:6" s="4" customFormat="1" x14ac:dyDescent="0.35">
      <c r="A16" s="45" t="s">
        <v>63</v>
      </c>
      <c r="B16" s="46">
        <f>SUM(B12:B15)</f>
        <v>517300</v>
      </c>
      <c r="C16" s="46">
        <f t="shared" ref="C16:F16" si="0">SUM(C12:C15)</f>
        <v>479809.4</v>
      </c>
      <c r="D16" s="46">
        <f t="shared" si="0"/>
        <v>446892.6532</v>
      </c>
      <c r="E16" s="46">
        <f t="shared" si="0"/>
        <v>417991.74950959999</v>
      </c>
      <c r="F16" s="46">
        <f t="shared" si="0"/>
        <v>392616.75606942875</v>
      </c>
    </row>
    <row r="17" spans="1:6" s="4" customFormat="1" x14ac:dyDescent="0.35"/>
    <row r="18" spans="1:6" s="4" customFormat="1" ht="15" thickBot="1" x14ac:dyDescent="0.4">
      <c r="A18" s="26" t="s">
        <v>64</v>
      </c>
      <c r="B18" s="47">
        <f>B9+B16</f>
        <v>527566.3632181274</v>
      </c>
      <c r="C18" s="47">
        <f>C9+C16</f>
        <v>372700.71438011969</v>
      </c>
      <c r="D18" s="47">
        <f>D9+D16</f>
        <v>398716.02726284927</v>
      </c>
      <c r="E18" s="47">
        <f>E9+E16</f>
        <v>687384.54282530618</v>
      </c>
      <c r="F18" s="47">
        <f>F9+F16</f>
        <v>1366424.6282196455</v>
      </c>
    </row>
    <row r="19" spans="1:6" s="4" customFormat="1" ht="15" thickTop="1" x14ac:dyDescent="0.35"/>
    <row r="20" spans="1:6" s="4" customFormat="1" ht="17" x14ac:dyDescent="0.35">
      <c r="A20" s="104" t="s">
        <v>65</v>
      </c>
      <c r="B20" s="113" t="s">
        <v>36</v>
      </c>
      <c r="C20" s="113" t="s">
        <v>37</v>
      </c>
      <c r="D20" s="113" t="s">
        <v>38</v>
      </c>
      <c r="E20" s="113" t="s">
        <v>39</v>
      </c>
      <c r="F20" s="113" t="s">
        <v>40</v>
      </c>
    </row>
    <row r="21" spans="1:6" s="4" customFormat="1" x14ac:dyDescent="0.35">
      <c r="A21" s="107" t="s">
        <v>66</v>
      </c>
    </row>
    <row r="22" spans="1:6" s="4" customFormat="1" x14ac:dyDescent="0.35">
      <c r="A22" s="45" t="s">
        <v>67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</row>
    <row r="23" spans="1:6" s="4" customFormat="1" x14ac:dyDescent="0.35"/>
    <row r="24" spans="1:6" s="4" customFormat="1" x14ac:dyDescent="0.35">
      <c r="A24" s="107" t="s">
        <v>68</v>
      </c>
    </row>
    <row r="25" spans="1:6" s="4" customFormat="1" x14ac:dyDescent="0.35">
      <c r="A25" s="45" t="s">
        <v>69</v>
      </c>
      <c r="B25" s="46">
        <f>'Amortization Schedule'!B57</f>
        <v>609632.86963787512</v>
      </c>
      <c r="C25" s="46">
        <f>'Amortization Schedule'!C57</f>
        <v>556306.5813034696</v>
      </c>
      <c r="D25" s="46">
        <f>'Amortization Schedule'!D57</f>
        <v>499847.27923327341</v>
      </c>
      <c r="E25" s="46">
        <f>'Amortization Schedule'!E57</f>
        <v>440070.89333024365</v>
      </c>
      <c r="F25" s="46">
        <f>'Amortization Schedule'!F57</f>
        <v>376782.53905364755</v>
      </c>
    </row>
    <row r="26" spans="1:6" s="4" customFormat="1" x14ac:dyDescent="0.35"/>
    <row r="27" spans="1:6" s="4" customFormat="1" x14ac:dyDescent="0.35">
      <c r="A27" s="107" t="s">
        <v>70</v>
      </c>
    </row>
    <row r="28" spans="1:6" s="4" customFormat="1" x14ac:dyDescent="0.35">
      <c r="A28" s="43" t="s">
        <v>71</v>
      </c>
      <c r="B28" s="10">
        <f>'Startup Plan'!$B$32</f>
        <v>1060000</v>
      </c>
      <c r="C28" s="10">
        <f>'Startup Plan'!$B$32</f>
        <v>1060000</v>
      </c>
      <c r="D28" s="10">
        <f>'Startup Plan'!$B$32</f>
        <v>1060000</v>
      </c>
      <c r="E28" s="10">
        <f>'Startup Plan'!$B$32</f>
        <v>1060000</v>
      </c>
      <c r="F28" s="10">
        <f>'Startup Plan'!$B$32</f>
        <v>1060000</v>
      </c>
    </row>
    <row r="29" spans="1:6" s="4" customFormat="1" x14ac:dyDescent="0.35">
      <c r="A29" s="4" t="s">
        <v>72</v>
      </c>
      <c r="B29" s="5">
        <f>-'Startup Plan'!$B$7</f>
        <v>-950000</v>
      </c>
      <c r="C29" s="5">
        <f>-'Startup Plan'!$B$7</f>
        <v>-950000</v>
      </c>
      <c r="D29" s="5">
        <f>-'Startup Plan'!$B$7</f>
        <v>-950000</v>
      </c>
      <c r="E29" s="5">
        <f>-'Startup Plan'!$B$7</f>
        <v>-950000</v>
      </c>
      <c r="F29" s="5">
        <f>-'Startup Plan'!$B$7</f>
        <v>-950000</v>
      </c>
    </row>
    <row r="30" spans="1:6" s="4" customFormat="1" x14ac:dyDescent="0.35">
      <c r="A30" s="6" t="s">
        <v>73</v>
      </c>
      <c r="B30" s="7">
        <f>-Cash!B15</f>
        <v>-55000</v>
      </c>
      <c r="C30" s="7">
        <f>B30-Cash!C15</f>
        <v>-110000</v>
      </c>
      <c r="D30" s="7">
        <f>C30-Cash!D15</f>
        <v>-165000</v>
      </c>
      <c r="E30" s="7">
        <f>D30-Cash!E15</f>
        <v>-220000</v>
      </c>
      <c r="F30" s="7">
        <f>E30-Cash!F15</f>
        <v>-275000</v>
      </c>
    </row>
    <row r="31" spans="1:6" s="4" customFormat="1" x14ac:dyDescent="0.35">
      <c r="A31" s="4" t="s">
        <v>74</v>
      </c>
      <c r="B31" s="5">
        <f>'Profit and Loss'!B33</f>
        <v>-137066.50641974772</v>
      </c>
      <c r="C31" s="5">
        <f>B31+'Profit and Loss'!C33</f>
        <v>-183605.86692334997</v>
      </c>
      <c r="D31" s="5">
        <f>C31+'Profit and Loss'!D33</f>
        <v>-46131.251970424142</v>
      </c>
      <c r="E31" s="5">
        <f>D31+'Profit and Loss'!E33</f>
        <v>357313.64949506248</v>
      </c>
      <c r="F31" s="5">
        <f>E31+'Profit and Loss'!F33</f>
        <v>1154642.0891659977</v>
      </c>
    </row>
    <row r="32" spans="1:6" s="4" customFormat="1" x14ac:dyDescent="0.35">
      <c r="A32" s="45" t="s">
        <v>75</v>
      </c>
      <c r="B32" s="46">
        <f>SUM(B28:B31)</f>
        <v>-82066.506419747719</v>
      </c>
      <c r="C32" s="46">
        <f>SUM(C28:C31)</f>
        <v>-183605.86692334997</v>
      </c>
      <c r="D32" s="46">
        <f>SUM(D28:D31)</f>
        <v>-101131.25197042414</v>
      </c>
      <c r="E32" s="46">
        <f>SUM(E28:E31)</f>
        <v>247313.64949506248</v>
      </c>
      <c r="F32" s="46">
        <f>SUM(F28:F31)</f>
        <v>989642.08916599769</v>
      </c>
    </row>
    <row r="33" spans="1:6" s="4" customFormat="1" x14ac:dyDescent="0.35"/>
    <row r="34" spans="1:6" s="4" customFormat="1" ht="15" thickBot="1" x14ac:dyDescent="0.4">
      <c r="A34" s="26" t="s">
        <v>76</v>
      </c>
      <c r="B34" s="47">
        <f>B22+B25+B32</f>
        <v>527566.3632181274</v>
      </c>
      <c r="C34" s="47">
        <f>C22+C25+C32</f>
        <v>372700.71438011964</v>
      </c>
      <c r="D34" s="47">
        <f>D22+D25+D32</f>
        <v>398716.02726284927</v>
      </c>
      <c r="E34" s="47">
        <f>E22+E25+E32</f>
        <v>687384.54282530607</v>
      </c>
      <c r="F34" s="47">
        <f>F22+F25+F32</f>
        <v>1366424.6282196452</v>
      </c>
    </row>
    <row r="35" spans="1:6" s="4" customFormat="1" ht="15" thickTop="1" x14ac:dyDescent="0.35"/>
    <row r="36" spans="1:6" s="4" customFormat="1" ht="15" thickBot="1" x14ac:dyDescent="0.4">
      <c r="A36" s="26" t="s">
        <v>77</v>
      </c>
      <c r="B36" s="47">
        <f>B18-B25</f>
        <v>-82066.506419747719</v>
      </c>
      <c r="C36" s="47">
        <f t="shared" ref="C36:F36" si="1">C18-C25</f>
        <v>-183605.86692334991</v>
      </c>
      <c r="D36" s="47">
        <f t="shared" si="1"/>
        <v>-101131.25197042414</v>
      </c>
      <c r="E36" s="47">
        <f t="shared" si="1"/>
        <v>247313.64949506253</v>
      </c>
      <c r="F36" s="47">
        <f t="shared" si="1"/>
        <v>989642.08916599792</v>
      </c>
    </row>
    <row r="37" spans="1:6" s="4" customFormat="1" ht="15" thickTop="1" x14ac:dyDescent="0.35"/>
    <row r="38" spans="1:6" s="4" customFormat="1" x14ac:dyDescent="0.35"/>
    <row r="39" spans="1:6" s="4" customFormat="1" x14ac:dyDescent="0.35"/>
    <row r="40" spans="1:6" s="4" customFormat="1" x14ac:dyDescent="0.35"/>
    <row r="41" spans="1:6" s="4" customFormat="1" x14ac:dyDescent="0.35"/>
    <row r="42" spans="1:6" s="4" customFormat="1" x14ac:dyDescent="0.35"/>
    <row r="43" spans="1:6" s="4" customFormat="1" x14ac:dyDescent="0.35"/>
    <row r="44" spans="1:6" s="4" customFormat="1" x14ac:dyDescent="0.35"/>
    <row r="45" spans="1:6" s="4" customFormat="1" x14ac:dyDescent="0.35"/>
    <row r="46" spans="1:6" s="4" customFormat="1" x14ac:dyDescent="0.35"/>
    <row r="47" spans="1:6" s="4" customFormat="1" x14ac:dyDescent="0.35"/>
    <row r="48" spans="1:6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6"/>
  </cellWatch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57"/>
  <sheetViews>
    <sheetView topLeftCell="A7" zoomScale="120" zoomScaleNormal="120" workbookViewId="0">
      <selection activeCell="B8" sqref="B8"/>
    </sheetView>
  </sheetViews>
  <sheetFormatPr defaultColWidth="9.1796875" defaultRowHeight="14.5" x14ac:dyDescent="0.35"/>
  <cols>
    <col min="1" max="1" width="34.81640625" style="28" customWidth="1"/>
    <col min="2" max="6" width="17" style="28" customWidth="1"/>
    <col min="7" max="7" width="9.1796875" style="28"/>
    <col min="8" max="11" width="12.1796875" style="28" customWidth="1"/>
    <col min="12" max="16384" width="9.1796875" style="28"/>
  </cols>
  <sheetData>
    <row r="1" spans="1:11" s="2" customFormat="1" ht="43" x14ac:dyDescent="1.1000000000000001">
      <c r="A1" s="102" t="s">
        <v>159</v>
      </c>
    </row>
    <row r="2" spans="1:11" s="2" customFormat="1" ht="23.5" x14ac:dyDescent="0.55000000000000004">
      <c r="A2" s="103" t="s">
        <v>78</v>
      </c>
    </row>
    <row r="4" spans="1:11" s="4" customFormat="1" ht="17" x14ac:dyDescent="0.35">
      <c r="A4" s="104" t="s">
        <v>17</v>
      </c>
      <c r="B4" s="99">
        <f>'Startup Plan'!B20</f>
        <v>210000</v>
      </c>
    </row>
    <row r="5" spans="1:11" s="4" customFormat="1" x14ac:dyDescent="0.35"/>
    <row r="6" spans="1:11" s="4" customFormat="1" ht="17" x14ac:dyDescent="0.35">
      <c r="A6" s="104" t="s">
        <v>79</v>
      </c>
      <c r="B6" s="113" t="s">
        <v>36</v>
      </c>
      <c r="C6" s="113" t="s">
        <v>37</v>
      </c>
      <c r="D6" s="113" t="s">
        <v>38</v>
      </c>
      <c r="E6" s="113" t="s">
        <v>39</v>
      </c>
      <c r="F6" s="113" t="s">
        <v>40</v>
      </c>
    </row>
    <row r="7" spans="1:11" s="4" customFormat="1" x14ac:dyDescent="0.35">
      <c r="A7" s="15" t="s">
        <v>49</v>
      </c>
      <c r="B7" s="18">
        <f>'Profit and Loss'!B23</f>
        <v>-167700.0000000227</v>
      </c>
      <c r="C7" s="18">
        <f>'Profit and Loss'!C23</f>
        <v>-26588.790933280274</v>
      </c>
      <c r="D7" s="18">
        <f>'Profit and Loss'!D23</f>
        <v>174259.31849818662</v>
      </c>
      <c r="E7" s="18">
        <f>'Profit and Loss'!E23</f>
        <v>455912.52117791382</v>
      </c>
      <c r="F7" s="18">
        <f>'Profit and Loss'!F23</f>
        <v>846284.09100979613</v>
      </c>
    </row>
    <row r="8" spans="1:11" s="4" customFormat="1" x14ac:dyDescent="0.35">
      <c r="A8" s="15" t="s">
        <v>80</v>
      </c>
      <c r="B8" s="18">
        <f>'Profit and Loss'!B22</f>
        <v>42700</v>
      </c>
      <c r="C8" s="18">
        <f>'Profit and Loss'!C22</f>
        <v>37490.6</v>
      </c>
      <c r="D8" s="18">
        <f>'Profit and Loss'!D22</f>
        <v>32916.746800000001</v>
      </c>
      <c r="E8" s="18">
        <f>'Profit and Loss'!E22</f>
        <v>28900.903690400002</v>
      </c>
      <c r="F8" s="18">
        <f>'Profit and Loss'!F22</f>
        <v>25374.993440171202</v>
      </c>
    </row>
    <row r="9" spans="1:11" s="4" customFormat="1" x14ac:dyDescent="0.35">
      <c r="A9" s="4" t="s">
        <v>81</v>
      </c>
      <c r="B9" s="48">
        <v>0</v>
      </c>
      <c r="C9" s="48">
        <v>0</v>
      </c>
      <c r="D9" s="48">
        <v>0</v>
      </c>
      <c r="E9" s="48">
        <v>0</v>
      </c>
      <c r="F9" s="48">
        <v>0</v>
      </c>
    </row>
    <row r="10" spans="1:11" s="4" customFormat="1" x14ac:dyDescent="0.35">
      <c r="A10" s="4" t="s">
        <v>82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</row>
    <row r="11" spans="1:11" s="4" customFormat="1" x14ac:dyDescent="0.35">
      <c r="A11" s="4" t="s">
        <v>83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</row>
    <row r="12" spans="1:11" s="4" customFormat="1" x14ac:dyDescent="0.35">
      <c r="A12" s="45" t="s">
        <v>84</v>
      </c>
      <c r="B12" s="49">
        <f>SUM(B7:B11)</f>
        <v>-125000.0000000227</v>
      </c>
      <c r="C12" s="49">
        <f t="shared" ref="C12:F12" si="0">SUM(C7:C11)</f>
        <v>10901.809066719725</v>
      </c>
      <c r="D12" s="49">
        <f t="shared" si="0"/>
        <v>207176.06529818662</v>
      </c>
      <c r="E12" s="49">
        <f t="shared" si="0"/>
        <v>484813.42486831383</v>
      </c>
      <c r="F12" s="49">
        <f t="shared" si="0"/>
        <v>871659.08444996737</v>
      </c>
    </row>
    <row r="13" spans="1:11" s="15" customFormat="1" x14ac:dyDescent="0.35">
      <c r="A13" s="4"/>
      <c r="B13" s="4"/>
      <c r="C13" s="4"/>
      <c r="D13" s="4"/>
      <c r="E13" s="4"/>
      <c r="F13" s="4"/>
    </row>
    <row r="14" spans="1:11" s="15" customFormat="1" ht="17" x14ac:dyDescent="0.35">
      <c r="A14" s="104" t="s">
        <v>85</v>
      </c>
      <c r="B14" s="113" t="s">
        <v>36</v>
      </c>
      <c r="C14" s="113" t="s">
        <v>37</v>
      </c>
      <c r="D14" s="113" t="s">
        <v>38</v>
      </c>
      <c r="E14" s="113" t="s">
        <v>39</v>
      </c>
      <c r="F14" s="113" t="s">
        <v>40</v>
      </c>
    </row>
    <row r="15" spans="1:11" s="4" customFormat="1" x14ac:dyDescent="0.35">
      <c r="A15" s="4" t="s">
        <v>86</v>
      </c>
      <c r="B15" s="18">
        <f>Investment!B12</f>
        <v>55000</v>
      </c>
      <c r="C15" s="18">
        <f>Investment!C12</f>
        <v>55000</v>
      </c>
      <c r="D15" s="18">
        <f>Investment!D12</f>
        <v>55000</v>
      </c>
      <c r="E15" s="18">
        <f>Investment!E12</f>
        <v>55000</v>
      </c>
      <c r="F15" s="18">
        <f>Investment!F12</f>
        <v>55000</v>
      </c>
      <c r="H15" s="50"/>
      <c r="I15" s="50"/>
      <c r="J15" s="50"/>
      <c r="K15" s="50"/>
    </row>
    <row r="16" spans="1:11" s="4" customFormat="1" x14ac:dyDescent="0.35">
      <c r="A16" s="4" t="s">
        <v>87</v>
      </c>
      <c r="B16" s="18">
        <f>Investment!B13</f>
        <v>0</v>
      </c>
      <c r="C16" s="18">
        <f>Investment!C13</f>
        <v>6000</v>
      </c>
      <c r="D16" s="18">
        <f>Investment!D13</f>
        <v>6000</v>
      </c>
      <c r="E16" s="18">
        <f>Investment!E13</f>
        <v>25000</v>
      </c>
      <c r="F16" s="18">
        <f>Investment!F13</f>
        <v>25000</v>
      </c>
      <c r="H16" s="50"/>
      <c r="I16" s="50"/>
      <c r="J16" s="50"/>
      <c r="K16" s="50"/>
    </row>
    <row r="17" spans="1:11" s="4" customFormat="1" x14ac:dyDescent="0.35">
      <c r="A17" s="4" t="s">
        <v>88</v>
      </c>
      <c r="B17" s="18">
        <f>'Profit and Loss'!B28</f>
        <v>-67510.368833607092</v>
      </c>
      <c r="C17" s="18">
        <f>'Profit and Loss'!C28</f>
        <v>-19967.14771072946</v>
      </c>
      <c r="D17" s="18">
        <f>'Profit and Loss'!D28</f>
        <v>0</v>
      </c>
      <c r="E17" s="18">
        <f>'Profit and Loss'!E28</f>
        <v>0</v>
      </c>
      <c r="F17" s="18">
        <f>'Profit and Loss'!F28</f>
        <v>0</v>
      </c>
      <c r="H17" s="50"/>
      <c r="I17" s="50"/>
      <c r="J17" s="50"/>
      <c r="K17" s="50"/>
    </row>
    <row r="18" spans="1:11" s="4" customFormat="1" x14ac:dyDescent="0.35">
      <c r="A18" s="4" t="s">
        <v>89</v>
      </c>
      <c r="B18" s="18">
        <f>-'Amortization Schedule'!B56</f>
        <v>36876.875253332109</v>
      </c>
      <c r="C18" s="18">
        <f>-'Amortization Schedule'!C56</f>
        <v>33917.717281051424</v>
      </c>
      <c r="D18" s="18">
        <f>-'Amortization Schedule'!D56</f>
        <v>30784.703545260782</v>
      </c>
      <c r="E18" s="18">
        <f>-'Amortization Schedule'!E56</f>
        <v>27467.619712427215</v>
      </c>
      <c r="F18" s="18">
        <f>-'Amortization Schedule'!F56</f>
        <v>23955.651338860844</v>
      </c>
    </row>
    <row r="19" spans="1:11" s="15" customFormat="1" x14ac:dyDescent="0.35">
      <c r="A19" s="4" t="s">
        <v>90</v>
      </c>
      <c r="B19" s="18">
        <f>-'Amortization Schedule'!B55</f>
        <v>50367.130362124852</v>
      </c>
      <c r="C19" s="18">
        <f>-'Amortization Schedule'!C55</f>
        <v>53326.288334405537</v>
      </c>
      <c r="D19" s="18">
        <f>-'Amortization Schedule'!D55</f>
        <v>56459.30207019618</v>
      </c>
      <c r="E19" s="18">
        <f>-'Amortization Schedule'!E55</f>
        <v>59776.385903029746</v>
      </c>
      <c r="F19" s="18">
        <f>-'Amortization Schedule'!F55</f>
        <v>63288.354276596117</v>
      </c>
    </row>
    <row r="20" spans="1:11" s="4" customFormat="1" x14ac:dyDescent="0.35">
      <c r="A20" s="45" t="s">
        <v>91</v>
      </c>
      <c r="B20" s="49">
        <f>SUM(B15:B19)</f>
        <v>74733.636781849869</v>
      </c>
      <c r="C20" s="49">
        <f t="shared" ref="C20:F20" si="1">SUM(C15:C19)</f>
        <v>128276.85790472751</v>
      </c>
      <c r="D20" s="49">
        <f t="shared" si="1"/>
        <v>148244.00561545696</v>
      </c>
      <c r="E20" s="49">
        <f t="shared" si="1"/>
        <v>167244.00561545696</v>
      </c>
      <c r="F20" s="49">
        <f t="shared" si="1"/>
        <v>167244.00561545696</v>
      </c>
    </row>
    <row r="21" spans="1:11" s="4" customFormat="1" x14ac:dyDescent="0.35">
      <c r="A21" s="24"/>
      <c r="B21" s="51"/>
      <c r="C21" s="51"/>
      <c r="D21" s="51"/>
      <c r="E21" s="51"/>
      <c r="F21" s="51"/>
    </row>
    <row r="22" spans="1:11" s="4" customFormat="1" x14ac:dyDescent="0.35">
      <c r="A22" s="13" t="s">
        <v>92</v>
      </c>
      <c r="B22" s="14">
        <f>B12-B20</f>
        <v>-199733.63678187257</v>
      </c>
      <c r="C22" s="14">
        <f>C12-C20</f>
        <v>-117375.04883800779</v>
      </c>
      <c r="D22" s="14">
        <f>D12-D20</f>
        <v>58932.059682729654</v>
      </c>
      <c r="E22" s="14">
        <f>E12-E20</f>
        <v>317569.41925285687</v>
      </c>
      <c r="F22" s="14">
        <f>F12-F20</f>
        <v>704415.07883451041</v>
      </c>
    </row>
    <row r="23" spans="1:11" s="4" customFormat="1" x14ac:dyDescent="0.35">
      <c r="A23" s="13" t="s">
        <v>93</v>
      </c>
      <c r="B23" s="14">
        <f>B4+Cash!B22</f>
        <v>10266.36321812743</v>
      </c>
      <c r="C23" s="14">
        <f>B23+C22</f>
        <v>-107108.68561988036</v>
      </c>
      <c r="D23" s="14">
        <f t="shared" ref="D23:F23" si="2">C23+D22</f>
        <v>-48176.625937150704</v>
      </c>
      <c r="E23" s="14">
        <f t="shared" si="2"/>
        <v>269392.79331570619</v>
      </c>
      <c r="F23" s="14">
        <f t="shared" si="2"/>
        <v>973807.8721502166</v>
      </c>
    </row>
    <row r="24" spans="1:11" s="4" customFormat="1" x14ac:dyDescent="0.35"/>
    <row r="25" spans="1:11" s="4" customFormat="1" x14ac:dyDescent="0.35"/>
    <row r="26" spans="1:11" s="4" customFormat="1" x14ac:dyDescent="0.35"/>
    <row r="27" spans="1:11" s="4" customFormat="1" x14ac:dyDescent="0.35"/>
    <row r="28" spans="1:11" s="4" customFormat="1" x14ac:dyDescent="0.35"/>
    <row r="29" spans="1:11" s="4" customFormat="1" x14ac:dyDescent="0.35"/>
    <row r="30" spans="1:11" s="4" customFormat="1" x14ac:dyDescent="0.35"/>
    <row r="31" spans="1:11" s="4" customFormat="1" x14ac:dyDescent="0.35"/>
    <row r="32" spans="1:11" s="4" customFormat="1" x14ac:dyDescent="0.35"/>
    <row r="33" s="4" customFormat="1" x14ac:dyDescent="0.35"/>
    <row r="34" s="4" customFormat="1" x14ac:dyDescent="0.35"/>
    <row r="35" s="4" customFormat="1" x14ac:dyDescent="0.35"/>
    <row r="36" s="4" customFormat="1" x14ac:dyDescent="0.35"/>
    <row r="37" s="4" customFormat="1" x14ac:dyDescent="0.35"/>
    <row r="38" s="4" customFormat="1" x14ac:dyDescent="0.35"/>
    <row r="39" s="4" customFormat="1" x14ac:dyDescent="0.35"/>
    <row r="40" s="4" customFormat="1" x14ac:dyDescent="0.35"/>
    <row r="41" s="4" customFormat="1" x14ac:dyDescent="0.35"/>
    <row r="42" s="4" customFormat="1" x14ac:dyDescent="0.35"/>
    <row r="43" s="4" customFormat="1" x14ac:dyDescent="0.35"/>
    <row r="44" s="4" customFormat="1" x14ac:dyDescent="0.35"/>
    <row r="45" s="4" customFormat="1" x14ac:dyDescent="0.35"/>
    <row r="46" s="4" customFormat="1" x14ac:dyDescent="0.35"/>
    <row r="47" s="4" customFormat="1" x14ac:dyDescent="0.35"/>
    <row r="48" s="4" customFormat="1" x14ac:dyDescent="0.35"/>
    <row r="49" s="4" customFormat="1" x14ac:dyDescent="0.35"/>
    <row r="50" s="4" customFormat="1" x14ac:dyDescent="0.35"/>
    <row r="51" s="4" customFormat="1" x14ac:dyDescent="0.35"/>
    <row r="52" s="4" customFormat="1" x14ac:dyDescent="0.35"/>
    <row r="53" s="4" customFormat="1" x14ac:dyDescent="0.35"/>
    <row r="54" s="4" customFormat="1" x14ac:dyDescent="0.35"/>
    <row r="55" s="4" customFormat="1" x14ac:dyDescent="0.35"/>
    <row r="56" s="4" customFormat="1" x14ac:dyDescent="0.35"/>
    <row r="57" s="4" customFormat="1" x14ac:dyDescent="0.35"/>
    <row r="58" s="4" customFormat="1" x14ac:dyDescent="0.35"/>
    <row r="59" s="4" customFormat="1" x14ac:dyDescent="0.35"/>
    <row r="60" s="4" customFormat="1" x14ac:dyDescent="0.35"/>
    <row r="61" s="4" customFormat="1" x14ac:dyDescent="0.35"/>
    <row r="62" s="4" customFormat="1" x14ac:dyDescent="0.35"/>
    <row r="63" s="4" customFormat="1" x14ac:dyDescent="0.35"/>
    <row r="64" s="4" customFormat="1" x14ac:dyDescent="0.35"/>
    <row r="65" s="4" customFormat="1" x14ac:dyDescent="0.35"/>
    <row r="66" s="4" customFormat="1" x14ac:dyDescent="0.35"/>
    <row r="67" s="4" customFormat="1" x14ac:dyDescent="0.35"/>
    <row r="68" s="4" customFormat="1" x14ac:dyDescent="0.35"/>
    <row r="69" s="4" customFormat="1" x14ac:dyDescent="0.35"/>
    <row r="70" s="4" customFormat="1" x14ac:dyDescent="0.35"/>
    <row r="71" s="4" customFormat="1" x14ac:dyDescent="0.35"/>
    <row r="72" s="4" customFormat="1" x14ac:dyDescent="0.35"/>
    <row r="73" s="4" customFormat="1" x14ac:dyDescent="0.35"/>
    <row r="74" s="4" customFormat="1" x14ac:dyDescent="0.35"/>
    <row r="75" s="4" customFormat="1" x14ac:dyDescent="0.35"/>
    <row r="76" s="4" customFormat="1" x14ac:dyDescent="0.35"/>
    <row r="77" s="4" customFormat="1" x14ac:dyDescent="0.35"/>
    <row r="78" s="4" customFormat="1" x14ac:dyDescent="0.35"/>
    <row r="79" s="4" customFormat="1" x14ac:dyDescent="0.35"/>
    <row r="80" s="4" customFormat="1" x14ac:dyDescent="0.35"/>
    <row r="81" s="4" customFormat="1" x14ac:dyDescent="0.35"/>
    <row r="82" s="4" customFormat="1" x14ac:dyDescent="0.35"/>
    <row r="83" s="4" customFormat="1" x14ac:dyDescent="0.35"/>
    <row r="84" s="4" customFormat="1" x14ac:dyDescent="0.35"/>
    <row r="85" s="4" customFormat="1" x14ac:dyDescent="0.35"/>
    <row r="86" s="4" customFormat="1" x14ac:dyDescent="0.35"/>
    <row r="87" s="4" customFormat="1" x14ac:dyDescent="0.35"/>
    <row r="88" s="4" customFormat="1" x14ac:dyDescent="0.35"/>
    <row r="89" s="4" customFormat="1" x14ac:dyDescent="0.35"/>
    <row r="90" s="4" customFormat="1" x14ac:dyDescent="0.35"/>
    <row r="91" s="4" customFormat="1" x14ac:dyDescent="0.35"/>
    <row r="92" s="4" customFormat="1" x14ac:dyDescent="0.35"/>
    <row r="93" s="4" customFormat="1" x14ac:dyDescent="0.35"/>
    <row r="94" s="4" customFormat="1" x14ac:dyDescent="0.35"/>
    <row r="95" s="4" customFormat="1" x14ac:dyDescent="0.35"/>
    <row r="96" s="4" customFormat="1" x14ac:dyDescent="0.35"/>
    <row r="97" s="4" customFormat="1" x14ac:dyDescent="0.35"/>
    <row r="98" s="4" customFormat="1" x14ac:dyDescent="0.35"/>
    <row r="99" s="4" customFormat="1" x14ac:dyDescent="0.35"/>
    <row r="100" s="4" customFormat="1" x14ac:dyDescent="0.35"/>
    <row r="101" s="4" customFormat="1" x14ac:dyDescent="0.35"/>
    <row r="102" s="4" customFormat="1" x14ac:dyDescent="0.35"/>
    <row r="103" s="4" customFormat="1" x14ac:dyDescent="0.35"/>
    <row r="104" s="4" customFormat="1" x14ac:dyDescent="0.35"/>
    <row r="105" s="4" customFormat="1" x14ac:dyDescent="0.35"/>
    <row r="106" s="4" customFormat="1" x14ac:dyDescent="0.35"/>
    <row r="107" s="4" customFormat="1" x14ac:dyDescent="0.35"/>
    <row r="108" s="4" customFormat="1" x14ac:dyDescent="0.35"/>
    <row r="109" s="4" customFormat="1" x14ac:dyDescent="0.35"/>
    <row r="110" s="4" customFormat="1" x14ac:dyDescent="0.35"/>
    <row r="111" s="4" customFormat="1" x14ac:dyDescent="0.35"/>
    <row r="112" s="4" customFormat="1" x14ac:dyDescent="0.35"/>
    <row r="113" s="4" customFormat="1" x14ac:dyDescent="0.35"/>
    <row r="114" s="4" customFormat="1" x14ac:dyDescent="0.35"/>
    <row r="115" s="4" customFormat="1" x14ac:dyDescent="0.35"/>
    <row r="116" s="4" customFormat="1" x14ac:dyDescent="0.35"/>
    <row r="117" s="4" customFormat="1" x14ac:dyDescent="0.35"/>
    <row r="118" s="4" customFormat="1" x14ac:dyDescent="0.35"/>
    <row r="119" s="4" customFormat="1" x14ac:dyDescent="0.35"/>
    <row r="120" s="4" customFormat="1" x14ac:dyDescent="0.35"/>
    <row r="121" s="4" customFormat="1" x14ac:dyDescent="0.35"/>
    <row r="122" s="4" customFormat="1" x14ac:dyDescent="0.35"/>
    <row r="123" s="4" customFormat="1" x14ac:dyDescent="0.35"/>
    <row r="124" s="4" customFormat="1" x14ac:dyDescent="0.35"/>
    <row r="125" s="4" customFormat="1" x14ac:dyDescent="0.35"/>
    <row r="126" s="4" customFormat="1" x14ac:dyDescent="0.35"/>
    <row r="127" s="4" customFormat="1" x14ac:dyDescent="0.35"/>
    <row r="128" s="4" customFormat="1" x14ac:dyDescent="0.35"/>
    <row r="129" s="4" customFormat="1" x14ac:dyDescent="0.35"/>
    <row r="130" s="4" customFormat="1" x14ac:dyDescent="0.35"/>
    <row r="131" s="4" customFormat="1" x14ac:dyDescent="0.35"/>
    <row r="132" s="4" customFormat="1" x14ac:dyDescent="0.35"/>
    <row r="133" s="4" customFormat="1" x14ac:dyDescent="0.35"/>
    <row r="134" s="4" customFormat="1" x14ac:dyDescent="0.35"/>
    <row r="135" s="4" customFormat="1" x14ac:dyDescent="0.35"/>
    <row r="136" s="4" customFormat="1" x14ac:dyDescent="0.35"/>
    <row r="137" s="4" customFormat="1" x14ac:dyDescent="0.35"/>
    <row r="138" s="4" customFormat="1" x14ac:dyDescent="0.35"/>
    <row r="139" s="4" customFormat="1" x14ac:dyDescent="0.35"/>
    <row r="140" s="4" customFormat="1" x14ac:dyDescent="0.35"/>
    <row r="141" s="4" customFormat="1" x14ac:dyDescent="0.35"/>
    <row r="142" s="4" customFormat="1" x14ac:dyDescent="0.35"/>
    <row r="143" s="4" customFormat="1" x14ac:dyDescent="0.35"/>
    <row r="144" s="4" customFormat="1" x14ac:dyDescent="0.35"/>
    <row r="145" s="4" customFormat="1" x14ac:dyDescent="0.35"/>
    <row r="146" s="4" customFormat="1" x14ac:dyDescent="0.35"/>
    <row r="147" s="4" customFormat="1" x14ac:dyDescent="0.35"/>
    <row r="148" s="4" customFormat="1" x14ac:dyDescent="0.35"/>
    <row r="149" s="4" customFormat="1" x14ac:dyDescent="0.35"/>
    <row r="150" s="4" customFormat="1" x14ac:dyDescent="0.35"/>
    <row r="151" s="4" customFormat="1" x14ac:dyDescent="0.35"/>
    <row r="152" s="4" customFormat="1" x14ac:dyDescent="0.35"/>
    <row r="153" s="4" customFormat="1" x14ac:dyDescent="0.35"/>
    <row r="154" s="4" customFormat="1" x14ac:dyDescent="0.35"/>
    <row r="155" s="4" customFormat="1" x14ac:dyDescent="0.35"/>
    <row r="156" s="4" customFormat="1" x14ac:dyDescent="0.35"/>
    <row r="157" s="4" customFormat="1" x14ac:dyDescent="0.35"/>
  </sheetData>
  <conditionalFormatting sqref="B22:F23">
    <cfRule type="cellIs" dxfId="0" priority="1" operator="lessThan">
      <formula>0</formula>
    </cfRule>
  </conditionalFormatting>
  <pageMargins left="0.7" right="0.7" top="0.75" bottom="0.75" header="0.3" footer="0.3"/>
  <pageSetup scale="75" orientation="portrait" r:id="rId1"/>
  <headerFooter>
    <oddFooter>&amp;R&amp;F &amp;A &amp;D</oddFooter>
  </headerFooter>
  <cellWatches>
    <cellWatch r="F2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Startup Plan</vt:lpstr>
      <vt:lpstr>Loan Scenarios</vt:lpstr>
      <vt:lpstr>Amortization Schedule</vt:lpstr>
      <vt:lpstr>Profit and Loss</vt:lpstr>
      <vt:lpstr>Depreciation</vt:lpstr>
      <vt:lpstr>Investment</vt:lpstr>
      <vt:lpstr>Balance</vt:lpstr>
      <vt:lpstr>Cash</vt:lpstr>
      <vt:lpstr>Terms and 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9, Review Assignment</dc:title>
  <dc:creator/>
  <cp:lastModifiedBy>Jorge Rivas</cp:lastModifiedBy>
  <dcterms:created xsi:type="dcterms:W3CDTF">2015-11-12T22:55:14Z</dcterms:created>
  <dcterms:modified xsi:type="dcterms:W3CDTF">2021-12-09T03:52:06Z</dcterms:modified>
</cp:coreProperties>
</file>