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orge\Documents\Python\004. Liquidacion de empleados\Liquidacion_de_empleados\"/>
    </mc:Choice>
  </mc:AlternateContent>
  <xr:revisionPtr revIDLastSave="0" documentId="13_ncr:1_{5175D121-F71C-4CFF-90C8-6F3B2A414B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Liquidación" sheetId="1" r:id="rId1"/>
    <sheet name="Datos" sheetId="2" r:id="rId2"/>
    <sheet name="Conversor numeros letra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0" i="1" l="1"/>
  <c r="J40" i="1"/>
  <c r="C16" i="1" l="1"/>
  <c r="C38" i="1" l="1"/>
  <c r="E11" i="2"/>
  <c r="E12" i="2"/>
  <c r="E13" i="2"/>
  <c r="E14" i="2"/>
  <c r="E15" i="2"/>
  <c r="E16" i="2"/>
  <c r="E17" i="2"/>
  <c r="E18" i="2"/>
  <c r="E19" i="2"/>
  <c r="E20" i="2"/>
  <c r="E21" i="2"/>
  <c r="E10" i="2"/>
  <c r="H17" i="2"/>
  <c r="H9" i="2"/>
  <c r="J9" i="2" s="1"/>
  <c r="G41" i="1"/>
  <c r="G38" i="1"/>
  <c r="J38" i="1" s="1"/>
  <c r="E22" i="2" l="1"/>
  <c r="J16" i="1" s="1"/>
  <c r="J17" i="1" s="1"/>
  <c r="C34" i="1" s="1"/>
  <c r="J14" i="2"/>
  <c r="J15" i="2"/>
  <c r="J11" i="2"/>
  <c r="J12" i="2"/>
  <c r="J16" i="2"/>
  <c r="J13" i="2"/>
  <c r="B68" i="1"/>
  <c r="J17" i="2" l="1"/>
  <c r="C17" i="1" s="1"/>
  <c r="J39" i="1" s="1"/>
  <c r="B67" i="1"/>
  <c r="C41" i="1"/>
  <c r="J41" i="1" s="1"/>
  <c r="C28" i="1"/>
  <c r="C30" i="1" s="1"/>
  <c r="G34" i="1" s="1"/>
  <c r="J34" i="1" s="1"/>
  <c r="J28" i="1"/>
  <c r="J23" i="1"/>
  <c r="E47" i="1" l="1"/>
  <c r="E46" i="1"/>
  <c r="J46" i="1" s="1"/>
  <c r="C23" i="1"/>
  <c r="G35" i="1" l="1"/>
  <c r="G36" i="1"/>
  <c r="C37" i="1"/>
  <c r="G37" i="1"/>
  <c r="J37" i="1" l="1"/>
  <c r="J47" i="1"/>
  <c r="C35" i="1"/>
  <c r="J35" i="1" l="1"/>
  <c r="C36" i="1" s="1"/>
  <c r="J36" i="1" s="1"/>
  <c r="J49" i="1"/>
  <c r="J42" i="1" l="1"/>
  <c r="J51" i="1" s="1"/>
  <c r="A2" i="3" l="1"/>
  <c r="I3" i="3" s="1"/>
  <c r="I4" i="3" l="1"/>
  <c r="I5" i="3" s="1"/>
  <c r="I6" i="3"/>
  <c r="F3" i="3"/>
  <c r="F4" i="3" s="1"/>
  <c r="F5" i="3" s="1"/>
  <c r="H3" i="3"/>
  <c r="H4" i="3" s="1"/>
  <c r="H5" i="3" s="1"/>
  <c r="G3" i="3"/>
  <c r="G4" i="3" s="1"/>
  <c r="G5" i="3" s="1"/>
  <c r="B3" i="3"/>
  <c r="B4" i="3" s="1"/>
  <c r="B5" i="3" s="1"/>
  <c r="B7" i="3" s="1"/>
  <c r="B9" i="3" s="1"/>
  <c r="C3" i="3"/>
  <c r="C4" i="3" s="1"/>
  <c r="C5" i="3" s="1"/>
  <c r="D3" i="3"/>
  <c r="D4" i="3" s="1"/>
  <c r="D5" i="3" s="1"/>
  <c r="K3" i="3"/>
  <c r="K4" i="3" s="1"/>
  <c r="K5" i="3" s="1"/>
  <c r="J3" i="3"/>
  <c r="J4" i="3" s="1"/>
  <c r="J5" i="3" s="1"/>
  <c r="E3" i="3"/>
  <c r="E4" i="3" s="1"/>
  <c r="E5" i="3" s="1"/>
  <c r="K6" i="3" l="1"/>
  <c r="K7" i="3" s="1"/>
  <c r="K9" i="3" s="1"/>
  <c r="K13" i="3" s="1"/>
  <c r="G6" i="3"/>
  <c r="G7" i="3" s="1"/>
  <c r="G9" i="3" s="1"/>
  <c r="G14" i="3" s="1"/>
  <c r="I7" i="3"/>
  <c r="I9" i="3" s="1"/>
  <c r="I13" i="3" s="1"/>
  <c r="H6" i="3"/>
  <c r="H7" i="3" s="1"/>
  <c r="H9" i="3" s="1"/>
  <c r="H13" i="3" s="1"/>
  <c r="D6" i="3"/>
  <c r="D7" i="3" s="1"/>
  <c r="D9" i="3" s="1"/>
  <c r="B6" i="3"/>
  <c r="E6" i="3"/>
  <c r="E7" i="3" s="1"/>
  <c r="E9" i="3" s="1"/>
  <c r="F6" i="3"/>
  <c r="F7" i="3" s="1"/>
  <c r="F9" i="3" s="1"/>
  <c r="J6" i="3"/>
  <c r="J7" i="3" s="1"/>
  <c r="J9" i="3" s="1"/>
  <c r="J13" i="3" s="1"/>
  <c r="C6" i="3"/>
  <c r="C7" i="3" s="1"/>
  <c r="C9" i="3" s="1"/>
  <c r="C17" i="3" s="1"/>
  <c r="C19" i="3" s="1"/>
  <c r="C13" i="3"/>
  <c r="C14" i="3"/>
  <c r="B13" i="3"/>
  <c r="B14" i="3"/>
  <c r="B17" i="3"/>
  <c r="B18" i="3" s="1"/>
  <c r="B22" i="3" s="1"/>
  <c r="G13" i="3" l="1"/>
  <c r="D13" i="3"/>
  <c r="D14" i="3"/>
  <c r="D16" i="3"/>
  <c r="I14" i="3"/>
  <c r="I15" i="3" s="1"/>
  <c r="K14" i="3"/>
  <c r="K15" i="3" s="1"/>
  <c r="G16" i="3"/>
  <c r="G18" i="3" s="1"/>
  <c r="K16" i="3"/>
  <c r="K17" i="3" s="1"/>
  <c r="J16" i="3"/>
  <c r="J18" i="3" s="1"/>
  <c r="I16" i="3"/>
  <c r="I17" i="3" s="1"/>
  <c r="J14" i="3"/>
  <c r="H16" i="3"/>
  <c r="H17" i="3" s="1"/>
  <c r="H14" i="3"/>
  <c r="H15" i="3" s="1"/>
  <c r="E13" i="3"/>
  <c r="B16" i="3"/>
  <c r="E19" i="3"/>
  <c r="C16" i="3"/>
  <c r="C18" i="3" s="1"/>
  <c r="C20" i="3" s="1"/>
  <c r="C22" i="3" s="1"/>
  <c r="F13" i="3"/>
  <c r="F16" i="3"/>
  <c r="F17" i="3" s="1"/>
  <c r="F14" i="3"/>
  <c r="E14" i="3"/>
  <c r="E16" i="3"/>
  <c r="E17" i="3" s="1"/>
  <c r="C15" i="3"/>
  <c r="B15" i="3"/>
  <c r="J15" i="3"/>
  <c r="G15" i="3"/>
  <c r="D18" i="3" l="1"/>
  <c r="D17" i="3"/>
  <c r="D15" i="3"/>
  <c r="K18" i="3"/>
  <c r="K22" i="3" s="1"/>
  <c r="G17" i="3"/>
  <c r="G19" i="3" s="1"/>
  <c r="G20" i="3" s="1"/>
  <c r="G22" i="3" s="1"/>
  <c r="J17" i="3"/>
  <c r="J19" i="3" s="1"/>
  <c r="J20" i="3" s="1"/>
  <c r="J22" i="3" s="1"/>
  <c r="I18" i="3"/>
  <c r="I22" i="3" s="1"/>
  <c r="H18" i="3"/>
  <c r="H22" i="3" s="1"/>
  <c r="E15" i="3"/>
  <c r="E18" i="3" s="1"/>
  <c r="E20" i="3" s="1"/>
  <c r="E22" i="3" s="1"/>
  <c r="F15" i="3"/>
  <c r="F19" i="3" s="1"/>
  <c r="F18" i="3"/>
  <c r="D19" i="3" l="1"/>
  <c r="D20" i="3" s="1"/>
  <c r="D22" i="3" s="1"/>
  <c r="F20" i="3"/>
  <c r="F22" i="3" s="1"/>
  <c r="B2" i="3" s="1"/>
  <c r="C53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Fernando Muñoz</author>
    <author>farmacia</author>
  </authors>
  <commentList>
    <comment ref="J1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Fernando Muñoz:</t>
        </r>
        <r>
          <rPr>
            <sz val="9"/>
            <color indexed="81"/>
            <rFont val="Tahoma"/>
            <family val="2"/>
          </rPr>
          <t xml:space="preserve">
Si la base para las liquidación de las cesantías y prima es de salarios variables diligenciar tabla en hoja DATOS de lo contrario solo colocar sueldo básico y auxilio de transporte en hoja LIQUIDACIÓN</t>
        </r>
      </text>
    </comment>
    <comment ref="C18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Fernando Muñoz:</t>
        </r>
        <r>
          <rPr>
            <sz val="9"/>
            <color indexed="81"/>
            <rFont val="Tahoma"/>
            <family val="2"/>
          </rPr>
          <t xml:space="preserve">
Incluir los días pendientes de pago menos los dias de sanción</t>
        </r>
      </text>
    </comment>
    <comment ref="J48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 xml:space="preserve">Fernando Muñoz: </t>
        </r>
        <r>
          <rPr>
            <sz val="8"/>
            <color indexed="81"/>
            <rFont val="Tahoma"/>
            <family val="2"/>
          </rPr>
          <t xml:space="preserve">Colocar valor en negativo
</t>
        </r>
      </text>
    </comment>
  </commentList>
</comments>
</file>

<file path=xl/sharedStrings.xml><?xml version="1.0" encoding="utf-8"?>
<sst xmlns="http://schemas.openxmlformats.org/spreadsheetml/2006/main" count="125" uniqueCount="108">
  <si>
    <t>NOMBRE:</t>
  </si>
  <si>
    <t>C.C.:</t>
  </si>
  <si>
    <t>CARGO:</t>
  </si>
  <si>
    <t>FECHA DE INICIO CONTRATO</t>
  </si>
  <si>
    <t>AUXILIO DE TRANSPORTE:</t>
  </si>
  <si>
    <t>TIEMPO TOTAL LABORADO</t>
  </si>
  <si>
    <t>FECHA DE CORTE VACACIONES</t>
  </si>
  <si>
    <t>FECHA DE CORTE PRIMA</t>
  </si>
  <si>
    <t>/</t>
  </si>
  <si>
    <t xml:space="preserve"> </t>
  </si>
  <si>
    <t xml:space="preserve">X </t>
  </si>
  <si>
    <t>PRIMA SERVICIOS</t>
  </si>
  <si>
    <t xml:space="preserve">HORAS EXTRAS PENDIENTE POR CANCELAR:  </t>
  </si>
  <si>
    <t>AUX. TRANSP. PENDIENTE POR CANCELAR</t>
  </si>
  <si>
    <t>SALUD:</t>
  </si>
  <si>
    <t>PRESTAMOS O ANTICIPOS:</t>
  </si>
  <si>
    <t>VACACIONES</t>
  </si>
  <si>
    <t>SE HACE CONSTAR:</t>
  </si>
  <si>
    <t>PRIMA</t>
  </si>
  <si>
    <t>PROMEDIO SALARIO VARIABLE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</si>
  <si>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</si>
  <si>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</si>
  <si>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</si>
  <si>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</si>
  <si>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</si>
  <si>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</si>
  <si>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</si>
  <si>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</si>
  <si>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</si>
  <si>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</si>
  <si>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</si>
  <si>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</si>
  <si>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</t>
  </si>
  <si>
    <t>FECHA DE CORTE INTERESES</t>
  </si>
  <si>
    <t>TOTAL DEVENGOS</t>
  </si>
  <si>
    <t>TOTAL DEDUCCIONES</t>
  </si>
  <si>
    <t xml:space="preserve">SUELDO PENDIENTE POR CANCELAR:  </t>
  </si>
  <si>
    <t xml:space="preserve"> PESOS M/C</t>
  </si>
  <si>
    <t>LA SUMA DE:</t>
  </si>
  <si>
    <t>BASE</t>
  </si>
  <si>
    <t>SMLMV</t>
  </si>
  <si>
    <t>AÑO</t>
  </si>
  <si>
    <t>SUB TRANS</t>
  </si>
  <si>
    <t xml:space="preserve">C.C.: </t>
  </si>
  <si>
    <t>Representante Legal</t>
  </si>
  <si>
    <t>NOMBRE REPRESENTANTE LEGAL</t>
  </si>
  <si>
    <t>BONIFICACIONES (NO CONSTITUYEN SALARIO)</t>
  </si>
  <si>
    <t>FECHA TERMINACIÓN DE CONTRATO</t>
  </si>
  <si>
    <t>SUELDO BÁSICO:</t>
  </si>
  <si>
    <t>TOTAL BASE DE LIQUIDACIÓN:</t>
  </si>
  <si>
    <t>SANCIONES EN DÍAS</t>
  </si>
  <si>
    <t>CESANTÍAS</t>
  </si>
  <si>
    <t>FECHA DE LIQUIDACIÓN PRIMA</t>
  </si>
  <si>
    <t>FECHA DE LIQUIDACIÓN CESANTÍAS</t>
  </si>
  <si>
    <t>FECHA DE CORTE CESANTÍAS</t>
  </si>
  <si>
    <t>DÍAS PRIMA</t>
  </si>
  <si>
    <t>DÍAS CESANTÍAS</t>
  </si>
  <si>
    <t>INTERESES A LAS CESANTÍAS</t>
  </si>
  <si>
    <t>FECHA DE LIQUIDACIÓN VACACIONES</t>
  </si>
  <si>
    <t>FECHA DE LIQUIDACIÓN INTERESES</t>
  </si>
  <si>
    <t>DÍAS INTERESES</t>
  </si>
  <si>
    <t>DÍAS TOMADOS DE VACACIONES</t>
  </si>
  <si>
    <t>DÍAS PENDIENTES</t>
  </si>
  <si>
    <t>DÍAS SALARIO PENDIENTES POR CANCELAR</t>
  </si>
  <si>
    <t>DÍAS DE VACACIONES PENDIENTES:</t>
  </si>
  <si>
    <t xml:space="preserve">CESANTÍAS:  </t>
  </si>
  <si>
    <t>INTERESES DE CESANTÍAS</t>
  </si>
  <si>
    <t>RESUMEN DESCUENTOS LIQUIDACIÓN :</t>
  </si>
  <si>
    <t xml:space="preserve">PENSIÓN:  </t>
  </si>
  <si>
    <t xml:space="preserve">VALOR LIQUIDACIÓN </t>
  </si>
  <si>
    <t>CAUSA DE LA LIQUIDACIÓN:</t>
  </si>
  <si>
    <t>PERIODO DE LIQUIDACIÓN</t>
  </si>
  <si>
    <t>SALARIO BASE DE LIQUIDACIÓN:</t>
  </si>
  <si>
    <t>TOTAL DÍAS DE VACACIONES</t>
  </si>
  <si>
    <t>X</t>
  </si>
  <si>
    <t>CONCEPTO</t>
  </si>
  <si>
    <t>CALCULO</t>
  </si>
  <si>
    <t>TOTAL</t>
  </si>
  <si>
    <t>RESUMEN LIQUIDACIÓN PAGOS</t>
  </si>
  <si>
    <t>PORCENTAJE</t>
  </si>
  <si>
    <t>Retiro voluntario</t>
  </si>
  <si>
    <t>Elaboró: XXXXXXX</t>
  </si>
  <si>
    <t>Fecha: XXXXXX</t>
  </si>
  <si>
    <t>VALOR HORAS EXTRAS PENDIENTE DE PAGO</t>
  </si>
  <si>
    <t>VALOR</t>
  </si>
  <si>
    <t>PROMEDIO</t>
  </si>
  <si>
    <t>SALARIO VARIABLE</t>
  </si>
  <si>
    <t>INDICADOR</t>
  </si>
  <si>
    <t>CANTIDAD</t>
  </si>
  <si>
    <t>SALARIO</t>
  </si>
  <si>
    <t>Hora Nocturno</t>
  </si>
  <si>
    <t>VR. HORA</t>
  </si>
  <si>
    <t>VARIABLE</t>
  </si>
  <si>
    <t>Hora Extra Nocturno</t>
  </si>
  <si>
    <t>Hora Extra Diurno</t>
  </si>
  <si>
    <t>Hora Ord. Dom/Fest</t>
  </si>
  <si>
    <t>H. Extra Diurna Dom/Fest</t>
  </si>
  <si>
    <t>H. Extra Noct. Dom/Fest</t>
  </si>
  <si>
    <t>INFORMACION LEGAL</t>
  </si>
  <si>
    <t>HORAS EXTRAS POR PAGAR</t>
  </si>
  <si>
    <t>LIQUIDACIÓN DE CONTRATO DE TRABAJO A TÉRMINO FIJO</t>
  </si>
  <si>
    <t>A. B. C. LTDA</t>
  </si>
  <si>
    <t>NIT: 999.999.999 - 9</t>
  </si>
  <si>
    <t>PEPITO PEREZ</t>
  </si>
  <si>
    <t>XX.XXX.XXX</t>
  </si>
  <si>
    <t>OTRO</t>
  </si>
  <si>
    <t>1. Que el patrono ha incorporado en la presente liquidación los importes correspondientes a salarios, horas extras, descansos compensatorios, cesantías, vacaciones, prima de servicios, auxilio de transporte, y en sí, todo concepto relacionado con salarios, prestaciones o indemnizaciones causadas al quedar extinguido el contrato de trabajo.</t>
  </si>
  <si>
    <t>C. Costo X-XX-XX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</si>
</sst>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&quot;$&quot;* #,##0_-;\-&quot;$&quot;* #,##0_-;_-&quot;$&quot;* &quot;-&quot;_-;_-@_-"/>
    <numFmt numFmtId="165" formatCode="_-* #,##0\ _€_-;\-* #,##0\ _€_-;_-* &quot;-&quot;\ _€_-;_-@_-"/>
    <numFmt numFmtId="166" formatCode="&quot;$&quot;\ #,##0;[Red]&quot;$&quot;\ \-#,##0"/>
    <numFmt numFmtId="167" formatCode="_ &quot;$&quot;\ * #,##0_ ;_ &quot;$&quot;\ * \-#,##0_ ;_ &quot;$&quot;\ * &quot;-&quot;_ ;_ @_ "/>
    <numFmt numFmtId="168" formatCode="General_)"/>
    <numFmt numFmtId="169" formatCode="_-* #,##0\ _P_t_s_-;\-* #,##0\ _P_t_s_-;_-* &quot;-&quot;??\ _P_t_s_-;_-@_-"/>
    <numFmt numFmtId="170" formatCode="&quot;$&quot;\ #,##0"/>
    <numFmt numFmtId="171" formatCode="&quot;$&quot;#,##0"/>
    <numFmt numFmtId="172" formatCode="0.000%"/>
    <numFmt numFmtId="173" formatCode="_ [$$-240A]\ * #,##0_ ;_ [$$-240A]\ * \-#,##0_ ;_ [$$-240A]\ * &quot;-&quot;_ ;_ @_ "/>
    <numFmt numFmtId="174" formatCode="dd\-mm\-yyyy;@"/>
    <numFmt numFmtId="175" formatCode="_-[$$-240A]\ * #,##0_ ;_-[$$-240A]\ * \-#,##0\ ;_-[$$-240A]\ * &quot;-&quot;_ ;_-@_ "/>
  </numFmts>
  <fonts count="40" x14ac:knownFonts="1">
    <font>
      <sz val="10"/>
      <name val="Arial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0"/>
      <name val="Arial"/>
      <family val="2"/>
    </font>
    <font>
      <sz val="11"/>
      <color indexed="60"/>
      <name val="Calibri"/>
      <family val="2"/>
    </font>
    <font>
      <sz val="10"/>
      <name val="Courier"/>
      <family val="3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sz val="10"/>
      <name val="Tahoma"/>
      <family val="2"/>
    </font>
    <font>
      <b/>
      <sz val="10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b/>
      <sz val="14"/>
      <name val="Calibri"/>
      <family val="2"/>
      <scheme val="minor"/>
    </font>
    <font>
      <sz val="9"/>
      <name val="Calibri"/>
      <family val="2"/>
      <scheme val="minor"/>
    </font>
    <font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indexed="10"/>
      <name val="Calibri"/>
      <family val="2"/>
      <scheme val="minor"/>
    </font>
    <font>
      <sz val="10"/>
      <color indexed="63"/>
      <name val="Calibri"/>
      <family val="2"/>
      <scheme val="minor"/>
    </font>
    <font>
      <sz val="10"/>
      <color theme="1"/>
      <name val="Tahom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499984740745262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4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4" borderId="0" applyNumberFormat="0" applyBorder="0" applyAlignment="0" applyProtection="0"/>
    <xf numFmtId="0" fontId="5" fillId="16" borderId="1" applyNumberFormat="0" applyAlignment="0" applyProtection="0"/>
    <xf numFmtId="0" fontId="6" fillId="17" borderId="2" applyNumberFormat="0" applyAlignment="0" applyProtection="0"/>
    <xf numFmtId="0" fontId="7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21" borderId="0" applyNumberFormat="0" applyBorder="0" applyAlignment="0" applyProtection="0"/>
    <xf numFmtId="0" fontId="9" fillId="7" borderId="1" applyNumberFormat="0" applyAlignment="0" applyProtection="0"/>
    <xf numFmtId="0" fontId="10" fillId="3" borderId="0" applyNumberFormat="0" applyBorder="0" applyAlignment="0" applyProtection="0"/>
    <xf numFmtId="166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0" fontId="12" fillId="22" borderId="0" applyNumberFormat="0" applyBorder="0" applyAlignment="0" applyProtection="0"/>
    <xf numFmtId="168" fontId="13" fillId="0" borderId="0"/>
    <xf numFmtId="0" fontId="13" fillId="0" borderId="0"/>
    <xf numFmtId="0" fontId="1" fillId="23" borderId="4" applyNumberFormat="0" applyFont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8" fillId="0" borderId="8" applyNumberFormat="0" applyFill="0" applyAlignment="0" applyProtection="0"/>
    <xf numFmtId="0" fontId="20" fillId="0" borderId="9" applyNumberFormat="0" applyFill="0" applyAlignment="0" applyProtection="0"/>
  </cellStyleXfs>
  <cellXfs count="171">
    <xf numFmtId="0" fontId="0" fillId="0" borderId="0" xfId="0"/>
    <xf numFmtId="168" fontId="23" fillId="0" borderId="0" xfId="36" applyNumberFormat="1" applyFont="1"/>
    <xf numFmtId="168" fontId="25" fillId="0" borderId="11" xfId="36" applyNumberFormat="1" applyFont="1" applyBorder="1"/>
    <xf numFmtId="168" fontId="25" fillId="0" borderId="0" xfId="36" applyNumberFormat="1" applyFont="1"/>
    <xf numFmtId="174" fontId="25" fillId="0" borderId="0" xfId="36" applyNumberFormat="1" applyFont="1" applyAlignment="1">
      <alignment horizontal="right"/>
    </xf>
    <xf numFmtId="168" fontId="25" fillId="0" borderId="17" xfId="36" applyNumberFormat="1" applyFont="1" applyBorder="1"/>
    <xf numFmtId="15" fontId="25" fillId="0" borderId="0" xfId="36" applyNumberFormat="1" applyFont="1" applyAlignment="1">
      <alignment horizontal="left"/>
    </xf>
    <xf numFmtId="168" fontId="25" fillId="0" borderId="13" xfId="36" applyNumberFormat="1" applyFont="1" applyBorder="1"/>
    <xf numFmtId="170" fontId="25" fillId="0" borderId="0" xfId="36" applyNumberFormat="1" applyFont="1"/>
    <xf numFmtId="170" fontId="25" fillId="0" borderId="0" xfId="36" applyNumberFormat="1" applyFont="1" applyAlignment="1">
      <alignment horizontal="right"/>
    </xf>
    <xf numFmtId="168" fontId="25" fillId="0" borderId="0" xfId="36" applyNumberFormat="1" applyFont="1" applyAlignment="1">
      <alignment horizontal="right"/>
    </xf>
    <xf numFmtId="15" fontId="25" fillId="0" borderId="0" xfId="36" applyNumberFormat="1" applyFont="1" applyAlignment="1">
      <alignment horizontal="right"/>
    </xf>
    <xf numFmtId="170" fontId="25" fillId="0" borderId="11" xfId="36" applyNumberFormat="1" applyFont="1" applyBorder="1"/>
    <xf numFmtId="170" fontId="25" fillId="0" borderId="11" xfId="36" applyNumberFormat="1" applyFont="1" applyBorder="1" applyAlignment="1">
      <alignment horizontal="right"/>
    </xf>
    <xf numFmtId="4" fontId="25" fillId="0" borderId="0" xfId="36" applyNumberFormat="1" applyFont="1" applyAlignment="1">
      <alignment horizontal="right"/>
    </xf>
    <xf numFmtId="168" fontId="25" fillId="0" borderId="0" xfId="36" applyNumberFormat="1" applyFont="1" applyAlignment="1">
      <alignment horizontal="center"/>
    </xf>
    <xf numFmtId="3" fontId="25" fillId="0" borderId="0" xfId="36" applyNumberFormat="1" applyFont="1" applyAlignment="1">
      <alignment horizontal="right"/>
    </xf>
    <xf numFmtId="167" fontId="25" fillId="0" borderId="14" xfId="36" applyNumberFormat="1" applyFont="1" applyBorder="1"/>
    <xf numFmtId="171" fontId="25" fillId="0" borderId="0" xfId="36" applyNumberFormat="1" applyFont="1"/>
    <xf numFmtId="167" fontId="25" fillId="0" borderId="0" xfId="36" applyNumberFormat="1" applyFont="1"/>
    <xf numFmtId="9" fontId="25" fillId="0" borderId="0" xfId="39" applyFont="1" applyBorder="1" applyAlignment="1">
      <alignment horizontal="left"/>
    </xf>
    <xf numFmtId="3" fontId="25" fillId="0" borderId="0" xfId="36" applyNumberFormat="1" applyFont="1"/>
    <xf numFmtId="168" fontId="24" fillId="0" borderId="0" xfId="36" applyNumberFormat="1" applyFont="1" applyAlignment="1">
      <alignment horizontal="left"/>
    </xf>
    <xf numFmtId="3" fontId="25" fillId="0" borderId="16" xfId="36" applyNumberFormat="1" applyFont="1" applyBorder="1"/>
    <xf numFmtId="168" fontId="24" fillId="0" borderId="0" xfId="36" applyNumberFormat="1" applyFont="1"/>
    <xf numFmtId="168" fontId="24" fillId="0" borderId="13" xfId="36" applyNumberFormat="1" applyFont="1" applyBorder="1" applyAlignment="1">
      <alignment horizontal="center"/>
    </xf>
    <xf numFmtId="168" fontId="24" fillId="0" borderId="14" xfId="36" applyNumberFormat="1" applyFont="1" applyBorder="1" applyAlignment="1">
      <alignment horizontal="center"/>
    </xf>
    <xf numFmtId="168" fontId="25" fillId="0" borderId="15" xfId="36" applyNumberFormat="1" applyFont="1" applyBorder="1" applyAlignment="1">
      <alignment vertical="justify" wrapText="1"/>
    </xf>
    <xf numFmtId="168" fontId="25" fillId="0" borderId="0" xfId="36" applyNumberFormat="1" applyFont="1" applyAlignment="1">
      <alignment vertical="justify" wrapText="1"/>
    </xf>
    <xf numFmtId="4" fontId="25" fillId="0" borderId="14" xfId="36" applyNumberFormat="1" applyFont="1" applyBorder="1" applyAlignment="1">
      <alignment horizontal="right"/>
    </xf>
    <xf numFmtId="173" fontId="25" fillId="0" borderId="14" xfId="36" applyNumberFormat="1" applyFont="1" applyBorder="1" applyAlignment="1">
      <alignment horizontal="right"/>
    </xf>
    <xf numFmtId="168" fontId="24" fillId="0" borderId="13" xfId="36" applyNumberFormat="1" applyFont="1" applyBorder="1"/>
    <xf numFmtId="168" fontId="24" fillId="0" borderId="0" xfId="36" applyNumberFormat="1" applyFont="1" applyAlignment="1">
      <alignment horizontal="right"/>
    </xf>
    <xf numFmtId="170" fontId="24" fillId="0" borderId="0" xfId="0" applyNumberFormat="1" applyFont="1"/>
    <xf numFmtId="170" fontId="25" fillId="0" borderId="17" xfId="36" applyNumberFormat="1" applyFont="1" applyBorder="1" applyAlignment="1">
      <alignment horizontal="right"/>
    </xf>
    <xf numFmtId="168" fontId="25" fillId="0" borderId="10" xfId="36" applyNumberFormat="1" applyFont="1" applyBorder="1"/>
    <xf numFmtId="168" fontId="25" fillId="0" borderId="15" xfId="36" applyNumberFormat="1" applyFont="1" applyBorder="1"/>
    <xf numFmtId="168" fontId="25" fillId="0" borderId="17" xfId="36" applyNumberFormat="1" applyFont="1" applyBorder="1" applyAlignment="1">
      <alignment horizontal="right"/>
    </xf>
    <xf numFmtId="170" fontId="25" fillId="0" borderId="17" xfId="0" applyNumberFormat="1" applyFont="1" applyBorder="1"/>
    <xf numFmtId="168" fontId="25" fillId="0" borderId="13" xfId="36" applyNumberFormat="1" applyFont="1" applyBorder="1" applyAlignment="1">
      <alignment vertical="justify" wrapText="1"/>
    </xf>
    <xf numFmtId="173" fontId="24" fillId="0" borderId="18" xfId="36" applyNumberFormat="1" applyFont="1" applyBorder="1"/>
    <xf numFmtId="170" fontId="24" fillId="0" borderId="0" xfId="36" applyNumberFormat="1" applyFont="1" applyAlignment="1">
      <alignment horizontal="right"/>
    </xf>
    <xf numFmtId="168" fontId="24" fillId="0" borderId="15" xfId="36" applyNumberFormat="1" applyFont="1" applyBorder="1" applyAlignment="1">
      <alignment vertical="justify" wrapText="1"/>
    </xf>
    <xf numFmtId="4" fontId="24" fillId="0" borderId="18" xfId="36" applyNumberFormat="1" applyFont="1" applyBorder="1" applyAlignment="1">
      <alignment horizontal="right"/>
    </xf>
    <xf numFmtId="167" fontId="25" fillId="0" borderId="19" xfId="36" applyNumberFormat="1" applyFont="1" applyBorder="1"/>
    <xf numFmtId="3" fontId="25" fillId="0" borderId="0" xfId="39" applyNumberFormat="1" applyFont="1" applyFill="1" applyBorder="1" applyAlignment="1">
      <alignment horizontal="left"/>
    </xf>
    <xf numFmtId="168" fontId="25" fillId="0" borderId="0" xfId="36" applyNumberFormat="1" applyFont="1" applyAlignment="1">
      <alignment horizontal="justify" vertical="justify" wrapText="1"/>
    </xf>
    <xf numFmtId="4" fontId="24" fillId="0" borderId="0" xfId="36" applyNumberFormat="1" applyFont="1" applyAlignment="1">
      <alignment horizontal="center" vertical="center"/>
    </xf>
    <xf numFmtId="167" fontId="24" fillId="0" borderId="0" xfId="36" applyNumberFormat="1" applyFont="1" applyAlignment="1">
      <alignment horizontal="center" vertical="center"/>
    </xf>
    <xf numFmtId="9" fontId="24" fillId="0" borderId="0" xfId="39" applyFont="1" applyFill="1" applyBorder="1" applyAlignment="1">
      <alignment horizontal="center" vertical="center"/>
    </xf>
    <xf numFmtId="168" fontId="24" fillId="0" borderId="13" xfId="36" applyNumberFormat="1" applyFont="1" applyBorder="1" applyAlignment="1">
      <alignment horizontal="center" vertical="center"/>
    </xf>
    <xf numFmtId="173" fontId="24" fillId="0" borderId="14" xfId="36" applyNumberFormat="1" applyFont="1" applyBorder="1" applyAlignment="1">
      <alignment horizontal="center" vertical="center"/>
    </xf>
    <xf numFmtId="173" fontId="25" fillId="0" borderId="14" xfId="36" applyNumberFormat="1" applyFont="1" applyBorder="1"/>
    <xf numFmtId="173" fontId="24" fillId="0" borderId="18" xfId="36" applyNumberFormat="1" applyFont="1" applyBorder="1" applyAlignment="1">
      <alignment horizontal="left"/>
    </xf>
    <xf numFmtId="173" fontId="24" fillId="0" borderId="14" xfId="36" applyNumberFormat="1" applyFont="1" applyBorder="1" applyAlignment="1">
      <alignment horizontal="left"/>
    </xf>
    <xf numFmtId="173" fontId="25" fillId="0" borderId="19" xfId="36" applyNumberFormat="1" applyFont="1" applyBorder="1" applyAlignment="1">
      <alignment horizontal="right"/>
    </xf>
    <xf numFmtId="173" fontId="24" fillId="0" borderId="14" xfId="36" applyNumberFormat="1" applyFont="1" applyBorder="1" applyAlignment="1">
      <alignment horizontal="right"/>
    </xf>
    <xf numFmtId="4" fontId="25" fillId="0" borderId="11" xfId="36" applyNumberFormat="1" applyFont="1" applyBorder="1" applyAlignment="1">
      <alignment horizontal="right"/>
    </xf>
    <xf numFmtId="168" fontId="24" fillId="0" borderId="11" xfId="36" applyNumberFormat="1" applyFont="1" applyBorder="1" applyAlignment="1">
      <alignment horizontal="left"/>
    </xf>
    <xf numFmtId="3" fontId="25" fillId="0" borderId="11" xfId="36" applyNumberFormat="1" applyFont="1" applyBorder="1"/>
    <xf numFmtId="167" fontId="25" fillId="0" borderId="11" xfId="36" applyNumberFormat="1" applyFont="1" applyBorder="1"/>
    <xf numFmtId="173" fontId="24" fillId="0" borderId="12" xfId="36" applyNumberFormat="1" applyFont="1" applyBorder="1" applyAlignment="1">
      <alignment horizontal="left"/>
    </xf>
    <xf numFmtId="168" fontId="23" fillId="0" borderId="13" xfId="36" applyNumberFormat="1" applyFont="1" applyBorder="1"/>
    <xf numFmtId="169" fontId="23" fillId="0" borderId="14" xfId="33" applyFont="1" applyBorder="1" applyAlignment="1">
      <alignment horizontal="center"/>
    </xf>
    <xf numFmtId="168" fontId="22" fillId="0" borderId="13" xfId="36" applyNumberFormat="1" applyFont="1" applyBorder="1"/>
    <xf numFmtId="168" fontId="23" fillId="0" borderId="15" xfId="36" applyNumberFormat="1" applyFont="1" applyBorder="1"/>
    <xf numFmtId="168" fontId="23" fillId="0" borderId="17" xfId="36" applyNumberFormat="1" applyFont="1" applyBorder="1"/>
    <xf numFmtId="174" fontId="25" fillId="0" borderId="14" xfId="36" applyNumberFormat="1" applyFont="1" applyBorder="1" applyAlignment="1" applyProtection="1">
      <alignment horizontal="right"/>
      <protection locked="0"/>
    </xf>
    <xf numFmtId="173" fontId="25" fillId="0" borderId="14" xfId="36" applyNumberFormat="1" applyFont="1" applyBorder="1" applyAlignment="1" applyProtection="1">
      <alignment horizontal="right"/>
      <protection locked="0"/>
    </xf>
    <xf numFmtId="9" fontId="25" fillId="0" borderId="0" xfId="38" applyFont="1" applyFill="1" applyBorder="1" applyAlignment="1" applyProtection="1">
      <alignment horizontal="right"/>
      <protection locked="0"/>
    </xf>
    <xf numFmtId="168" fontId="24" fillId="0" borderId="0" xfId="36" applyNumberFormat="1" applyFont="1" applyProtection="1">
      <protection locked="0"/>
    </xf>
    <xf numFmtId="165" fontId="25" fillId="0" borderId="14" xfId="36" applyNumberFormat="1" applyFont="1" applyBorder="1" applyAlignment="1" applyProtection="1">
      <alignment horizontal="right"/>
      <protection locked="0"/>
    </xf>
    <xf numFmtId="4" fontId="25" fillId="0" borderId="18" xfId="36" applyNumberFormat="1" applyFont="1" applyBorder="1" applyAlignment="1">
      <alignment horizontal="right"/>
    </xf>
    <xf numFmtId="175" fontId="25" fillId="0" borderId="19" xfId="36" applyNumberFormat="1" applyFont="1" applyBorder="1"/>
    <xf numFmtId="15" fontId="24" fillId="0" borderId="0" xfId="36" applyNumberFormat="1" applyFont="1" applyAlignment="1">
      <alignment horizontal="center" vertical="center"/>
    </xf>
    <xf numFmtId="168" fontId="25" fillId="0" borderId="13" xfId="36" applyNumberFormat="1" applyFont="1" applyBorder="1" applyAlignment="1">
      <alignment horizontal="left"/>
    </xf>
    <xf numFmtId="168" fontId="24" fillId="0" borderId="0" xfId="36" applyNumberFormat="1" applyFont="1" applyAlignment="1">
      <alignment horizontal="center" vertical="center"/>
    </xf>
    <xf numFmtId="3" fontId="24" fillId="0" borderId="14" xfId="36" applyNumberFormat="1" applyFont="1" applyBorder="1" applyAlignment="1">
      <alignment horizontal="right"/>
    </xf>
    <xf numFmtId="3" fontId="24" fillId="0" borderId="18" xfId="36" applyNumberFormat="1" applyFont="1" applyBorder="1" applyAlignment="1" applyProtection="1">
      <alignment horizontal="right"/>
      <protection locked="0"/>
    </xf>
    <xf numFmtId="168" fontId="25" fillId="0" borderId="16" xfId="36" applyNumberFormat="1" applyFont="1" applyBorder="1"/>
    <xf numFmtId="168" fontId="28" fillId="0" borderId="0" xfId="36" applyNumberFormat="1" applyFont="1" applyProtection="1">
      <protection locked="0"/>
    </xf>
    <xf numFmtId="168" fontId="26" fillId="0" borderId="0" xfId="36" applyNumberFormat="1" applyFont="1" applyAlignment="1">
      <alignment horizontal="right"/>
    </xf>
    <xf numFmtId="170" fontId="25" fillId="0" borderId="0" xfId="0" applyNumberFormat="1" applyFont="1"/>
    <xf numFmtId="167" fontId="22" fillId="0" borderId="0" xfId="36" applyNumberFormat="1" applyFont="1"/>
    <xf numFmtId="173" fontId="25" fillId="0" borderId="0" xfId="36" applyNumberFormat="1" applyFont="1" applyAlignment="1">
      <alignment horizontal="right"/>
    </xf>
    <xf numFmtId="173" fontId="25" fillId="0" borderId="11" xfId="36" applyNumberFormat="1" applyFont="1" applyBorder="1" applyAlignment="1">
      <alignment horizontal="right"/>
    </xf>
    <xf numFmtId="168" fontId="24" fillId="0" borderId="0" xfId="36" applyNumberFormat="1" applyFont="1" applyAlignment="1">
      <alignment vertical="justify" wrapText="1"/>
    </xf>
    <xf numFmtId="173" fontId="24" fillId="0" borderId="0" xfId="36" applyNumberFormat="1" applyFont="1"/>
    <xf numFmtId="0" fontId="22" fillId="0" borderId="0" xfId="0" applyFont="1"/>
    <xf numFmtId="0" fontId="23" fillId="0" borderId="13" xfId="0" applyFont="1" applyBorder="1"/>
    <xf numFmtId="0" fontId="23" fillId="0" borderId="0" xfId="0" applyFont="1"/>
    <xf numFmtId="0" fontId="23" fillId="0" borderId="14" xfId="0" applyFont="1" applyBorder="1"/>
    <xf numFmtId="0" fontId="22" fillId="0" borderId="13" xfId="0" applyFont="1" applyBorder="1"/>
    <xf numFmtId="171" fontId="22" fillId="0" borderId="0" xfId="0" applyNumberFormat="1" applyFont="1" applyProtection="1">
      <protection locked="0"/>
    </xf>
    <xf numFmtId="171" fontId="22" fillId="0" borderId="14" xfId="0" applyNumberFormat="1" applyFont="1" applyBorder="1" applyProtection="1">
      <protection locked="0"/>
    </xf>
    <xf numFmtId="0" fontId="22" fillId="0" borderId="15" xfId="0" applyFont="1" applyBorder="1"/>
    <xf numFmtId="171" fontId="22" fillId="0" borderId="17" xfId="0" applyNumberFormat="1" applyFont="1" applyBorder="1" applyProtection="1">
      <protection locked="0"/>
    </xf>
    <xf numFmtId="171" fontId="22" fillId="0" borderId="18" xfId="0" applyNumberFormat="1" applyFont="1" applyBorder="1" applyProtection="1">
      <protection locked="0"/>
    </xf>
    <xf numFmtId="171" fontId="22" fillId="0" borderId="0" xfId="0" applyNumberFormat="1" applyFont="1"/>
    <xf numFmtId="171" fontId="22" fillId="0" borderId="14" xfId="0" applyNumberFormat="1" applyFont="1" applyBorder="1"/>
    <xf numFmtId="0" fontId="22" fillId="0" borderId="0" xfId="0" applyFont="1" applyProtection="1">
      <protection locked="0"/>
    </xf>
    <xf numFmtId="0" fontId="22" fillId="0" borderId="20" xfId="0" applyFont="1" applyBorder="1" applyProtection="1">
      <protection locked="0"/>
    </xf>
    <xf numFmtId="0" fontId="23" fillId="0" borderId="15" xfId="0" applyFont="1" applyBorder="1"/>
    <xf numFmtId="0" fontId="23" fillId="0" borderId="17" xfId="0" applyFont="1" applyBorder="1"/>
    <xf numFmtId="171" fontId="23" fillId="0" borderId="18" xfId="0" applyNumberFormat="1" applyFont="1" applyBorder="1"/>
    <xf numFmtId="0" fontId="22" fillId="0" borderId="14" xfId="0" applyFont="1" applyBorder="1"/>
    <xf numFmtId="0" fontId="22" fillId="0" borderId="0" xfId="0" applyFont="1" applyAlignment="1">
      <alignment vertical="top" wrapText="1"/>
    </xf>
    <xf numFmtId="0" fontId="22" fillId="0" borderId="0" xfId="0" applyFont="1" applyAlignment="1">
      <alignment vertical="top"/>
    </xf>
    <xf numFmtId="1" fontId="22" fillId="0" borderId="13" xfId="0" applyNumberFormat="1" applyFont="1" applyBorder="1"/>
    <xf numFmtId="1" fontId="22" fillId="0" borderId="0" xfId="0" applyNumberFormat="1" applyFont="1"/>
    <xf numFmtId="1" fontId="22" fillId="0" borderId="14" xfId="0" applyNumberFormat="1" applyFont="1" applyBorder="1"/>
    <xf numFmtId="0" fontId="22" fillId="0" borderId="17" xfId="0" applyFont="1" applyBorder="1"/>
    <xf numFmtId="0" fontId="22" fillId="0" borderId="18" xfId="0" applyFont="1" applyBorder="1"/>
    <xf numFmtId="168" fontId="35" fillId="0" borderId="0" xfId="36" applyNumberFormat="1" applyFont="1"/>
    <xf numFmtId="15" fontId="24" fillId="0" borderId="0" xfId="36" applyNumberFormat="1" applyFont="1"/>
    <xf numFmtId="168" fontId="36" fillId="0" borderId="0" xfId="36" applyNumberFormat="1" applyFont="1"/>
    <xf numFmtId="168" fontId="35" fillId="0" borderId="17" xfId="36" applyNumberFormat="1" applyFont="1" applyBorder="1"/>
    <xf numFmtId="10" fontId="35" fillId="0" borderId="0" xfId="38" applyNumberFormat="1" applyFont="1"/>
    <xf numFmtId="168" fontId="36" fillId="0" borderId="0" xfId="36" applyNumberFormat="1" applyFont="1" applyAlignment="1">
      <alignment horizontal="left"/>
    </xf>
    <xf numFmtId="168" fontId="35" fillId="0" borderId="0" xfId="36" applyNumberFormat="1" applyFont="1" applyAlignment="1">
      <alignment horizontal="left"/>
    </xf>
    <xf numFmtId="168" fontId="35" fillId="0" borderId="0" xfId="36" applyNumberFormat="1" applyFont="1" applyAlignment="1">
      <alignment horizontal="center"/>
    </xf>
    <xf numFmtId="171" fontId="37" fillId="0" borderId="0" xfId="36" applyNumberFormat="1" applyFont="1" applyAlignment="1">
      <alignment horizontal="right"/>
    </xf>
    <xf numFmtId="168" fontId="37" fillId="0" borderId="0" xfId="36" applyNumberFormat="1" applyFont="1" applyAlignment="1">
      <alignment horizontal="right"/>
    </xf>
    <xf numFmtId="167" fontId="35" fillId="0" borderId="0" xfId="36" applyNumberFormat="1" applyFont="1"/>
    <xf numFmtId="3" fontId="35" fillId="0" borderId="0" xfId="36" applyNumberFormat="1" applyFont="1"/>
    <xf numFmtId="171" fontId="35" fillId="0" borderId="0" xfId="36" applyNumberFormat="1" applyFont="1"/>
    <xf numFmtId="171" fontId="35" fillId="0" borderId="0" xfId="36" applyNumberFormat="1" applyFont="1" applyAlignment="1">
      <alignment horizontal="right"/>
    </xf>
    <xf numFmtId="168" fontId="35" fillId="0" borderId="0" xfId="36" applyNumberFormat="1" applyFont="1" applyAlignment="1">
      <alignment horizontal="right"/>
    </xf>
    <xf numFmtId="171" fontId="37" fillId="0" borderId="0" xfId="36" applyNumberFormat="1" applyFont="1"/>
    <xf numFmtId="3" fontId="36" fillId="0" borderId="0" xfId="36" applyNumberFormat="1" applyFont="1"/>
    <xf numFmtId="170" fontId="35" fillId="0" borderId="0" xfId="36" applyNumberFormat="1" applyFont="1" applyAlignment="1">
      <alignment horizontal="right"/>
    </xf>
    <xf numFmtId="170" fontId="37" fillId="0" borderId="0" xfId="36" applyNumberFormat="1" applyFont="1" applyAlignment="1">
      <alignment horizontal="right"/>
    </xf>
    <xf numFmtId="9" fontId="35" fillId="0" borderId="0" xfId="36" applyNumberFormat="1" applyFont="1" applyAlignment="1">
      <alignment horizontal="left"/>
    </xf>
    <xf numFmtId="172" fontId="35" fillId="0" borderId="0" xfId="36" applyNumberFormat="1" applyFont="1" applyAlignment="1">
      <alignment horizontal="left"/>
    </xf>
    <xf numFmtId="170" fontId="35" fillId="0" borderId="0" xfId="0" applyNumberFormat="1" applyFont="1"/>
    <xf numFmtId="171" fontId="38" fillId="0" borderId="0" xfId="36" applyNumberFormat="1" applyFont="1"/>
    <xf numFmtId="168" fontId="28" fillId="0" borderId="0" xfId="36" applyNumberFormat="1" applyFont="1"/>
    <xf numFmtId="167" fontId="22" fillId="0" borderId="14" xfId="36" applyNumberFormat="1" applyFont="1" applyBorder="1"/>
    <xf numFmtId="167" fontId="22" fillId="0" borderId="19" xfId="36" applyNumberFormat="1" applyFont="1" applyBorder="1"/>
    <xf numFmtId="167" fontId="22" fillId="0" borderId="18" xfId="36" applyNumberFormat="1" applyFont="1" applyBorder="1"/>
    <xf numFmtId="3" fontId="39" fillId="24" borderId="0" xfId="0" applyNumberFormat="1" applyFont="1" applyFill="1"/>
    <xf numFmtId="0" fontId="22" fillId="0" borderId="0" xfId="0" applyFont="1" applyAlignment="1">
      <alignment horizontal="left" vertical="top" wrapText="1"/>
    </xf>
    <xf numFmtId="15" fontId="27" fillId="0" borderId="0" xfId="36" applyNumberFormat="1" applyFont="1" applyAlignment="1" applyProtection="1">
      <alignment horizontal="center" vertical="center"/>
      <protection locked="0"/>
    </xf>
    <xf numFmtId="15" fontId="24" fillId="0" borderId="0" xfId="36" applyNumberFormat="1" applyFont="1" applyAlignment="1">
      <alignment horizontal="center" vertical="center"/>
    </xf>
    <xf numFmtId="3" fontId="25" fillId="0" borderId="0" xfId="35" applyNumberFormat="1" applyFont="1" applyAlignment="1" applyProtection="1">
      <alignment horizontal="left"/>
      <protection locked="0"/>
    </xf>
    <xf numFmtId="168" fontId="24" fillId="0" borderId="15" xfId="36" applyNumberFormat="1" applyFont="1" applyBorder="1" applyAlignment="1">
      <alignment horizontal="left"/>
    </xf>
    <xf numFmtId="168" fontId="24" fillId="0" borderId="17" xfId="36" applyNumberFormat="1" applyFont="1" applyBorder="1" applyAlignment="1">
      <alignment horizontal="left"/>
    </xf>
    <xf numFmtId="168" fontId="34" fillId="25" borderId="10" xfId="36" applyNumberFormat="1" applyFont="1" applyFill="1" applyBorder="1" applyAlignment="1">
      <alignment horizontal="center"/>
    </xf>
    <xf numFmtId="168" fontId="34" fillId="25" borderId="12" xfId="36" applyNumberFormat="1" applyFont="1" applyFill="1" applyBorder="1" applyAlignment="1">
      <alignment horizontal="center"/>
    </xf>
    <xf numFmtId="168" fontId="25" fillId="0" borderId="13" xfId="36" applyNumberFormat="1" applyFont="1" applyBorder="1" applyAlignment="1">
      <alignment horizontal="left"/>
    </xf>
    <xf numFmtId="168" fontId="25" fillId="0" borderId="0" xfId="36" applyNumberFormat="1" applyFont="1" applyAlignment="1">
      <alignment horizontal="left"/>
    </xf>
    <xf numFmtId="168" fontId="34" fillId="25" borderId="11" xfId="36" applyNumberFormat="1" applyFont="1" applyFill="1" applyBorder="1" applyAlignment="1">
      <alignment horizontal="center"/>
    </xf>
    <xf numFmtId="168" fontId="25" fillId="0" borderId="0" xfId="36" applyNumberFormat="1" applyFont="1" applyAlignment="1" applyProtection="1">
      <alignment horizontal="left"/>
      <protection locked="0"/>
    </xf>
    <xf numFmtId="168" fontId="25" fillId="0" borderId="0" xfId="35" applyFont="1" applyAlignment="1" applyProtection="1">
      <alignment horizontal="left"/>
      <protection locked="0"/>
    </xf>
    <xf numFmtId="168" fontId="25" fillId="0" borderId="0" xfId="36" applyNumberFormat="1" applyFont="1" applyAlignment="1">
      <alignment horizontal="left" vertical="justify" wrapText="1"/>
    </xf>
    <xf numFmtId="168" fontId="25" fillId="0" borderId="0" xfId="36" applyNumberFormat="1" applyFont="1" applyAlignment="1">
      <alignment horizontal="justify" vertical="justify"/>
    </xf>
    <xf numFmtId="168" fontId="25" fillId="0" borderId="0" xfId="36" applyNumberFormat="1" applyFont="1" applyAlignment="1">
      <alignment horizontal="justify" vertical="justify" wrapText="1"/>
    </xf>
    <xf numFmtId="168" fontId="24" fillId="0" borderId="0" xfId="36" applyNumberFormat="1" applyFont="1" applyAlignment="1">
      <alignment horizontal="center" vertical="center"/>
    </xf>
    <xf numFmtId="164" fontId="25" fillId="0" borderId="0" xfId="36" applyNumberFormat="1" applyFont="1" applyAlignment="1">
      <alignment horizontal="center"/>
    </xf>
    <xf numFmtId="4" fontId="29" fillId="0" borderId="0" xfId="36" applyNumberFormat="1" applyFont="1" applyAlignment="1">
      <alignment horizontal="center" vertical="center" wrapText="1"/>
    </xf>
    <xf numFmtId="4" fontId="29" fillId="0" borderId="14" xfId="36" applyNumberFormat="1" applyFont="1" applyBorder="1" applyAlignment="1">
      <alignment horizontal="center" vertical="center" wrapText="1"/>
    </xf>
    <xf numFmtId="4" fontId="29" fillId="0" borderId="17" xfId="36" applyNumberFormat="1" applyFont="1" applyBorder="1" applyAlignment="1">
      <alignment horizontal="center" vertical="center" wrapText="1"/>
    </xf>
    <xf numFmtId="4" fontId="29" fillId="0" borderId="18" xfId="36" applyNumberFormat="1" applyFont="1" applyBorder="1" applyAlignment="1">
      <alignment horizontal="center" vertical="center" wrapText="1"/>
    </xf>
    <xf numFmtId="164" fontId="25" fillId="0" borderId="0" xfId="36" applyNumberFormat="1" applyFont="1" applyAlignment="1" applyProtection="1">
      <alignment horizontal="center"/>
      <protection locked="0"/>
    </xf>
    <xf numFmtId="168" fontId="24" fillId="0" borderId="0" xfId="36" applyNumberFormat="1" applyFont="1" applyAlignment="1">
      <alignment horizontal="center"/>
    </xf>
    <xf numFmtId="0" fontId="23" fillId="24" borderId="10" xfId="0" applyFont="1" applyFill="1" applyBorder="1" applyAlignment="1">
      <alignment horizontal="center"/>
    </xf>
    <xf numFmtId="0" fontId="23" fillId="24" borderId="11" xfId="0" applyFont="1" applyFill="1" applyBorder="1" applyAlignment="1">
      <alignment horizontal="center"/>
    </xf>
    <xf numFmtId="0" fontId="23" fillId="24" borderId="12" xfId="0" applyFont="1" applyFill="1" applyBorder="1" applyAlignment="1">
      <alignment horizontal="center"/>
    </xf>
    <xf numFmtId="3" fontId="39" fillId="0" borderId="10" xfId="0" applyNumberFormat="1" applyFont="1" applyBorder="1" applyAlignment="1">
      <alignment horizontal="left"/>
    </xf>
    <xf numFmtId="3" fontId="39" fillId="0" borderId="11" xfId="0" applyNumberFormat="1" applyFont="1" applyBorder="1" applyAlignment="1">
      <alignment horizontal="left"/>
    </xf>
    <xf numFmtId="3" fontId="39" fillId="0" borderId="12" xfId="0" applyNumberFormat="1" applyFont="1" applyBorder="1" applyAlignment="1">
      <alignment horizontal="left"/>
    </xf>
  </cellXfs>
  <cellStyles count="48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Bueno" xfId="19" builtinId="26" customBuiltin="1"/>
    <cellStyle name="Cálculo" xfId="20" builtinId="22" customBuiltin="1"/>
    <cellStyle name="Celda de comprobación" xfId="21" builtinId="23" customBuiltin="1"/>
    <cellStyle name="Celda vinculada" xfId="22" builtinId="24" customBuiltin="1"/>
    <cellStyle name="Encabezado 4" xfId="23" builtinId="19" customBuiltin="1"/>
    <cellStyle name="Énfasis1" xfId="24" builtinId="29" customBuiltin="1"/>
    <cellStyle name="Énfasis2" xfId="25" builtinId="33" customBuiltin="1"/>
    <cellStyle name="Énfasis3" xfId="26" builtinId="37" customBuiltin="1"/>
    <cellStyle name="Énfasis4" xfId="27" builtinId="41" customBuiltin="1"/>
    <cellStyle name="Énfasis5" xfId="28" builtinId="45" customBuiltin="1"/>
    <cellStyle name="Énfasis6" xfId="29" builtinId="49" customBuiltin="1"/>
    <cellStyle name="Entrada" xfId="30" builtinId="20" customBuiltin="1"/>
    <cellStyle name="Incorrecto" xfId="31" builtinId="27" customBuiltin="1"/>
    <cellStyle name="Millares 2" xfId="32" xr:uid="{00000000-0005-0000-0000-00001F000000}"/>
    <cellStyle name="Millares 2_Libro1(1)" xfId="33" xr:uid="{00000000-0005-0000-0000-000020000000}"/>
    <cellStyle name="Neutral" xfId="34" builtinId="28" customBuiltin="1"/>
    <cellStyle name="Normal" xfId="0" builtinId="0"/>
    <cellStyle name="Normal_1299 2" xfId="35" xr:uid="{00000000-0005-0000-0000-000023000000}"/>
    <cellStyle name="Normal_1299 2_Libro1(1)" xfId="36" xr:uid="{00000000-0005-0000-0000-000024000000}"/>
    <cellStyle name="Notas" xfId="37" builtinId="10" customBuiltin="1"/>
    <cellStyle name="Porcentaje" xfId="38" builtinId="5"/>
    <cellStyle name="Porcentual 2" xfId="39" xr:uid="{00000000-0005-0000-0000-000027000000}"/>
    <cellStyle name="Salida" xfId="40" builtinId="21" customBuiltin="1"/>
    <cellStyle name="Texto de advertencia" xfId="41" builtinId="11" customBuiltin="1"/>
    <cellStyle name="Texto explicativo" xfId="42" builtinId="53" customBuiltin="1"/>
    <cellStyle name="Título" xfId="43" builtinId="15" customBuiltin="1"/>
    <cellStyle name="Título 1" xfId="44" xr:uid="{00000000-0005-0000-0000-00002C000000}"/>
    <cellStyle name="Título 2" xfId="45" builtinId="17" customBuiltin="1"/>
    <cellStyle name="Título 3" xfId="46" builtinId="18" customBuiltin="1"/>
    <cellStyle name="Total" xfId="4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M87"/>
  <sheetViews>
    <sheetView showGridLines="0" tabSelected="1" topLeftCell="A8" zoomScaleSheetLayoutView="100" workbookViewId="0">
      <selection activeCell="C30" sqref="C30"/>
    </sheetView>
  </sheetViews>
  <sheetFormatPr baseColWidth="10" defaultColWidth="11.42578125" defaultRowHeight="12.75" x14ac:dyDescent="0.2"/>
  <cols>
    <col min="1" max="1" width="2.7109375" style="113" customWidth="1"/>
    <col min="2" max="2" width="42.7109375" style="113" bestFit="1" customWidth="1"/>
    <col min="3" max="3" width="14.28515625" style="113" customWidth="1"/>
    <col min="4" max="4" width="8" style="113" customWidth="1"/>
    <col min="5" max="5" width="10.28515625" style="113" bestFit="1" customWidth="1"/>
    <col min="6" max="6" width="2.85546875" style="113" customWidth="1"/>
    <col min="7" max="7" width="8.7109375" style="113" bestFit="1" customWidth="1"/>
    <col min="8" max="8" width="3" style="113" customWidth="1"/>
    <col min="9" max="9" width="15.7109375" style="113" customWidth="1"/>
    <col min="10" max="10" width="14" style="113" bestFit="1" customWidth="1"/>
    <col min="11" max="11" width="12.5703125" style="113" customWidth="1"/>
    <col min="12" max="12" width="9" style="113" customWidth="1"/>
    <col min="13" max="16384" width="11.42578125" style="113"/>
  </cols>
  <sheetData>
    <row r="1" spans="2:11" ht="15" customHeight="1" x14ac:dyDescent="0.2"/>
    <row r="2" spans="2:11" ht="15" customHeight="1" x14ac:dyDescent="0.2">
      <c r="B2" s="142" t="s">
        <v>101</v>
      </c>
      <c r="C2" s="142"/>
      <c r="D2" s="142"/>
      <c r="E2" s="142"/>
      <c r="F2" s="142"/>
      <c r="G2" s="142"/>
      <c r="H2" s="142"/>
      <c r="I2" s="142"/>
      <c r="J2" s="142"/>
    </row>
    <row r="3" spans="2:11" ht="15" customHeight="1" x14ac:dyDescent="0.2">
      <c r="B3" s="142" t="s">
        <v>102</v>
      </c>
      <c r="C3" s="142"/>
      <c r="D3" s="142"/>
      <c r="E3" s="142"/>
      <c r="F3" s="142"/>
      <c r="G3" s="142"/>
      <c r="H3" s="142"/>
      <c r="I3" s="142"/>
      <c r="J3" s="142"/>
    </row>
    <row r="4" spans="2:11" ht="15" customHeight="1" x14ac:dyDescent="0.25">
      <c r="B4" s="143" t="s">
        <v>100</v>
      </c>
      <c r="C4" s="143"/>
      <c r="D4" s="143"/>
      <c r="E4" s="143"/>
      <c r="F4" s="143"/>
      <c r="G4" s="143"/>
      <c r="H4" s="143"/>
      <c r="I4" s="143"/>
      <c r="J4" s="143"/>
      <c r="K4" s="114"/>
    </row>
    <row r="5" spans="2:11" ht="15" customHeight="1" x14ac:dyDescent="0.25">
      <c r="B5" s="74"/>
      <c r="C5" s="74"/>
      <c r="D5" s="74"/>
      <c r="E5" s="74"/>
      <c r="F5" s="74"/>
      <c r="G5" s="74"/>
      <c r="H5" s="74"/>
      <c r="I5" s="74"/>
      <c r="J5" s="136" t="s">
        <v>107</v>
      </c>
      <c r="K5" s="114"/>
    </row>
    <row r="6" spans="2:11" ht="15" customHeight="1" x14ac:dyDescent="0.25">
      <c r="B6" s="3"/>
      <c r="C6" s="3"/>
      <c r="D6" s="3"/>
      <c r="E6" s="3"/>
      <c r="F6" s="3"/>
      <c r="G6" s="3"/>
      <c r="H6" s="3"/>
      <c r="I6" s="3"/>
      <c r="J6" s="3"/>
    </row>
    <row r="7" spans="2:11" ht="15" customHeight="1" x14ac:dyDescent="0.25">
      <c r="B7" s="22" t="s">
        <v>0</v>
      </c>
      <c r="C7" s="152" t="s">
        <v>103</v>
      </c>
      <c r="D7" s="152"/>
      <c r="E7" s="152"/>
      <c r="F7" s="152"/>
      <c r="G7" s="152"/>
      <c r="H7" s="3"/>
      <c r="I7" s="3"/>
      <c r="J7" s="3"/>
    </row>
    <row r="8" spans="2:11" ht="15" customHeight="1" x14ac:dyDescent="0.25">
      <c r="B8" s="22" t="s">
        <v>43</v>
      </c>
      <c r="C8" s="144" t="s">
        <v>104</v>
      </c>
      <c r="D8" s="144"/>
      <c r="E8" s="144"/>
      <c r="F8" s="3"/>
      <c r="G8" s="3"/>
      <c r="H8" s="3"/>
      <c r="I8" s="3"/>
      <c r="J8" s="3"/>
    </row>
    <row r="9" spans="2:11" ht="15" customHeight="1" x14ac:dyDescent="0.25">
      <c r="B9" s="22" t="s">
        <v>2</v>
      </c>
      <c r="C9" s="153" t="s">
        <v>105</v>
      </c>
      <c r="D9" s="153"/>
      <c r="E9" s="153"/>
      <c r="F9" s="3"/>
      <c r="G9" s="3"/>
      <c r="H9" s="3"/>
      <c r="I9" s="3"/>
      <c r="J9" s="3"/>
    </row>
    <row r="10" spans="2:11" ht="15" customHeight="1" x14ac:dyDescent="0.25">
      <c r="B10" s="22" t="s">
        <v>70</v>
      </c>
      <c r="C10" s="152" t="s">
        <v>80</v>
      </c>
      <c r="D10" s="152"/>
      <c r="E10" s="152"/>
      <c r="F10" s="3"/>
      <c r="G10" s="3"/>
      <c r="H10" s="3"/>
      <c r="I10" s="3"/>
      <c r="J10" s="3"/>
    </row>
    <row r="11" spans="2:11" ht="15" customHeight="1" x14ac:dyDescent="0.25">
      <c r="B11" s="22"/>
      <c r="C11" s="4"/>
      <c r="D11" s="3"/>
      <c r="E11" s="3"/>
      <c r="F11" s="3"/>
      <c r="G11" s="3"/>
      <c r="H11" s="3"/>
      <c r="I11" s="3"/>
      <c r="J11" s="3"/>
    </row>
    <row r="12" spans="2:11" ht="15" customHeight="1" thickBot="1" x14ac:dyDescent="0.3">
      <c r="B12" s="22"/>
      <c r="C12" s="3"/>
      <c r="D12" s="3"/>
      <c r="E12" s="5"/>
      <c r="F12" s="5"/>
      <c r="G12" s="5"/>
      <c r="H12" s="5"/>
      <c r="I12" s="5"/>
      <c r="J12" s="5"/>
    </row>
    <row r="13" spans="2:11" ht="15" customHeight="1" x14ac:dyDescent="0.25">
      <c r="B13" s="147" t="s">
        <v>71</v>
      </c>
      <c r="C13" s="148"/>
      <c r="D13" s="6"/>
      <c r="E13" s="147" t="s">
        <v>72</v>
      </c>
      <c r="F13" s="151"/>
      <c r="G13" s="151"/>
      <c r="H13" s="151"/>
      <c r="I13" s="151"/>
      <c r="J13" s="148"/>
    </row>
    <row r="14" spans="2:11" ht="15" customHeight="1" x14ac:dyDescent="0.25">
      <c r="B14" s="75" t="s">
        <v>47</v>
      </c>
      <c r="C14" s="67">
        <v>45078</v>
      </c>
      <c r="D14" s="6"/>
      <c r="E14" s="7" t="s">
        <v>48</v>
      </c>
      <c r="G14" s="3"/>
      <c r="H14" s="8"/>
      <c r="I14" s="9"/>
      <c r="J14" s="68">
        <v>2500000</v>
      </c>
    </row>
    <row r="15" spans="2:11" ht="15" customHeight="1" x14ac:dyDescent="0.25">
      <c r="B15" s="75" t="s">
        <v>3</v>
      </c>
      <c r="C15" s="67">
        <v>43377</v>
      </c>
      <c r="D15" s="6"/>
      <c r="E15" s="7" t="s">
        <v>4</v>
      </c>
      <c r="G15" s="3"/>
      <c r="H15" s="8"/>
      <c r="I15" s="9"/>
      <c r="J15" s="68">
        <v>150000</v>
      </c>
    </row>
    <row r="16" spans="2:11" ht="15" customHeight="1" thickBot="1" x14ac:dyDescent="0.3">
      <c r="B16" s="75" t="s">
        <v>5</v>
      </c>
      <c r="C16" s="77">
        <f>DAYS360(C15,C14)+1</f>
        <v>1678</v>
      </c>
      <c r="D16" s="3"/>
      <c r="E16" s="7" t="s">
        <v>19</v>
      </c>
      <c r="G16" s="3"/>
      <c r="H16" s="8"/>
      <c r="I16" s="9"/>
      <c r="J16" s="55">
        <f>Datos!E22</f>
        <v>0</v>
      </c>
    </row>
    <row r="17" spans="2:10" ht="15" customHeight="1" thickTop="1" x14ac:dyDescent="0.25">
      <c r="B17" s="39" t="s">
        <v>83</v>
      </c>
      <c r="C17" s="30">
        <f>Datos!J17</f>
        <v>0</v>
      </c>
      <c r="D17" s="3"/>
      <c r="E17" s="31" t="s">
        <v>49</v>
      </c>
      <c r="F17" s="115"/>
      <c r="G17" s="32"/>
      <c r="H17" s="33"/>
      <c r="I17" s="41"/>
      <c r="J17" s="56">
        <f>IF(SUM(J15:J16)&gt;SUM(J14:J15),SUM(J15:J16),SUM(J14:J15))</f>
        <v>2650000</v>
      </c>
    </row>
    <row r="18" spans="2:10" ht="15" customHeight="1" thickBot="1" x14ac:dyDescent="0.3">
      <c r="B18" s="27" t="s">
        <v>63</v>
      </c>
      <c r="C18" s="78">
        <v>6</v>
      </c>
      <c r="D18" s="3"/>
      <c r="E18" s="36" t="s">
        <v>50</v>
      </c>
      <c r="F18" s="116"/>
      <c r="G18" s="37"/>
      <c r="H18" s="38"/>
      <c r="I18" s="34"/>
      <c r="J18" s="72">
        <v>0</v>
      </c>
    </row>
    <row r="19" spans="2:10" ht="15" customHeight="1" thickBot="1" x14ac:dyDescent="0.3">
      <c r="B19" s="86"/>
      <c r="C19" s="11"/>
      <c r="D19" s="3"/>
      <c r="E19" s="3"/>
      <c r="F19" s="2"/>
      <c r="G19" s="2"/>
      <c r="H19" s="12"/>
      <c r="I19" s="13"/>
      <c r="J19" s="85"/>
    </row>
    <row r="20" spans="2:10" ht="15" customHeight="1" x14ac:dyDescent="0.25">
      <c r="B20" s="147" t="s">
        <v>18</v>
      </c>
      <c r="C20" s="148"/>
      <c r="D20" s="3"/>
      <c r="E20" s="147" t="s">
        <v>51</v>
      </c>
      <c r="F20" s="151"/>
      <c r="G20" s="151"/>
      <c r="H20" s="151"/>
      <c r="I20" s="151"/>
      <c r="J20" s="148"/>
    </row>
    <row r="21" spans="2:10" ht="15" customHeight="1" x14ac:dyDescent="0.25">
      <c r="B21" s="75" t="s">
        <v>52</v>
      </c>
      <c r="C21" s="67">
        <v>44932</v>
      </c>
      <c r="D21" s="3"/>
      <c r="E21" s="149" t="s">
        <v>53</v>
      </c>
      <c r="F21" s="150"/>
      <c r="G21" s="150"/>
      <c r="H21" s="150"/>
      <c r="I21" s="150"/>
      <c r="J21" s="67">
        <v>44129</v>
      </c>
    </row>
    <row r="22" spans="2:10" ht="15" customHeight="1" x14ac:dyDescent="0.25">
      <c r="B22" s="75" t="s">
        <v>7</v>
      </c>
      <c r="C22" s="67">
        <v>44927</v>
      </c>
      <c r="D22" s="3"/>
      <c r="E22" s="149" t="s">
        <v>54</v>
      </c>
      <c r="F22" s="150"/>
      <c r="G22" s="150"/>
      <c r="H22" s="150"/>
      <c r="I22" s="150"/>
      <c r="J22" s="67">
        <v>44108</v>
      </c>
    </row>
    <row r="23" spans="2:10" ht="15" customHeight="1" thickBot="1" x14ac:dyDescent="0.3">
      <c r="B23" s="42" t="s">
        <v>55</v>
      </c>
      <c r="C23" s="43">
        <f>DAYS360(C22,C21)+1</f>
        <v>6</v>
      </c>
      <c r="D23" s="3"/>
      <c r="E23" s="145" t="s">
        <v>56</v>
      </c>
      <c r="F23" s="146"/>
      <c r="G23" s="146"/>
      <c r="H23" s="146"/>
      <c r="I23" s="146"/>
      <c r="J23" s="43">
        <f>DAYS360(J22,J21)+1</f>
        <v>22</v>
      </c>
    </row>
    <row r="24" spans="2:10" ht="15" customHeight="1" thickBot="1" x14ac:dyDescent="0.3">
      <c r="B24" s="86"/>
      <c r="C24" s="11"/>
      <c r="D24" s="3"/>
      <c r="E24" s="3"/>
      <c r="F24" s="3"/>
      <c r="G24" s="3"/>
      <c r="H24" s="8"/>
      <c r="I24" s="9"/>
      <c r="J24" s="84"/>
    </row>
    <row r="25" spans="2:10" ht="15" customHeight="1" x14ac:dyDescent="0.25">
      <c r="B25" s="147" t="s">
        <v>16</v>
      </c>
      <c r="C25" s="148"/>
      <c r="D25" s="3"/>
      <c r="E25" s="147" t="s">
        <v>57</v>
      </c>
      <c r="F25" s="151"/>
      <c r="G25" s="151"/>
      <c r="H25" s="151"/>
      <c r="I25" s="151"/>
      <c r="J25" s="148"/>
    </row>
    <row r="26" spans="2:10" ht="15" customHeight="1" x14ac:dyDescent="0.25">
      <c r="B26" s="75" t="s">
        <v>58</v>
      </c>
      <c r="C26" s="67">
        <v>44933</v>
      </c>
      <c r="D26" s="3"/>
      <c r="E26" s="149" t="s">
        <v>59</v>
      </c>
      <c r="F26" s="150"/>
      <c r="G26" s="150"/>
      <c r="H26" s="150"/>
      <c r="I26" s="150"/>
      <c r="J26" s="67">
        <v>44129</v>
      </c>
    </row>
    <row r="27" spans="2:10" ht="15" customHeight="1" x14ac:dyDescent="0.25">
      <c r="B27" s="75" t="s">
        <v>6</v>
      </c>
      <c r="C27" s="67">
        <v>39980</v>
      </c>
      <c r="D27" s="3"/>
      <c r="E27" s="149" t="s">
        <v>33</v>
      </c>
      <c r="F27" s="150"/>
      <c r="G27" s="150"/>
      <c r="H27" s="150"/>
      <c r="I27" s="150"/>
      <c r="J27" s="67">
        <v>44108</v>
      </c>
    </row>
    <row r="28" spans="2:10" ht="15" customHeight="1" thickBot="1" x14ac:dyDescent="0.3">
      <c r="B28" s="75" t="s">
        <v>73</v>
      </c>
      <c r="C28" s="29">
        <f>((DAYS360(C27,C26)+1)*15)/360</f>
        <v>203.41666666666666</v>
      </c>
      <c r="D28" s="3"/>
      <c r="E28" s="145" t="s">
        <v>60</v>
      </c>
      <c r="F28" s="146"/>
      <c r="G28" s="146"/>
      <c r="H28" s="146"/>
      <c r="I28" s="146"/>
      <c r="J28" s="43">
        <f>DAYS360(J27,J26)+1</f>
        <v>22</v>
      </c>
    </row>
    <row r="29" spans="2:10" ht="15" customHeight="1" x14ac:dyDescent="0.25">
      <c r="B29" s="75" t="s">
        <v>61</v>
      </c>
      <c r="C29" s="71">
        <v>195</v>
      </c>
      <c r="D29" s="3"/>
      <c r="E29" s="3"/>
      <c r="F29" s="3"/>
      <c r="G29" s="3"/>
      <c r="H29" s="8"/>
      <c r="I29" s="9"/>
      <c r="J29" s="84"/>
    </row>
    <row r="30" spans="2:10" ht="15" customHeight="1" thickBot="1" x14ac:dyDescent="0.3">
      <c r="B30" s="42" t="s">
        <v>62</v>
      </c>
      <c r="C30" s="43">
        <f>+C28-C29</f>
        <v>8.4166666666666572</v>
      </c>
      <c r="D30" s="3"/>
      <c r="E30" s="150"/>
      <c r="F30" s="150"/>
      <c r="G30" s="150"/>
      <c r="H30" s="150"/>
      <c r="I30" s="150"/>
      <c r="J30" s="16"/>
    </row>
    <row r="31" spans="2:10" ht="15" customHeight="1" thickBot="1" x14ac:dyDescent="0.3">
      <c r="B31" s="86"/>
      <c r="C31" s="11"/>
      <c r="D31" s="3"/>
      <c r="E31" s="3"/>
      <c r="F31" s="3"/>
      <c r="G31" s="3"/>
      <c r="H31" s="8"/>
      <c r="I31" s="9"/>
      <c r="J31" s="84"/>
    </row>
    <row r="32" spans="2:10" ht="15" customHeight="1" x14ac:dyDescent="0.25">
      <c r="B32" s="147" t="s">
        <v>78</v>
      </c>
      <c r="C32" s="151"/>
      <c r="D32" s="151"/>
      <c r="E32" s="151"/>
      <c r="F32" s="151"/>
      <c r="G32" s="151"/>
      <c r="H32" s="151"/>
      <c r="I32" s="151"/>
      <c r="J32" s="148"/>
    </row>
    <row r="33" spans="2:13" ht="15" customHeight="1" x14ac:dyDescent="0.25">
      <c r="B33" s="25" t="s">
        <v>75</v>
      </c>
      <c r="C33" s="164" t="s">
        <v>76</v>
      </c>
      <c r="D33" s="164"/>
      <c r="E33" s="164"/>
      <c r="F33" s="164"/>
      <c r="G33" s="164"/>
      <c r="H33" s="164"/>
      <c r="I33" s="164"/>
      <c r="J33" s="26" t="s">
        <v>77</v>
      </c>
    </row>
    <row r="34" spans="2:13" ht="15" customHeight="1" x14ac:dyDescent="0.25">
      <c r="B34" s="7" t="s">
        <v>64</v>
      </c>
      <c r="C34" s="19">
        <f>J17-J15</f>
        <v>2500000</v>
      </c>
      <c r="D34" s="15" t="s">
        <v>8</v>
      </c>
      <c r="E34" s="10">
        <v>30</v>
      </c>
      <c r="F34" s="15" t="s">
        <v>74</v>
      </c>
      <c r="G34" s="3">
        <f>C30</f>
        <v>8.4166666666666572</v>
      </c>
      <c r="H34" s="3"/>
      <c r="I34" s="3"/>
      <c r="J34" s="17">
        <f>((C34/E34)*G34)</f>
        <v>701388.88888888806</v>
      </c>
    </row>
    <row r="35" spans="2:13" ht="15" customHeight="1" x14ac:dyDescent="0.25">
      <c r="B35" s="7" t="s">
        <v>65</v>
      </c>
      <c r="C35" s="19">
        <f>J17</f>
        <v>2650000</v>
      </c>
      <c r="D35" s="15" t="s">
        <v>8</v>
      </c>
      <c r="E35" s="10">
        <v>360</v>
      </c>
      <c r="F35" s="15" t="s">
        <v>74</v>
      </c>
      <c r="G35" s="10">
        <f>J23-$J$18</f>
        <v>22</v>
      </c>
      <c r="H35" s="8" t="s">
        <v>9</v>
      </c>
      <c r="I35" s="18"/>
      <c r="J35" s="17">
        <f t="shared" ref="J35:J41" si="0">((C35/E35)*G35)</f>
        <v>161944.44444444444</v>
      </c>
    </row>
    <row r="36" spans="2:13" ht="15" customHeight="1" x14ac:dyDescent="0.25">
      <c r="B36" s="7" t="s">
        <v>66</v>
      </c>
      <c r="C36" s="19">
        <f>$J$35</f>
        <v>161944.44444444444</v>
      </c>
      <c r="D36" s="15" t="s">
        <v>8</v>
      </c>
      <c r="E36" s="10">
        <v>360</v>
      </c>
      <c r="F36" s="15" t="s">
        <v>74</v>
      </c>
      <c r="G36" s="10">
        <f>J28-$J$18</f>
        <v>22</v>
      </c>
      <c r="H36" s="19" t="s">
        <v>10</v>
      </c>
      <c r="I36" s="20">
        <v>0.12</v>
      </c>
      <c r="J36" s="17">
        <f>(((C36/E36)*G36)*I36)</f>
        <v>1187.5925925925926</v>
      </c>
    </row>
    <row r="37" spans="2:13" ht="15" customHeight="1" x14ac:dyDescent="0.25">
      <c r="B37" s="7" t="s">
        <v>11</v>
      </c>
      <c r="C37" s="19">
        <f>J17</f>
        <v>2650000</v>
      </c>
      <c r="D37" s="15" t="s">
        <v>8</v>
      </c>
      <c r="E37" s="10">
        <v>360</v>
      </c>
      <c r="F37" s="15" t="s">
        <v>74</v>
      </c>
      <c r="G37" s="10">
        <f>C23</f>
        <v>6</v>
      </c>
      <c r="H37" s="8" t="s">
        <v>9</v>
      </c>
      <c r="I37" s="18"/>
      <c r="J37" s="17">
        <f t="shared" si="0"/>
        <v>44166.666666666672</v>
      </c>
    </row>
    <row r="38" spans="2:13" ht="15" customHeight="1" x14ac:dyDescent="0.25">
      <c r="B38" s="7" t="s">
        <v>36</v>
      </c>
      <c r="C38" s="19">
        <f>J14</f>
        <v>2500000</v>
      </c>
      <c r="D38" s="15" t="s">
        <v>8</v>
      </c>
      <c r="E38" s="3">
        <v>30</v>
      </c>
      <c r="F38" s="15" t="s">
        <v>74</v>
      </c>
      <c r="G38" s="3">
        <f>C18</f>
        <v>6</v>
      </c>
      <c r="H38" s="8"/>
      <c r="I38" s="18"/>
      <c r="J38" s="17">
        <f t="shared" si="0"/>
        <v>500000</v>
      </c>
      <c r="M38" s="117"/>
    </row>
    <row r="39" spans="2:13" ht="15" customHeight="1" x14ac:dyDescent="0.25">
      <c r="B39" s="7" t="s">
        <v>12</v>
      </c>
      <c r="C39" s="16"/>
      <c r="D39" s="15"/>
      <c r="E39" s="3"/>
      <c r="F39" s="15"/>
      <c r="G39" s="3"/>
      <c r="H39" s="8"/>
      <c r="I39" s="18"/>
      <c r="J39" s="17">
        <f>C17</f>
        <v>0</v>
      </c>
    </row>
    <row r="40" spans="2:13" ht="15" customHeight="1" x14ac:dyDescent="0.25">
      <c r="B40" s="7" t="s">
        <v>46</v>
      </c>
      <c r="C40" s="19">
        <v>0</v>
      </c>
      <c r="D40" s="15"/>
      <c r="E40" s="3"/>
      <c r="F40" s="15"/>
      <c r="G40" s="3"/>
      <c r="H40" s="8"/>
      <c r="I40" s="18"/>
      <c r="J40" s="17">
        <f>C40</f>
        <v>0</v>
      </c>
    </row>
    <row r="41" spans="2:13" ht="15" customHeight="1" thickBot="1" x14ac:dyDescent="0.3">
      <c r="B41" s="7" t="s">
        <v>13</v>
      </c>
      <c r="C41" s="19">
        <f>J15</f>
        <v>150000</v>
      </c>
      <c r="D41" s="15" t="s">
        <v>8</v>
      </c>
      <c r="E41" s="3">
        <v>30</v>
      </c>
      <c r="F41" s="15" t="s">
        <v>74</v>
      </c>
      <c r="G41" s="3">
        <f>C18</f>
        <v>6</v>
      </c>
      <c r="H41" s="3"/>
      <c r="I41" s="3"/>
      <c r="J41" s="44">
        <f t="shared" si="0"/>
        <v>30000</v>
      </c>
    </row>
    <row r="42" spans="2:13" ht="15" customHeight="1" thickTop="1" thickBot="1" x14ac:dyDescent="0.3">
      <c r="B42" s="145" t="s">
        <v>34</v>
      </c>
      <c r="C42" s="146"/>
      <c r="D42" s="146"/>
      <c r="E42" s="146"/>
      <c r="F42" s="146"/>
      <c r="G42" s="146"/>
      <c r="H42" s="146"/>
      <c r="I42" s="146"/>
      <c r="J42" s="40">
        <f>SUM(J34:J41)</f>
        <v>1438687.5925925919</v>
      </c>
    </row>
    <row r="43" spans="2:13" ht="15" customHeight="1" thickBot="1" x14ac:dyDescent="0.3">
      <c r="B43" s="22"/>
      <c r="C43" s="22"/>
      <c r="D43" s="22"/>
      <c r="E43" s="22"/>
      <c r="F43" s="22"/>
      <c r="G43" s="22"/>
      <c r="H43" s="22"/>
      <c r="I43" s="22"/>
      <c r="J43" s="87"/>
    </row>
    <row r="44" spans="2:13" ht="15" customHeight="1" x14ac:dyDescent="0.25">
      <c r="B44" s="147" t="s">
        <v>67</v>
      </c>
      <c r="C44" s="151"/>
      <c r="D44" s="151"/>
      <c r="E44" s="151"/>
      <c r="F44" s="151"/>
      <c r="G44" s="151"/>
      <c r="H44" s="151"/>
      <c r="I44" s="151"/>
      <c r="J44" s="148"/>
    </row>
    <row r="45" spans="2:13" ht="15" customHeight="1" x14ac:dyDescent="0.2">
      <c r="B45" s="50" t="s">
        <v>75</v>
      </c>
      <c r="C45" s="47" t="s">
        <v>79</v>
      </c>
      <c r="D45" s="76"/>
      <c r="E45" s="157" t="s">
        <v>39</v>
      </c>
      <c r="F45" s="157"/>
      <c r="G45" s="157"/>
      <c r="H45" s="48"/>
      <c r="I45" s="49"/>
      <c r="J45" s="51" t="s">
        <v>77</v>
      </c>
    </row>
    <row r="46" spans="2:13" ht="15" customHeight="1" x14ac:dyDescent="0.25">
      <c r="B46" s="7" t="s">
        <v>14</v>
      </c>
      <c r="C46" s="69">
        <v>0.04</v>
      </c>
      <c r="D46" s="15"/>
      <c r="E46" s="158">
        <f>IF($J$38&lt;0,$J$34+$J$39,$J$38+$J$39+$J$34)</f>
        <v>1201388.8888888881</v>
      </c>
      <c r="F46" s="158"/>
      <c r="G46" s="21"/>
      <c r="H46" s="19"/>
      <c r="I46" s="21"/>
      <c r="J46" s="52">
        <f>(SUM(E46:G46)*-C46)</f>
        <v>-48055.555555555526</v>
      </c>
    </row>
    <row r="47" spans="2:13" ht="15" customHeight="1" x14ac:dyDescent="0.25">
      <c r="B47" s="7" t="s">
        <v>68</v>
      </c>
      <c r="C47" s="69">
        <v>0.04</v>
      </c>
      <c r="D47" s="15"/>
      <c r="E47" s="158">
        <f>IF($J$38&lt;0,$J$34+$J$39,$J$38+$J$39+$J$34)</f>
        <v>1201388.8888888881</v>
      </c>
      <c r="F47" s="158"/>
      <c r="G47" s="45"/>
      <c r="H47" s="19"/>
      <c r="I47" s="21"/>
      <c r="J47" s="52">
        <f>(SUM(E47:G47)*-C47)</f>
        <v>-48055.555555555526</v>
      </c>
    </row>
    <row r="48" spans="2:13" ht="15" customHeight="1" thickBot="1" x14ac:dyDescent="0.3">
      <c r="B48" s="7" t="s">
        <v>15</v>
      </c>
      <c r="C48" s="3"/>
      <c r="D48" s="46"/>
      <c r="E48" s="163"/>
      <c r="F48" s="163"/>
      <c r="G48" s="21"/>
      <c r="H48" s="3"/>
      <c r="I48" s="3"/>
      <c r="J48" s="73">
        <v>0</v>
      </c>
    </row>
    <row r="49" spans="2:11" ht="15" customHeight="1" thickTop="1" thickBot="1" x14ac:dyDescent="0.3">
      <c r="B49" s="145" t="s">
        <v>35</v>
      </c>
      <c r="C49" s="146"/>
      <c r="D49" s="146"/>
      <c r="E49" s="146"/>
      <c r="F49" s="146"/>
      <c r="G49" s="146"/>
      <c r="H49" s="146"/>
      <c r="I49" s="146"/>
      <c r="J49" s="53">
        <f>SUM(J46:J48)</f>
        <v>-96111.111111111051</v>
      </c>
      <c r="K49" s="118"/>
    </row>
    <row r="50" spans="2:11" ht="15" customHeight="1" thickBot="1" x14ac:dyDescent="0.3">
      <c r="B50" s="24"/>
      <c r="C50" s="14"/>
      <c r="D50" s="22"/>
      <c r="E50" s="22"/>
      <c r="F50" s="21"/>
      <c r="G50" s="21"/>
      <c r="H50" s="19"/>
      <c r="I50" s="21"/>
      <c r="J50" s="87"/>
      <c r="K50" s="118"/>
    </row>
    <row r="51" spans="2:11" ht="15" customHeight="1" x14ac:dyDescent="0.25">
      <c r="B51" s="35" t="s">
        <v>69</v>
      </c>
      <c r="C51" s="57"/>
      <c r="D51" s="58"/>
      <c r="E51" s="58"/>
      <c r="F51" s="59"/>
      <c r="G51" s="59"/>
      <c r="H51" s="60"/>
      <c r="I51" s="59"/>
      <c r="J51" s="61">
        <f>+J42+J49</f>
        <v>1342576.4814814809</v>
      </c>
      <c r="K51" s="118"/>
    </row>
    <row r="52" spans="2:11" ht="15" customHeight="1" x14ac:dyDescent="0.25">
      <c r="B52" s="7"/>
      <c r="C52" s="14"/>
      <c r="D52" s="22"/>
      <c r="E52" s="22"/>
      <c r="F52" s="21"/>
      <c r="G52" s="21"/>
      <c r="H52" s="19"/>
      <c r="I52" s="21"/>
      <c r="J52" s="54"/>
      <c r="K52" s="118"/>
    </row>
    <row r="53" spans="2:11" ht="15" customHeight="1" x14ac:dyDescent="0.25">
      <c r="B53" s="7" t="s">
        <v>38</v>
      </c>
      <c r="C53" s="159" t="str">
        <f>'Conversor numeros letras'!B2</f>
        <v>UN MILLÓN TRESCIENTOS CUARENTA Y DOS MIL QUINIENTOS SETENTA Y SEIS PESOS M/C</v>
      </c>
      <c r="D53" s="159"/>
      <c r="E53" s="159"/>
      <c r="F53" s="159"/>
      <c r="G53" s="159"/>
      <c r="H53" s="159"/>
      <c r="I53" s="159"/>
      <c r="J53" s="160"/>
      <c r="K53" s="118"/>
    </row>
    <row r="54" spans="2:11" ht="15" customHeight="1" thickBot="1" x14ac:dyDescent="0.25">
      <c r="B54" s="27"/>
      <c r="C54" s="161"/>
      <c r="D54" s="161"/>
      <c r="E54" s="161"/>
      <c r="F54" s="161"/>
      <c r="G54" s="161"/>
      <c r="H54" s="161"/>
      <c r="I54" s="161"/>
      <c r="J54" s="162"/>
      <c r="K54" s="118"/>
    </row>
    <row r="55" spans="2:11" ht="15" customHeight="1" x14ac:dyDescent="0.25">
      <c r="B55" s="3"/>
      <c r="C55" s="3"/>
      <c r="D55" s="28"/>
      <c r="E55" s="28"/>
      <c r="F55" s="28"/>
      <c r="G55" s="28"/>
      <c r="H55" s="28"/>
      <c r="I55" s="28"/>
      <c r="J55" s="28"/>
      <c r="K55" s="119"/>
    </row>
    <row r="56" spans="2:11" ht="15" customHeight="1" x14ac:dyDescent="0.25">
      <c r="B56" s="22" t="s">
        <v>17</v>
      </c>
      <c r="C56" s="22"/>
      <c r="D56" s="46"/>
      <c r="E56" s="46"/>
      <c r="F56" s="46"/>
      <c r="G56" s="46"/>
      <c r="H56" s="46"/>
      <c r="I56" s="46"/>
      <c r="J56" s="46"/>
      <c r="K56" s="119"/>
    </row>
    <row r="57" spans="2:11" ht="15" customHeight="1" x14ac:dyDescent="0.2">
      <c r="B57" s="155" t="s">
        <v>106</v>
      </c>
      <c r="C57" s="155"/>
      <c r="D57" s="155"/>
      <c r="E57" s="155"/>
      <c r="F57" s="155"/>
      <c r="G57" s="155"/>
      <c r="H57" s="155"/>
      <c r="I57" s="155"/>
      <c r="J57" s="155"/>
      <c r="K57" s="119"/>
    </row>
    <row r="58" spans="2:11" ht="15" customHeight="1" x14ac:dyDescent="0.2">
      <c r="B58" s="155"/>
      <c r="C58" s="155"/>
      <c r="D58" s="155"/>
      <c r="E58" s="155"/>
      <c r="F58" s="155"/>
      <c r="G58" s="155"/>
      <c r="H58" s="155"/>
      <c r="I58" s="155"/>
      <c r="J58" s="155"/>
    </row>
    <row r="59" spans="2:11" ht="15" customHeight="1" x14ac:dyDescent="0.2">
      <c r="B59" s="155"/>
      <c r="C59" s="155"/>
      <c r="D59" s="155"/>
      <c r="E59" s="155"/>
      <c r="F59" s="155"/>
      <c r="G59" s="155"/>
      <c r="H59" s="155"/>
      <c r="I59" s="155"/>
      <c r="J59" s="155"/>
    </row>
    <row r="60" spans="2:11" ht="15" customHeight="1" x14ac:dyDescent="0.2">
      <c r="B60" s="156" t="str">
        <f>CONCATENATE("2. Que con el pago del dinero anotado en la presente liquidación, queda transada cualquier diferencia relativa al contrato de trabajo extinguido,"," o a cualquier diferencia anterior. Por lo tanto, esta transacción tiene como efecto la terminación de las obligaciones provenientes de la relación laboral que existió entre ",B2," y el trabajador, quienes declaran estar a paz y salvo por todo concepto.")</f>
        <v>2. Que con el pago del dinero anotado en la presente liquidación, queda transada cualquier diferencia relativa al contrato de trabajo extinguido, o a cualquier diferencia anterior. Por lo tanto, esta transacción tiene como efecto la terminación de las obligaciones provenientes de la relación laboral que existió entre A. B. C. LTDA y el trabajador, quienes declaran estar a paz y salvo por todo concepto.</v>
      </c>
      <c r="C60" s="156"/>
      <c r="D60" s="156"/>
      <c r="E60" s="156"/>
      <c r="F60" s="156"/>
      <c r="G60" s="156"/>
      <c r="H60" s="156"/>
      <c r="I60" s="156"/>
      <c r="J60" s="156"/>
      <c r="K60" s="119"/>
    </row>
    <row r="61" spans="2:11" ht="15" customHeight="1" x14ac:dyDescent="0.2">
      <c r="B61" s="156"/>
      <c r="C61" s="156"/>
      <c r="D61" s="156"/>
      <c r="E61" s="156"/>
      <c r="F61" s="156"/>
      <c r="G61" s="156"/>
      <c r="H61" s="156"/>
      <c r="I61" s="156"/>
      <c r="J61" s="156"/>
    </row>
    <row r="62" spans="2:11" ht="15" customHeight="1" x14ac:dyDescent="0.2">
      <c r="B62" s="156"/>
      <c r="C62" s="156"/>
      <c r="D62" s="156"/>
      <c r="E62" s="156"/>
      <c r="F62" s="156"/>
      <c r="G62" s="156"/>
      <c r="H62" s="156"/>
      <c r="I62" s="156"/>
      <c r="J62" s="156"/>
    </row>
    <row r="63" spans="2:11" ht="15" customHeight="1" x14ac:dyDescent="0.2">
      <c r="B63" s="156"/>
      <c r="C63" s="156"/>
      <c r="D63" s="156"/>
      <c r="E63" s="156"/>
      <c r="F63" s="156"/>
      <c r="G63" s="156"/>
      <c r="H63" s="156"/>
      <c r="I63" s="156"/>
      <c r="J63" s="156"/>
    </row>
    <row r="64" spans="2:11" ht="15" customHeight="1" x14ac:dyDescent="0.2">
      <c r="B64" s="154"/>
      <c r="C64" s="154"/>
      <c r="D64" s="154"/>
      <c r="E64" s="154"/>
      <c r="F64" s="154"/>
      <c r="G64" s="154"/>
      <c r="H64" s="154"/>
      <c r="I64" s="154"/>
      <c r="J64" s="154"/>
    </row>
    <row r="65" spans="2:10" ht="15" customHeight="1" x14ac:dyDescent="0.25">
      <c r="B65" s="3"/>
      <c r="C65" s="3"/>
      <c r="D65" s="3"/>
      <c r="E65" s="3"/>
      <c r="F65" s="3"/>
      <c r="G65" s="3"/>
      <c r="H65" s="3"/>
      <c r="I65" s="3"/>
      <c r="J65" s="3"/>
    </row>
    <row r="66" spans="2:10" ht="15" customHeight="1" x14ac:dyDescent="0.25">
      <c r="B66" s="79"/>
      <c r="C66" s="3"/>
      <c r="D66" s="3"/>
      <c r="E66" s="3"/>
      <c r="F66" s="23"/>
      <c r="G66" s="23"/>
      <c r="H66" s="23"/>
      <c r="I66" s="23"/>
      <c r="J66" s="79"/>
    </row>
    <row r="67" spans="2:10" ht="15" customHeight="1" x14ac:dyDescent="0.25">
      <c r="B67" s="24" t="str">
        <f>C7</f>
        <v>PEPITO PEREZ</v>
      </c>
      <c r="C67" s="3"/>
      <c r="D67" s="3"/>
      <c r="E67" s="24"/>
      <c r="F67" s="70" t="s">
        <v>45</v>
      </c>
      <c r="H67" s="21"/>
      <c r="I67" s="3"/>
      <c r="J67" s="3"/>
    </row>
    <row r="68" spans="2:10" ht="15" customHeight="1" x14ac:dyDescent="0.25">
      <c r="B68" s="24" t="str">
        <f>CONCATENATE(B8,C8)</f>
        <v>C.C.: XX.XXX.XXX</v>
      </c>
      <c r="C68" s="3"/>
      <c r="D68" s="3"/>
      <c r="E68" s="3"/>
      <c r="F68" s="24" t="s">
        <v>44</v>
      </c>
      <c r="H68" s="3"/>
      <c r="I68" s="3"/>
      <c r="J68" s="3"/>
    </row>
    <row r="69" spans="2:10" ht="15" customHeight="1" x14ac:dyDescent="0.25">
      <c r="B69" s="3"/>
      <c r="C69" s="3"/>
      <c r="D69" s="3"/>
      <c r="E69" s="3"/>
      <c r="F69" s="70" t="s">
        <v>1</v>
      </c>
      <c r="H69" s="3"/>
      <c r="I69" s="24"/>
      <c r="J69" s="3"/>
    </row>
    <row r="70" spans="2:10" ht="15" customHeight="1" x14ac:dyDescent="0.25">
      <c r="B70" s="80" t="s">
        <v>81</v>
      </c>
      <c r="C70" s="3"/>
      <c r="D70" s="8"/>
      <c r="E70" s="3"/>
      <c r="F70" s="3"/>
      <c r="G70" s="3"/>
      <c r="H70" s="3"/>
      <c r="I70" s="3"/>
      <c r="J70" s="3"/>
    </row>
    <row r="71" spans="2:10" ht="15" customHeight="1" x14ac:dyDescent="0.25">
      <c r="B71" s="80" t="s">
        <v>82</v>
      </c>
      <c r="C71" s="3"/>
      <c r="D71" s="8"/>
      <c r="E71" s="3"/>
      <c r="F71" s="3"/>
      <c r="G71" s="3"/>
      <c r="H71" s="3"/>
      <c r="I71" s="3"/>
      <c r="J71" s="3"/>
    </row>
    <row r="72" spans="2:10" ht="15" customHeight="1" x14ac:dyDescent="0.25">
      <c r="B72" s="3"/>
      <c r="C72" s="3"/>
      <c r="D72" s="15"/>
      <c r="E72" s="81"/>
      <c r="F72" s="3"/>
      <c r="G72" s="32"/>
      <c r="H72" s="82"/>
      <c r="I72" s="3"/>
      <c r="J72" s="3"/>
    </row>
    <row r="73" spans="2:10" ht="15" customHeight="1" x14ac:dyDescent="0.2">
      <c r="B73" s="118"/>
      <c r="D73" s="120"/>
      <c r="E73" s="121"/>
      <c r="F73" s="120"/>
      <c r="G73" s="122"/>
      <c r="H73" s="123"/>
      <c r="I73" s="124"/>
      <c r="J73" s="125"/>
    </row>
    <row r="74" spans="2:10" ht="15" customHeight="1" x14ac:dyDescent="0.2">
      <c r="B74" s="115"/>
      <c r="C74" s="126"/>
      <c r="D74" s="120"/>
      <c r="E74" s="127"/>
      <c r="F74" s="120"/>
      <c r="G74" s="121"/>
      <c r="H74" s="123"/>
      <c r="I74" s="124"/>
      <c r="J74" s="125"/>
    </row>
    <row r="75" spans="2:10" x14ac:dyDescent="0.2">
      <c r="B75" s="115"/>
      <c r="C75" s="125"/>
      <c r="D75" s="120"/>
      <c r="E75" s="127"/>
      <c r="F75" s="120"/>
      <c r="G75" s="127"/>
      <c r="H75" s="123"/>
      <c r="I75" s="124"/>
      <c r="J75" s="125"/>
    </row>
    <row r="76" spans="2:10" x14ac:dyDescent="0.2">
      <c r="B76" s="115"/>
      <c r="C76" s="121"/>
      <c r="E76" s="120"/>
      <c r="F76" s="120"/>
      <c r="G76" s="127"/>
      <c r="H76" s="123"/>
      <c r="I76" s="124"/>
      <c r="J76" s="125"/>
    </row>
    <row r="77" spans="2:10" x14ac:dyDescent="0.2">
      <c r="B77" s="115"/>
      <c r="C77" s="128"/>
      <c r="E77" s="120"/>
      <c r="F77" s="123"/>
      <c r="G77" s="123"/>
      <c r="H77" s="123"/>
      <c r="I77" s="129"/>
      <c r="J77" s="125"/>
    </row>
    <row r="78" spans="2:10" x14ac:dyDescent="0.2">
      <c r="B78" s="115"/>
      <c r="C78" s="130"/>
      <c r="D78" s="120"/>
      <c r="E78" s="120"/>
      <c r="F78" s="123"/>
      <c r="G78" s="123"/>
      <c r="H78" s="123"/>
      <c r="I78" s="124"/>
    </row>
    <row r="79" spans="2:10" x14ac:dyDescent="0.2">
      <c r="B79" s="115"/>
      <c r="C79" s="131"/>
      <c r="D79" s="120"/>
      <c r="E79" s="120"/>
      <c r="F79" s="120"/>
      <c r="G79" s="127"/>
      <c r="H79" s="120"/>
      <c r="I79" s="132"/>
      <c r="J79" s="125"/>
    </row>
    <row r="80" spans="2:10" x14ac:dyDescent="0.2">
      <c r="D80" s="120"/>
      <c r="E80" s="120"/>
      <c r="F80" s="120"/>
      <c r="G80" s="127"/>
      <c r="H80" s="120"/>
      <c r="I80" s="133"/>
      <c r="J80" s="125"/>
    </row>
    <row r="81" spans="2:10" x14ac:dyDescent="0.2">
      <c r="B81" s="115"/>
      <c r="D81" s="120"/>
      <c r="E81" s="120"/>
      <c r="F81" s="123"/>
      <c r="G81" s="123"/>
      <c r="H81" s="134"/>
      <c r="I81" s="124"/>
      <c r="J81" s="125"/>
    </row>
    <row r="82" spans="2:10" x14ac:dyDescent="0.2">
      <c r="B82" s="115"/>
      <c r="C82" s="135"/>
      <c r="F82" s="123"/>
      <c r="G82" s="123"/>
      <c r="H82" s="134"/>
      <c r="I82" s="124"/>
      <c r="J82" s="125"/>
    </row>
    <row r="83" spans="2:10" x14ac:dyDescent="0.2">
      <c r="B83" s="115"/>
      <c r="C83" s="135"/>
      <c r="F83" s="123"/>
      <c r="G83" s="123"/>
      <c r="H83" s="134"/>
      <c r="I83" s="124"/>
      <c r="J83" s="125"/>
    </row>
    <row r="84" spans="2:10" x14ac:dyDescent="0.2">
      <c r="B84" s="115"/>
      <c r="C84" s="128"/>
      <c r="F84" s="123"/>
      <c r="G84" s="123"/>
      <c r="H84" s="134"/>
      <c r="I84" s="129"/>
      <c r="J84" s="125"/>
    </row>
    <row r="85" spans="2:10" x14ac:dyDescent="0.2">
      <c r="B85" s="115"/>
      <c r="C85" s="128"/>
    </row>
    <row r="86" spans="2:10" x14ac:dyDescent="0.2">
      <c r="B86" s="115"/>
      <c r="C86" s="128"/>
    </row>
    <row r="87" spans="2:10" x14ac:dyDescent="0.2">
      <c r="B87" s="115"/>
    </row>
  </sheetData>
  <sheetProtection formatCells="0" formatColumns="0" formatRows="0" insertColumns="0" insertRows="0" insertHyperlinks="0" deleteColumns="0" deleteRows="0" sort="0" autoFilter="0" pivotTables="0"/>
  <mergeCells count="33">
    <mergeCell ref="B64:J64"/>
    <mergeCell ref="B57:J59"/>
    <mergeCell ref="B60:J63"/>
    <mergeCell ref="B32:J32"/>
    <mergeCell ref="E45:G45"/>
    <mergeCell ref="E46:F46"/>
    <mergeCell ref="E47:F47"/>
    <mergeCell ref="C53:J54"/>
    <mergeCell ref="E48:F48"/>
    <mergeCell ref="C33:I33"/>
    <mergeCell ref="B42:I42"/>
    <mergeCell ref="B49:I49"/>
    <mergeCell ref="E30:I30"/>
    <mergeCell ref="C9:E9"/>
    <mergeCell ref="C10:E10"/>
    <mergeCell ref="E13:J13"/>
    <mergeCell ref="B44:J44"/>
    <mergeCell ref="B2:J2"/>
    <mergeCell ref="B3:J3"/>
    <mergeCell ref="B4:J4"/>
    <mergeCell ref="C8:E8"/>
    <mergeCell ref="E28:I28"/>
    <mergeCell ref="B20:C20"/>
    <mergeCell ref="E21:I21"/>
    <mergeCell ref="E20:J20"/>
    <mergeCell ref="E22:I22"/>
    <mergeCell ref="E23:I23"/>
    <mergeCell ref="B25:C25"/>
    <mergeCell ref="E25:J25"/>
    <mergeCell ref="E26:I26"/>
    <mergeCell ref="E27:I27"/>
    <mergeCell ref="B13:C13"/>
    <mergeCell ref="C7:G7"/>
  </mergeCells>
  <phoneticPr fontId="21" type="noConversion"/>
  <printOptions horizontalCentered="1" verticalCentered="1"/>
  <pageMargins left="0.59055118110236227" right="0.59055118110236227" top="0.59055118110236227" bottom="0.59055118110236227" header="0" footer="0"/>
  <pageSetup scale="68" orientation="portrait" horizontalDpi="300" verticalDpi="300" r:id="rId1"/>
  <headerFooter alignWithMargins="0"/>
  <colBreaks count="1" manualBreakCount="1">
    <brk id="11" max="1048575" man="1"/>
  </colBreaks>
  <legacyDrawing r:id="rId2"/>
  <picture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2"/>
  <sheetViews>
    <sheetView workbookViewId="0">
      <selection activeCell="C5" sqref="C5"/>
    </sheetView>
  </sheetViews>
  <sheetFormatPr baseColWidth="10" defaultColWidth="11.42578125" defaultRowHeight="12.75" x14ac:dyDescent="0.2"/>
  <cols>
    <col min="1" max="1" width="6.85546875" style="88" customWidth="1"/>
    <col min="2" max="6" width="11.42578125" style="88"/>
    <col min="7" max="7" width="23.5703125" style="88" bestFit="1" customWidth="1"/>
    <col min="8" max="16384" width="11.42578125" style="88"/>
  </cols>
  <sheetData>
    <row r="1" spans="2:10" ht="13.5" thickBot="1" x14ac:dyDescent="0.25"/>
    <row r="2" spans="2:10" x14ac:dyDescent="0.2">
      <c r="B2" s="165" t="s">
        <v>98</v>
      </c>
      <c r="C2" s="166"/>
      <c r="D2" s="167"/>
    </row>
    <row r="3" spans="2:10" x14ac:dyDescent="0.2">
      <c r="B3" s="89" t="s">
        <v>41</v>
      </c>
      <c r="C3" s="90" t="s">
        <v>40</v>
      </c>
      <c r="D3" s="91" t="s">
        <v>42</v>
      </c>
    </row>
    <row r="4" spans="2:10" x14ac:dyDescent="0.2">
      <c r="B4" s="92">
        <v>2020</v>
      </c>
      <c r="C4" s="93">
        <v>877803</v>
      </c>
      <c r="D4" s="94">
        <v>70500</v>
      </c>
    </row>
    <row r="5" spans="2:10" ht="13.5" thickBot="1" x14ac:dyDescent="0.25">
      <c r="B5" s="95">
        <v>2019</v>
      </c>
      <c r="C5" s="96">
        <v>828116</v>
      </c>
      <c r="D5" s="97">
        <v>72000</v>
      </c>
    </row>
    <row r="7" spans="2:10" ht="13.5" thickBot="1" x14ac:dyDescent="0.25"/>
    <row r="8" spans="2:10" x14ac:dyDescent="0.2">
      <c r="B8" s="165" t="s">
        <v>86</v>
      </c>
      <c r="C8" s="166"/>
      <c r="D8" s="166"/>
      <c r="E8" s="167"/>
      <c r="G8" s="165" t="s">
        <v>99</v>
      </c>
      <c r="H8" s="166"/>
      <c r="I8" s="166"/>
      <c r="J8" s="167"/>
    </row>
    <row r="9" spans="2:10" x14ac:dyDescent="0.2">
      <c r="B9" s="62" t="s">
        <v>32</v>
      </c>
      <c r="C9" s="1" t="s">
        <v>89</v>
      </c>
      <c r="D9" s="1" t="s">
        <v>92</v>
      </c>
      <c r="E9" s="63" t="s">
        <v>84</v>
      </c>
      <c r="G9" s="92" t="s">
        <v>89</v>
      </c>
      <c r="H9" s="98">
        <f>Liquidación!J14</f>
        <v>2500000</v>
      </c>
      <c r="I9" s="88" t="s">
        <v>91</v>
      </c>
      <c r="J9" s="99">
        <f>H9/240</f>
        <v>10416.666666666666</v>
      </c>
    </row>
    <row r="10" spans="2:10" x14ac:dyDescent="0.2">
      <c r="B10" s="64" t="s">
        <v>20</v>
      </c>
      <c r="C10" s="83">
        <v>0</v>
      </c>
      <c r="D10" s="83">
        <v>0</v>
      </c>
      <c r="E10" s="137">
        <f>SUM(C10:D10)</f>
        <v>0</v>
      </c>
      <c r="G10" s="89" t="s">
        <v>75</v>
      </c>
      <c r="H10" s="90" t="s">
        <v>88</v>
      </c>
      <c r="I10" s="90" t="s">
        <v>87</v>
      </c>
      <c r="J10" s="91" t="s">
        <v>84</v>
      </c>
    </row>
    <row r="11" spans="2:10" x14ac:dyDescent="0.2">
      <c r="B11" s="64" t="s">
        <v>21</v>
      </c>
      <c r="C11" s="83">
        <v>0</v>
      </c>
      <c r="D11" s="83">
        <v>0</v>
      </c>
      <c r="E11" s="137">
        <f t="shared" ref="E11:E21" si="0">SUM(C11:D11)</f>
        <v>0</v>
      </c>
      <c r="G11" s="92" t="s">
        <v>90</v>
      </c>
      <c r="H11" s="100">
        <v>0</v>
      </c>
      <c r="I11" s="88">
        <v>1.35</v>
      </c>
      <c r="J11" s="137">
        <f t="shared" ref="J11:J16" si="1">($J$9*H11)*I11</f>
        <v>0</v>
      </c>
    </row>
    <row r="12" spans="2:10" x14ac:dyDescent="0.2">
      <c r="B12" s="64" t="s">
        <v>22</v>
      </c>
      <c r="C12" s="83">
        <v>0</v>
      </c>
      <c r="D12" s="83">
        <v>0</v>
      </c>
      <c r="E12" s="137">
        <f t="shared" si="0"/>
        <v>0</v>
      </c>
      <c r="G12" s="92" t="s">
        <v>93</v>
      </c>
      <c r="H12" s="100">
        <v>0</v>
      </c>
      <c r="I12" s="88">
        <v>1.75</v>
      </c>
      <c r="J12" s="137">
        <f t="shared" si="1"/>
        <v>0</v>
      </c>
    </row>
    <row r="13" spans="2:10" x14ac:dyDescent="0.2">
      <c r="B13" s="64" t="s">
        <v>23</v>
      </c>
      <c r="C13" s="83">
        <v>0</v>
      </c>
      <c r="D13" s="83">
        <v>0</v>
      </c>
      <c r="E13" s="137">
        <f t="shared" si="0"/>
        <v>0</v>
      </c>
      <c r="G13" s="92" t="s">
        <v>94</v>
      </c>
      <c r="H13" s="100">
        <v>0</v>
      </c>
      <c r="I13" s="88">
        <v>1.25</v>
      </c>
      <c r="J13" s="137">
        <f t="shared" si="1"/>
        <v>0</v>
      </c>
    </row>
    <row r="14" spans="2:10" x14ac:dyDescent="0.2">
      <c r="B14" s="64" t="s">
        <v>24</v>
      </c>
      <c r="C14" s="83">
        <v>0</v>
      </c>
      <c r="D14" s="83">
        <v>0</v>
      </c>
      <c r="E14" s="137">
        <f t="shared" si="0"/>
        <v>0</v>
      </c>
      <c r="G14" s="92" t="s">
        <v>95</v>
      </c>
      <c r="H14" s="100">
        <v>0</v>
      </c>
      <c r="I14" s="88">
        <v>1.75</v>
      </c>
      <c r="J14" s="137">
        <f t="shared" si="1"/>
        <v>0</v>
      </c>
    </row>
    <row r="15" spans="2:10" x14ac:dyDescent="0.2">
      <c r="B15" s="64" t="s">
        <v>25</v>
      </c>
      <c r="C15" s="83">
        <v>0</v>
      </c>
      <c r="D15" s="83">
        <v>0</v>
      </c>
      <c r="E15" s="137">
        <f t="shared" si="0"/>
        <v>0</v>
      </c>
      <c r="G15" s="92" t="s">
        <v>96</v>
      </c>
      <c r="H15" s="100">
        <v>0</v>
      </c>
      <c r="I15" s="88">
        <v>2</v>
      </c>
      <c r="J15" s="137">
        <f t="shared" si="1"/>
        <v>0</v>
      </c>
    </row>
    <row r="16" spans="2:10" ht="13.5" thickBot="1" x14ac:dyDescent="0.25">
      <c r="B16" s="64" t="s">
        <v>26</v>
      </c>
      <c r="C16" s="83">
        <v>0</v>
      </c>
      <c r="D16" s="83">
        <v>0</v>
      </c>
      <c r="E16" s="137">
        <f t="shared" si="0"/>
        <v>0</v>
      </c>
      <c r="G16" s="92" t="s">
        <v>97</v>
      </c>
      <c r="H16" s="101">
        <v>0</v>
      </c>
      <c r="I16" s="88">
        <v>2.5</v>
      </c>
      <c r="J16" s="138">
        <f t="shared" si="1"/>
        <v>0</v>
      </c>
    </row>
    <row r="17" spans="2:10" ht="14.25" thickTop="1" thickBot="1" x14ac:dyDescent="0.25">
      <c r="B17" s="64" t="s">
        <v>27</v>
      </c>
      <c r="C17" s="83">
        <v>0</v>
      </c>
      <c r="D17" s="83">
        <v>0</v>
      </c>
      <c r="E17" s="137">
        <f t="shared" si="0"/>
        <v>0</v>
      </c>
      <c r="G17" s="102" t="s">
        <v>77</v>
      </c>
      <c r="H17" s="103">
        <f>SUM(H11:H16)</f>
        <v>0</v>
      </c>
      <c r="I17" s="103"/>
      <c r="J17" s="139">
        <f>SUM(J11:J16)</f>
        <v>0</v>
      </c>
    </row>
    <row r="18" spans="2:10" x14ac:dyDescent="0.2">
      <c r="B18" s="64" t="s">
        <v>28</v>
      </c>
      <c r="C18" s="83">
        <v>0</v>
      </c>
      <c r="D18" s="83">
        <v>0</v>
      </c>
      <c r="E18" s="137">
        <f t="shared" si="0"/>
        <v>0</v>
      </c>
      <c r="J18" s="98"/>
    </row>
    <row r="19" spans="2:10" x14ac:dyDescent="0.2">
      <c r="B19" s="64" t="s">
        <v>29</v>
      </c>
      <c r="C19" s="83">
        <v>0</v>
      </c>
      <c r="D19" s="83">
        <v>0</v>
      </c>
      <c r="E19" s="137">
        <f t="shared" si="0"/>
        <v>0</v>
      </c>
    </row>
    <row r="20" spans="2:10" x14ac:dyDescent="0.2">
      <c r="B20" s="64" t="s">
        <v>30</v>
      </c>
      <c r="C20" s="83">
        <v>0</v>
      </c>
      <c r="D20" s="83">
        <v>0</v>
      </c>
      <c r="E20" s="137">
        <f t="shared" si="0"/>
        <v>0</v>
      </c>
    </row>
    <row r="21" spans="2:10" ht="13.5" thickBot="1" x14ac:dyDescent="0.25">
      <c r="B21" s="64" t="s">
        <v>31</v>
      </c>
      <c r="C21" s="83">
        <v>0</v>
      </c>
      <c r="D21" s="83">
        <v>0</v>
      </c>
      <c r="E21" s="138">
        <f t="shared" si="0"/>
        <v>0</v>
      </c>
    </row>
    <row r="22" spans="2:10" ht="14.25" thickTop="1" thickBot="1" x14ac:dyDescent="0.25">
      <c r="B22" s="65" t="s">
        <v>85</v>
      </c>
      <c r="C22" s="66"/>
      <c r="D22" s="66"/>
      <c r="E22" s="104">
        <f>IFERROR((AVERAGEIF(E10:E21,"&gt;=1",E10:E21)),0)</f>
        <v>0</v>
      </c>
    </row>
  </sheetData>
  <mergeCells count="3">
    <mergeCell ref="B8:E8"/>
    <mergeCell ref="G8:J8"/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5"/>
  <sheetViews>
    <sheetView workbookViewId="0">
      <selection activeCell="C13" sqref="C13"/>
    </sheetView>
  </sheetViews>
  <sheetFormatPr baseColWidth="10" defaultColWidth="11.42578125" defaultRowHeight="12.75" x14ac:dyDescent="0.2"/>
  <cols>
    <col min="1" max="1" width="22.7109375" style="88" customWidth="1"/>
    <col min="2" max="11" width="12.7109375" style="88" customWidth="1"/>
    <col min="12" max="16384" width="11.42578125" style="88"/>
  </cols>
  <sheetData>
    <row r="1" spans="1:12" ht="13.5" thickBot="1" x14ac:dyDescent="0.25"/>
    <row r="2" spans="1:12" x14ac:dyDescent="0.2">
      <c r="A2" s="140">
        <f>ROUND(Liquidación!J51,0)</f>
        <v>1342576</v>
      </c>
      <c r="B2" s="168" t="str">
        <f>CONCATENATE(B22,C22,D22,E22,F22,G22,H22,I22,J22,K22,A3)</f>
        <v>UN MILLÓN TRESCIENTOS CUARENTA Y DOS MIL QUINIENTOS SETENTA Y SEIS PESOS M/C</v>
      </c>
      <c r="C2" s="169"/>
      <c r="D2" s="169"/>
      <c r="E2" s="169"/>
      <c r="F2" s="169"/>
      <c r="G2" s="169"/>
      <c r="H2" s="169"/>
      <c r="I2" s="169"/>
      <c r="J2" s="169"/>
      <c r="K2" s="170"/>
    </row>
    <row r="3" spans="1:12" x14ac:dyDescent="0.2">
      <c r="A3" s="88" t="s">
        <v>37</v>
      </c>
      <c r="B3" s="92" t="str">
        <f>RIGHT($A$2,(10))</f>
        <v>1342576</v>
      </c>
      <c r="C3" s="88" t="str">
        <f>RIGHT($A$2,(9))</f>
        <v>1342576</v>
      </c>
      <c r="D3" s="88" t="str">
        <f>RIGHT($A$2,(8))</f>
        <v>1342576</v>
      </c>
      <c r="E3" s="88" t="str">
        <f>RIGHT($A$2,(7))</f>
        <v>1342576</v>
      </c>
      <c r="F3" s="88" t="str">
        <f>RIGHT($A$2,(6))</f>
        <v>342576</v>
      </c>
      <c r="G3" s="88" t="str">
        <f>RIGHT($A$2,(5))</f>
        <v>42576</v>
      </c>
      <c r="H3" s="88" t="str">
        <f>RIGHT($A$2,(4))</f>
        <v>2576</v>
      </c>
      <c r="I3" s="88" t="str">
        <f>RIGHT($A$2,(3))</f>
        <v>576</v>
      </c>
      <c r="J3" s="88" t="str">
        <f>RIGHT($A$2,(2))</f>
        <v>76</v>
      </c>
      <c r="K3" s="105" t="str">
        <f>RIGHT($A$2)</f>
        <v>6</v>
      </c>
    </row>
    <row r="4" spans="1:12" x14ac:dyDescent="0.2">
      <c r="A4" s="106"/>
      <c r="B4" s="92">
        <f t="shared" ref="B4:J4" si="0">LEN(B3)</f>
        <v>7</v>
      </c>
      <c r="C4" s="88">
        <f t="shared" si="0"/>
        <v>7</v>
      </c>
      <c r="D4" s="88">
        <f t="shared" si="0"/>
        <v>7</v>
      </c>
      <c r="E4" s="88">
        <f t="shared" si="0"/>
        <v>7</v>
      </c>
      <c r="F4" s="88">
        <f t="shared" si="0"/>
        <v>6</v>
      </c>
      <c r="G4" s="88">
        <f t="shared" si="0"/>
        <v>5</v>
      </c>
      <c r="H4" s="88">
        <f t="shared" si="0"/>
        <v>4</v>
      </c>
      <c r="I4" s="88">
        <f t="shared" si="0"/>
        <v>3</v>
      </c>
      <c r="J4" s="88">
        <f t="shared" si="0"/>
        <v>2</v>
      </c>
      <c r="K4" s="105">
        <f>LEN(K3)</f>
        <v>1</v>
      </c>
    </row>
    <row r="5" spans="1:12" x14ac:dyDescent="0.2">
      <c r="A5" s="107"/>
      <c r="B5" s="92" t="b">
        <f>IF(B4=10,TRUE,FALSE)</f>
        <v>0</v>
      </c>
      <c r="C5" s="88" t="b">
        <f>IF(C4=9,TRUE,FALSE)</f>
        <v>0</v>
      </c>
      <c r="D5" s="88" t="b">
        <f>IF(D4=8,TRUE,FALSE)</f>
        <v>0</v>
      </c>
      <c r="E5" s="88" t="b">
        <f>IF(E4=7,TRUE,FALSE)</f>
        <v>1</v>
      </c>
      <c r="F5" s="88" t="b">
        <f>IF(F4=6,TRUE,FALSE)</f>
        <v>1</v>
      </c>
      <c r="G5" s="88" t="b">
        <f>IF(G4=5,TRUE,FALSE)</f>
        <v>1</v>
      </c>
      <c r="H5" s="88" t="b">
        <f>IF(H4=4,TRUE,FALSE)</f>
        <v>1</v>
      </c>
      <c r="I5" s="88" t="b">
        <f>IF(I4=3,TRUE,FALSE)</f>
        <v>1</v>
      </c>
      <c r="J5" s="88" t="b">
        <f>IF(J4=2,TRUE,FALSE)</f>
        <v>1</v>
      </c>
      <c r="K5" s="105" t="b">
        <f>IF(K4=1,TRUE,FALSE)</f>
        <v>1</v>
      </c>
    </row>
    <row r="6" spans="1:12" x14ac:dyDescent="0.2">
      <c r="A6" s="107"/>
      <c r="B6" s="92" t="str">
        <f t="shared" ref="B6:K6" si="1">MID(B3,1,1)</f>
        <v>1</v>
      </c>
      <c r="C6" s="88" t="str">
        <f t="shared" si="1"/>
        <v>1</v>
      </c>
      <c r="D6" s="88" t="str">
        <f t="shared" si="1"/>
        <v>1</v>
      </c>
      <c r="E6" s="88" t="str">
        <f t="shared" si="1"/>
        <v>1</v>
      </c>
      <c r="F6" s="88" t="str">
        <f t="shared" si="1"/>
        <v>3</v>
      </c>
      <c r="G6" s="88" t="str">
        <f t="shared" si="1"/>
        <v>4</v>
      </c>
      <c r="H6" s="88" t="str">
        <f t="shared" si="1"/>
        <v>2</v>
      </c>
      <c r="I6" s="88" t="str">
        <f t="shared" si="1"/>
        <v>5</v>
      </c>
      <c r="J6" s="88" t="str">
        <f t="shared" si="1"/>
        <v>7</v>
      </c>
      <c r="K6" s="105" t="str">
        <f t="shared" si="1"/>
        <v>6</v>
      </c>
    </row>
    <row r="7" spans="1:12" x14ac:dyDescent="0.2">
      <c r="A7" s="107"/>
      <c r="B7" s="92">
        <f t="shared" ref="B7:G7" si="2">IF(B5=TRUE,(VALUE(B6)),0)</f>
        <v>0</v>
      </c>
      <c r="C7" s="88">
        <f t="shared" si="2"/>
        <v>0</v>
      </c>
      <c r="D7" s="88">
        <f t="shared" si="2"/>
        <v>0</v>
      </c>
      <c r="E7" s="88">
        <f t="shared" si="2"/>
        <v>1</v>
      </c>
      <c r="F7" s="88">
        <f t="shared" si="2"/>
        <v>3</v>
      </c>
      <c r="G7" s="88">
        <f t="shared" si="2"/>
        <v>4</v>
      </c>
      <c r="H7" s="88">
        <f>IF(H5=TRUE,(VALUE(H6)),)</f>
        <v>2</v>
      </c>
      <c r="I7" s="88">
        <f>IF(I5=TRUE,(VALUE(I6)),0)</f>
        <v>5</v>
      </c>
      <c r="J7" s="88">
        <f>IF(J5=TRUE,(VALUE(J6)),0)</f>
        <v>7</v>
      </c>
      <c r="K7" s="105">
        <f>IF(K5=TRUE,(VALUE(K6)),0)</f>
        <v>6</v>
      </c>
    </row>
    <row r="8" spans="1:12" x14ac:dyDescent="0.2">
      <c r="A8" s="107"/>
      <c r="B8" s="92"/>
      <c r="K8" s="105"/>
    </row>
    <row r="9" spans="1:12" x14ac:dyDescent="0.2">
      <c r="A9" s="107"/>
      <c r="B9" s="108">
        <f t="shared" ref="B9:K9" si="3">B7</f>
        <v>0</v>
      </c>
      <c r="C9" s="109">
        <f t="shared" si="3"/>
        <v>0</v>
      </c>
      <c r="D9" s="109">
        <f t="shared" si="3"/>
        <v>0</v>
      </c>
      <c r="E9" s="109">
        <f t="shared" si="3"/>
        <v>1</v>
      </c>
      <c r="F9" s="109">
        <f t="shared" si="3"/>
        <v>3</v>
      </c>
      <c r="G9" s="109">
        <f t="shared" si="3"/>
        <v>4</v>
      </c>
      <c r="H9" s="109">
        <f t="shared" si="3"/>
        <v>2</v>
      </c>
      <c r="I9" s="109">
        <f t="shared" si="3"/>
        <v>5</v>
      </c>
      <c r="J9" s="109">
        <f t="shared" si="3"/>
        <v>7</v>
      </c>
      <c r="K9" s="110">
        <f t="shared" si="3"/>
        <v>6</v>
      </c>
      <c r="L9" s="109"/>
    </row>
    <row r="10" spans="1:12" x14ac:dyDescent="0.2">
      <c r="A10" s="107"/>
      <c r="B10" s="92"/>
      <c r="K10" s="105"/>
    </row>
    <row r="11" spans="1:12" x14ac:dyDescent="0.2">
      <c r="A11" s="107"/>
      <c r="B11" s="92"/>
      <c r="K11" s="105"/>
    </row>
    <row r="12" spans="1:12" x14ac:dyDescent="0.2">
      <c r="A12" s="107"/>
      <c r="B12" s="92"/>
      <c r="K12" s="105"/>
    </row>
    <row r="13" spans="1:12" x14ac:dyDescent="0.2">
      <c r="A13" s="107"/>
      <c r="B13" s="92" t="b">
        <f>IF(B9=1," MIL",IF(B9=2," DOS MIL",IF(B9=3," TRES MIL",IF(B9=4," CUATRO MIL",IF(B9=5," CINCO MIL")))))</f>
        <v>0</v>
      </c>
      <c r="C13" s="88" t="b">
        <f>IF(C9=1," CIENTO",IF(C9=2," DOSCIENTOS ",IF(C9=3," TRESCIENTOS",IF(C9=4," CUATROCIENTOS",IF(C9=5," QUINIENTOS")))))</f>
        <v>0</v>
      </c>
      <c r="D13" s="88" t="b">
        <f>IF(D9=1," DIEZ Y",IF(D9=2," VEINTI",IF(D9=3," TREINTA Y",IF(D9=4," CUARENTA Y",IF(D9=5," CINCUENTA Y")))))</f>
        <v>0</v>
      </c>
      <c r="E13" s="88" t="str">
        <f>IF(E9=1," UN MILLONES",IF(E9=2," DOS MILLONES",IF(E9=3," TRES MILLONES",IF(E9=4," CUATRO MILLONES",IF(E9=5," CINCO MILLONES")))))</f>
        <v xml:space="preserve"> UN MILLONES</v>
      </c>
      <c r="F13" s="88" t="str">
        <f>IF(F9=1," CIENTO",IF(F9=2," DOSCIENTOS",IF(F9=3," TRESCIENTOS",IF(F9=4," CUATROCIENTOS",IF(F9=5," QUINIENTOS")))))</f>
        <v xml:space="preserve"> TRESCIENTOS</v>
      </c>
      <c r="G13" s="88" t="str">
        <f>IF(G9=1," DIEZ Y",IF(G9=2," VEINTI",IF(G9=3," TREINTA Y",IF(G9=4," CUARENTA Y",IF(G9=5," CINCUENTA Y")))))</f>
        <v xml:space="preserve"> CUARENTA Y</v>
      </c>
      <c r="H13" s="88" t="str">
        <f>IF(H9=1," UN MIL",IF(H9=2," DOS MIL",IF(H9=3," TRES MIL",IF(H9=4," CUATRO MIL",IF(H9=5," CINCO MIL")))))</f>
        <v xml:space="preserve"> DOS MIL</v>
      </c>
      <c r="I13" s="88" t="str">
        <f>IF(I9=1," CIENTO",IF(I9=2," DOSCIENTOS",IF(I9=3," TRESCIENTOS",IF(I9=4," CUATROCIENTOS",IF(I9=5," QUINIENTOS")))))</f>
        <v xml:space="preserve"> QUINIENTOS</v>
      </c>
      <c r="J13" s="88" t="b">
        <f>IF(J9=1," DIEZ Y",IF(J9=2," VEINTI",IF(J9=3," TREINTA Y",IF(J9=4," CUARENTA Y",IF(J9=5," CINCUENTA Y")))))</f>
        <v>0</v>
      </c>
      <c r="K13" s="105" t="b">
        <f>IF(K9=1," UN",IF(K9=2," DOS",IF(K9=3," TRES",IF(K9=4," CUATRO",IF(K9=5," CINCO")))))</f>
        <v>0</v>
      </c>
    </row>
    <row r="14" spans="1:12" x14ac:dyDescent="0.2">
      <c r="A14" s="107"/>
      <c r="B14" s="92" t="b">
        <f>IF(B9=6," SEIS MIL",IF(B9=7," SIETE MIL",IF(B9=8," OCHO MIL",IF(B9=9," NUEVE MIL"))))</f>
        <v>0</v>
      </c>
      <c r="C14" s="88" t="b">
        <f>IF(C9=6," SEISCIENTOS",IF(C9=7," SETECIENTOS",IF(C9=8," OCHOCIENTOS",IF(C9=9," NOVECIENTOS"))))</f>
        <v>0</v>
      </c>
      <c r="D14" s="88" t="b">
        <f>IF(D9=6," SESENTA Y",IF(D9=7," SETENTA Y",IF(D9=8," OCHENTA Y",IF(D9=9," NOVENTA Y"))))</f>
        <v>0</v>
      </c>
      <c r="E14" s="88" t="b">
        <f>IF(E9=6," SEIS MILLONES",IF(E9=7," SIETE MILLONES",IF(E9=8," OCHO MILLONES",IF(E9=9," NUEVE MILLONES"))))</f>
        <v>0</v>
      </c>
      <c r="F14" s="88" t="b">
        <f>IF(F9=6," SEISCIENTOS",IF(F9=7," SETECIENTOS",IF(F9=8," OCHOCIENTOS",IF(F9=9," NOVECIENTOS"))))</f>
        <v>0</v>
      </c>
      <c r="G14" s="88" t="b">
        <f>IF(G9=6," SESENTA Y",IF(G9=7," SETENTA Y",IF(G9=8," OCHENTA Y",IF(G9=9," NOVENTA Y"))))</f>
        <v>0</v>
      </c>
      <c r="H14" s="88" t="b">
        <f>IF(H9=6," SEIS MIL",IF(H9=7," SIETE MIL",IF(H9=8," OCHO MIL",IF(H9=9," NUEVE MIL"))))</f>
        <v>0</v>
      </c>
      <c r="I14" s="88" t="b">
        <f>IF(I9=6," SEISCIENTOS",IF(I9=7," SETECIENTOS",IF(I9=8," OCHOCIENTOS",IF(I9=9," NOVECIENTOS"))))</f>
        <v>0</v>
      </c>
      <c r="J14" s="88" t="str">
        <f>IF(J9=6," SESENTA Y",IF(J9=7," SETENTA Y",IF(J9=8," OCHENTA Y",IF(J9=9," NOVENTA Y"))))</f>
        <v xml:space="preserve"> SETENTA Y</v>
      </c>
      <c r="K14" s="105" t="str">
        <f>IF(K9=6," SEIS",IF(K9=7," SIETE",IF(K9=8," OCHO",IF(K9=9," NUEVE"))))</f>
        <v xml:space="preserve"> SEIS</v>
      </c>
    </row>
    <row r="15" spans="1:12" x14ac:dyDescent="0.2">
      <c r="A15" s="107"/>
      <c r="B15" s="92" t="b">
        <f t="shared" ref="B15:K15" si="4">IF(B13=FALSE,B14,B13)</f>
        <v>0</v>
      </c>
      <c r="C15" s="88" t="b">
        <f t="shared" si="4"/>
        <v>0</v>
      </c>
      <c r="D15" s="88" t="b">
        <f t="shared" si="4"/>
        <v>0</v>
      </c>
      <c r="E15" s="88" t="str">
        <f t="shared" si="4"/>
        <v xml:space="preserve"> UN MILLONES</v>
      </c>
      <c r="F15" s="88" t="str">
        <f t="shared" si="4"/>
        <v xml:space="preserve"> TRESCIENTOS</v>
      </c>
      <c r="G15" s="88" t="str">
        <f t="shared" si="4"/>
        <v xml:space="preserve"> CUARENTA Y</v>
      </c>
      <c r="H15" s="88" t="str">
        <f t="shared" si="4"/>
        <v xml:space="preserve"> DOS MIL</v>
      </c>
      <c r="I15" s="88" t="str">
        <f t="shared" si="4"/>
        <v xml:space="preserve"> QUINIENTOS</v>
      </c>
      <c r="J15" s="88" t="str">
        <f t="shared" si="4"/>
        <v xml:space="preserve"> SETENTA Y</v>
      </c>
      <c r="K15" s="105" t="str">
        <f t="shared" si="4"/>
        <v xml:space="preserve"> SEIS</v>
      </c>
    </row>
    <row r="16" spans="1:12" x14ac:dyDescent="0.2">
      <c r="A16" s="107"/>
      <c r="B16" s="92" t="str">
        <f>CONCATENATE(A9,B9,C9,D9,E9,)</f>
        <v>0001</v>
      </c>
      <c r="C16" s="88" t="str">
        <f>CONCATENATE(C9,D9,E9)</f>
        <v>001</v>
      </c>
      <c r="D16" s="88" t="str">
        <f>CONCATENATE(D9,E9)</f>
        <v>01</v>
      </c>
      <c r="E16" s="88" t="str">
        <f>CONCATENATE(D9,E9)</f>
        <v>01</v>
      </c>
      <c r="F16" s="88" t="str">
        <f>CONCATENATE(F9,G9,H9)</f>
        <v>342</v>
      </c>
      <c r="G16" s="88" t="str">
        <f>CONCATENATE(G9,H9)</f>
        <v>42</v>
      </c>
      <c r="H16" s="88" t="str">
        <f>CONCATENATE(G9,H9)</f>
        <v>42</v>
      </c>
      <c r="I16" s="88" t="str">
        <f>CONCATENATE(I9,J9,K9)</f>
        <v>576</v>
      </c>
      <c r="J16" s="88" t="str">
        <f>CONCATENATE(J9,K9)</f>
        <v>76</v>
      </c>
      <c r="K16" s="105" t="str">
        <f>CONCATENATE(J9,K9)</f>
        <v>76</v>
      </c>
    </row>
    <row r="17" spans="1:11" x14ac:dyDescent="0.2">
      <c r="A17" s="107"/>
      <c r="B17" s="92" t="str">
        <f>IF(B9=0,"",IF(B16="00000","",IF(B16="10000","",IF(B16="11000","",IF(B16="12000","",IF(B16="13000","",IF(B16="14000","",IF(B16="15000",""))))))))</f>
        <v/>
      </c>
      <c r="C17" s="88" t="str">
        <f>IF(C9=0,"",IF(C16="000","",IF(C16="100"," CIEN MILLONES" )))</f>
        <v/>
      </c>
      <c r="D17" s="88" t="str">
        <f>IF(D9=0,"",IF(D16="00","",IF(D16="10"," DIEZ MILLONES",IF(D16="11"," ONCE MILLONES",IF(D16="12"," DOCE MILLONES",IF(D16="13"," TRECE MILLONES",IF(D16="14"," CATORCE MILLONES",IF(D16="15"," QUINCE MILLONES"))))))))</f>
        <v/>
      </c>
      <c r="E17" s="88" t="b">
        <f>IF(E9=0,"",IF(E16="00","",IF(E16="10","",IF(E16="11","",IF(E16="12","",IF(E16="13","",IF(E16="14","",IF(E16="15",""))))))))</f>
        <v>0</v>
      </c>
      <c r="F17" s="88" t="b">
        <f>IF(F9=0,"",IF(F16="000","",IF(F16="100"," CIEN MIL" )))</f>
        <v>0</v>
      </c>
      <c r="G17" s="88" t="b">
        <f>IF(G9=0,"",IF(G16="00","",IF(G16="10"," DIEZ MIL",IF(G16="11"," ONCE MIL",IF(G16="12"," DOCE MIL",IF(G16="13"," TRECE MIL",IF(G16="14"," CATORCE MIL",IF(G16="15"," QUINCE MIL"))))))))</f>
        <v>0</v>
      </c>
      <c r="H17" s="88" t="b">
        <f>IF(H9=0,"",IF(H16="00","",IF(H16="10","",IF(H16="11","",IF(H16="12","",IF(H16="13","",IF(H16="14","",IF(H16="15",""))))))))</f>
        <v>0</v>
      </c>
      <c r="I17" s="88" t="b">
        <f>IF(I9=0,"",IF(I16="000","",IF(I16="100"," CIEN" )))</f>
        <v>0</v>
      </c>
      <c r="J17" s="88" t="b">
        <f>IF(J9=0,"",IF(J16="00","",IF(J16="10"," DIEZ",IF(J16="11"," ONCE",IF(J16="12"," DOCE",IF(J16="13"," TRECE",IF(J16="14"," CATORCE",IF(J16="15"," QUINCE"))))))))</f>
        <v>0</v>
      </c>
      <c r="K17" s="105" t="b">
        <f>IF(K9=0,"",IF(K16="00","",IF(K16="10","",IF(K16="11","",IF(K16="12","",IF(K16="13","",IF(K16="14","",IF(K16="15",""))))))))</f>
        <v>0</v>
      </c>
    </row>
    <row r="18" spans="1:11" x14ac:dyDescent="0.2">
      <c r="A18" s="107"/>
      <c r="B18" s="92" t="str">
        <f>IF(B17=FALSE,B15,B17)</f>
        <v/>
      </c>
      <c r="C18" s="88" t="b">
        <f>IF(C16="200"," DOSCIENTOS MILLONES",IF(C16="300"," TRESCIENTOS MILLONES",IF(C16="400"," CUATROCIENTOS MILLONES",IF(C16="500"," QUINIENTOS MILLONES",IF(C16="600"," SEISCIENTOS MILLONES",IF(C16="700"," SETECIENTOS MILLONES",IF(C16="800"," OCHOCIENTOS MILLONES",IF(C16="900"," NOVECIENTOS MILLONES"))))))))</f>
        <v>0</v>
      </c>
      <c r="D18" s="88" t="b">
        <f>IF(D16="20"," VEINTE",IF(D16="30"," TREINTA",IF(D16="40"," CUARENTA",IF(D16="50"," CINCUENTA",IF(D16="60"," SESENTA",IF(D16="80"," OCHENTA",IF(D16="90"," NOVENTA")))))))</f>
        <v>0</v>
      </c>
      <c r="E18" s="88" t="str">
        <f>IF(E17=FALSE,E15,E17)</f>
        <v xml:space="preserve"> UN MILLONES</v>
      </c>
      <c r="F18" s="88" t="b">
        <f>IF(F16="200"," DOSCIENTOS MIL",IF(F16="300"," TRESCIENTOS MIL",IF(F16="400"," CUATROCIENTOS MIL",IF(F16="500"," QUINIENTOS MIL",IF(F16="600"," SEISCIENTOS MIL",IF(F16="700"," SETECIENTOS MIL",IF(F16="800"," OCHOCIENTOS MIL",IF(F16="900"," NOVECIENTOS MIL"))))))))</f>
        <v>0</v>
      </c>
      <c r="G18" s="88" t="b">
        <f>IF(G16="20"," VEINTE MIL",IF(G16="30"," TREINTA MIL",IF(G16="40"," CUARENTA MIL",IF(G16="50"," CINCUENTA MIL",IF(G16="60"," SESENTA MIL",IF(G16="70"," SETENTA MIL",IF(G16="80"," OCHENTA MIL",IF(G16="90"," NOVENTA MIL"))))))))</f>
        <v>0</v>
      </c>
      <c r="H18" s="88" t="str">
        <f>IF(H17=FALSE,H15,H17)</f>
        <v xml:space="preserve"> DOS MIL</v>
      </c>
      <c r="I18" s="88" t="str">
        <f>IF(I17=FALSE,I15,I17)</f>
        <v xml:space="preserve"> QUINIENTOS</v>
      </c>
      <c r="J18" s="88" t="b">
        <f>IF(J16="20"," VEINTE",IF(J16="30"," TREINTA",IF(J16="40"," CUARENTA",IF(J16="50"," CINCUENTA",IF(J16="60"," SESENTA",IF(J16="80"," OCHENTA",IF(J16="90"," NOVENTA")))))))</f>
        <v>0</v>
      </c>
      <c r="K18" s="105" t="str">
        <f>IF(K17=FALSE,K15,K17)</f>
        <v xml:space="preserve"> SEIS</v>
      </c>
    </row>
    <row r="19" spans="1:11" x14ac:dyDescent="0.2">
      <c r="A19" s="107"/>
      <c r="B19" s="92"/>
      <c r="C19" s="88" t="str">
        <f>IF(C17=FALSE,C15,C17)</f>
        <v/>
      </c>
      <c r="D19" s="88" t="str">
        <f>IF(D17=FALSE,D15,D17)</f>
        <v/>
      </c>
      <c r="E19" s="88" t="str">
        <f>CONCATENATE(B9,C9,D9,E9)</f>
        <v>0001</v>
      </c>
      <c r="F19" s="88" t="str">
        <f>IF(F17=FALSE,F15,F17)</f>
        <v xml:space="preserve"> TRESCIENTOS</v>
      </c>
      <c r="G19" s="88" t="str">
        <f>IF(G17=FALSE,G15,G17)</f>
        <v xml:space="preserve"> CUARENTA Y</v>
      </c>
      <c r="J19" s="88" t="str">
        <f>IF(J17=FALSE,J15,J17)</f>
        <v xml:space="preserve"> SETENTA Y</v>
      </c>
      <c r="K19" s="105"/>
    </row>
    <row r="20" spans="1:11" x14ac:dyDescent="0.2">
      <c r="A20" s="107"/>
      <c r="B20" s="92"/>
      <c r="C20" s="88" t="str">
        <f>IF(C18=FALSE,C19,C18)</f>
        <v/>
      </c>
      <c r="D20" s="88" t="str">
        <f>IF(D18=FALSE,D19,D18)</f>
        <v/>
      </c>
      <c r="E20" s="88" t="str">
        <f>IF(E19="0001","UN MILLÓN",E18)</f>
        <v>UN MILLÓN</v>
      </c>
      <c r="F20" s="88" t="str">
        <f>IF(F18=FALSE,F19,F18)</f>
        <v xml:space="preserve"> TRESCIENTOS</v>
      </c>
      <c r="G20" s="88" t="str">
        <f>IF(G18=FALSE,G19,G18)</f>
        <v xml:space="preserve"> CUARENTA Y</v>
      </c>
      <c r="J20" s="88" t="str">
        <f>IF(J18=FALSE,J19,J18)</f>
        <v xml:space="preserve"> SETENTA Y</v>
      </c>
      <c r="K20" s="105"/>
    </row>
    <row r="21" spans="1:11" x14ac:dyDescent="0.2">
      <c r="A21" s="107"/>
      <c r="B21" s="92"/>
      <c r="K21" s="105"/>
    </row>
    <row r="22" spans="1:11" ht="13.5" thickBot="1" x14ac:dyDescent="0.25">
      <c r="A22" s="107"/>
      <c r="B22" s="95" t="str">
        <f>B18</f>
        <v/>
      </c>
      <c r="C22" s="111" t="str">
        <f>C20</f>
        <v/>
      </c>
      <c r="D22" s="111" t="str">
        <f>D20</f>
        <v/>
      </c>
      <c r="E22" s="111" t="str">
        <f>E20</f>
        <v>UN MILLÓN</v>
      </c>
      <c r="F22" s="111" t="str">
        <f>F20</f>
        <v xml:space="preserve"> TRESCIENTOS</v>
      </c>
      <c r="G22" s="111" t="str">
        <f>G20</f>
        <v xml:space="preserve"> CUARENTA Y</v>
      </c>
      <c r="H22" s="111" t="str">
        <f>H18</f>
        <v xml:space="preserve"> DOS MIL</v>
      </c>
      <c r="I22" s="111" t="str">
        <f>I18</f>
        <v xml:space="preserve"> QUINIENTOS</v>
      </c>
      <c r="J22" s="111" t="str">
        <f>J20</f>
        <v xml:space="preserve"> SETENTA Y</v>
      </c>
      <c r="K22" s="112" t="str">
        <f>K18</f>
        <v xml:space="preserve"> SEIS</v>
      </c>
    </row>
    <row r="25" spans="1:11" x14ac:dyDescent="0.2">
      <c r="I25" s="141"/>
    </row>
  </sheetData>
  <mergeCells count="1">
    <mergeCell ref="B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Liquidación</vt:lpstr>
      <vt:lpstr>Datos</vt:lpstr>
      <vt:lpstr>Conversor numeros letras</vt:lpstr>
    </vt:vector>
  </TitlesOfParts>
  <Manager>Héctor Fernando Muñoz</Manager>
  <Company>fernandom184@hotmail.com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LIQUIDACIÓN CONTRATO LABORAL</dc:title>
  <dc:creator>Héctor Fernando Muñoz</dc:creator>
  <cp:lastModifiedBy>Jorge</cp:lastModifiedBy>
  <cp:lastPrinted>2014-10-27T14:55:14Z</cp:lastPrinted>
  <dcterms:created xsi:type="dcterms:W3CDTF">2009-02-03T04:22:00Z</dcterms:created>
  <dcterms:modified xsi:type="dcterms:W3CDTF">2023-01-08T14:07:55Z</dcterms:modified>
</cp:coreProperties>
</file>