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E6E9D1F1-2BB1-4B71-BB96-E6EF9CF2FB4A}" xr6:coauthVersionLast="46" xr6:coauthVersionMax="46" xr10:uidLastSave="{00000000-0000-0000-0000-000000000000}"/>
  <bookViews>
    <workbookView xWindow="-120" yWindow="-120" windowWidth="29040" windowHeight="15840" firstSheet="12" activeTab="21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MPQ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Crypto" sheetId="24" r:id="rId15"/>
    <sheet name="bitcoin" sheetId="21" r:id="rId16"/>
    <sheet name="MiningRates" sheetId="22" r:id="rId17"/>
    <sheet name="Weight" sheetId="26" r:id="rId18"/>
    <sheet name="Apointments" sheetId="25" r:id="rId19"/>
    <sheet name="Resturants" sheetId="27" r:id="rId20"/>
    <sheet name="Stocks" sheetId="30" r:id="rId21"/>
    <sheet name="Tokenomics" sheetId="32" r:id="rId22"/>
    <sheet name="Sheet2" sheetId="33" r:id="rId23"/>
  </sheets>
  <definedNames>
    <definedName name="_xlnm._FilterDatabase" localSheetId="14" hidden="1">Crypto!$A$1:$M$152</definedName>
    <definedName name="_xlnm._FilterDatabase" localSheetId="0" hidden="1">'Stock Calc'!$A$1:$BM$1305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32" l="1"/>
  <c r="K50" i="32"/>
  <c r="G50" i="32" s="1"/>
  <c r="L50" i="32" s="1"/>
  <c r="O50" i="32" s="1"/>
  <c r="H51" i="32"/>
  <c r="K51" i="32"/>
  <c r="G51" i="32" s="1"/>
  <c r="L51" i="32" s="1"/>
  <c r="O51" i="32" s="1"/>
  <c r="H52" i="32"/>
  <c r="K52" i="32"/>
  <c r="G52" i="32" s="1"/>
  <c r="L52" i="32" s="1"/>
  <c r="O52" i="32" s="1"/>
  <c r="G53" i="32"/>
  <c r="L53" i="32" s="1"/>
  <c r="O53" i="32" s="1"/>
  <c r="H53" i="32"/>
  <c r="K53" i="32"/>
  <c r="H54" i="32"/>
  <c r="K54" i="32"/>
  <c r="G54" i="32" s="1"/>
  <c r="L54" i="32" s="1"/>
  <c r="O54" i="32" s="1"/>
  <c r="H55" i="32"/>
  <c r="K55" i="32"/>
  <c r="G55" i="32" s="1"/>
  <c r="L55" i="32" s="1"/>
  <c r="O55" i="32" s="1"/>
  <c r="H56" i="32"/>
  <c r="K56" i="32"/>
  <c r="G56" i="32" s="1"/>
  <c r="L56" i="32" s="1"/>
  <c r="O56" i="32" s="1"/>
  <c r="H57" i="32"/>
  <c r="K57" i="32"/>
  <c r="G57" i="32" s="1"/>
  <c r="L57" i="32" s="1"/>
  <c r="O57" i="32" s="1"/>
  <c r="H58" i="32"/>
  <c r="K58" i="32"/>
  <c r="G58" i="32" s="1"/>
  <c r="L58" i="32" s="1"/>
  <c r="O58" i="32" s="1"/>
  <c r="H59" i="32"/>
  <c r="K59" i="32"/>
  <c r="G59" i="32" s="1"/>
  <c r="L59" i="32" s="1"/>
  <c r="O59" i="32" s="1"/>
  <c r="H60" i="32"/>
  <c r="K60" i="32"/>
  <c r="G60" i="32" s="1"/>
  <c r="L60" i="32" s="1"/>
  <c r="O60" i="32" s="1"/>
  <c r="AR108" i="24"/>
  <c r="AT79" i="24"/>
  <c r="AT103" i="24"/>
  <c r="AO111" i="24"/>
  <c r="AO115" i="24" s="1"/>
  <c r="AN115" i="24" s="1"/>
  <c r="AP116" i="24" s="1"/>
  <c r="AM116" i="24"/>
  <c r="AO116" i="24" s="1"/>
  <c r="AM115" i="24"/>
  <c r="AO114" i="24"/>
  <c r="AO113" i="24"/>
  <c r="AO112" i="24"/>
  <c r="D33" i="33"/>
  <c r="K11" i="32"/>
  <c r="G11" i="32" s="1"/>
  <c r="L11" i="32" s="1"/>
  <c r="O11" i="32" s="1"/>
  <c r="K5" i="32"/>
  <c r="G5" i="32" s="1"/>
  <c r="L5" i="32" s="1"/>
  <c r="O5" i="32" s="1"/>
  <c r="K9" i="32"/>
  <c r="G9" i="32" s="1"/>
  <c r="L9" i="32" s="1"/>
  <c r="O9" i="32" s="1"/>
  <c r="K4" i="32"/>
  <c r="G4" i="32" s="1"/>
  <c r="L4" i="32" s="1"/>
  <c r="O4" i="32" s="1"/>
  <c r="K10" i="32"/>
  <c r="G10" i="32" s="1"/>
  <c r="L10" i="32" s="1"/>
  <c r="O10" i="32" s="1"/>
  <c r="K12" i="32"/>
  <c r="G12" i="32" s="1"/>
  <c r="L12" i="32" s="1"/>
  <c r="O12" i="32" s="1"/>
  <c r="K14" i="32"/>
  <c r="G14" i="32" s="1"/>
  <c r="L14" i="32" s="1"/>
  <c r="O14" i="32" s="1"/>
  <c r="K15" i="32"/>
  <c r="G15" i="32" s="1"/>
  <c r="L15" i="32" s="1"/>
  <c r="O15" i="32" s="1"/>
  <c r="K17" i="32"/>
  <c r="G17" i="32" s="1"/>
  <c r="L17" i="32" s="1"/>
  <c r="O17" i="32" s="1"/>
  <c r="K18" i="32"/>
  <c r="K19" i="32"/>
  <c r="G19" i="32" s="1"/>
  <c r="L19" i="32" s="1"/>
  <c r="O19" i="32" s="1"/>
  <c r="K20" i="32"/>
  <c r="G20" i="32" s="1"/>
  <c r="L20" i="32" s="1"/>
  <c r="O20" i="32" s="1"/>
  <c r="K22" i="32"/>
  <c r="G22" i="32" s="1"/>
  <c r="L22" i="32" s="1"/>
  <c r="O22" i="32" s="1"/>
  <c r="K16" i="32"/>
  <c r="G16" i="32" s="1"/>
  <c r="L16" i="32" s="1"/>
  <c r="O16" i="32" s="1"/>
  <c r="K21" i="32"/>
  <c r="G21" i="32" s="1"/>
  <c r="L21" i="32" s="1"/>
  <c r="O21" i="32" s="1"/>
  <c r="K23" i="32"/>
  <c r="K24" i="32"/>
  <c r="G24" i="32" s="1"/>
  <c r="L24" i="32" s="1"/>
  <c r="O24" i="32" s="1"/>
  <c r="K25" i="32"/>
  <c r="G25" i="32" s="1"/>
  <c r="L25" i="32" s="1"/>
  <c r="O25" i="32" s="1"/>
  <c r="K27" i="32"/>
  <c r="G27" i="32" s="1"/>
  <c r="L27" i="32" s="1"/>
  <c r="O27" i="32" s="1"/>
  <c r="K29" i="32"/>
  <c r="G29" i="32" s="1"/>
  <c r="L29" i="32" s="1"/>
  <c r="O29" i="32" s="1"/>
  <c r="K28" i="32"/>
  <c r="G28" i="32" s="1"/>
  <c r="L28" i="32" s="1"/>
  <c r="O28" i="32" s="1"/>
  <c r="K30" i="32"/>
  <c r="G30" i="32" s="1"/>
  <c r="L30" i="32" s="1"/>
  <c r="O30" i="32" s="1"/>
  <c r="K31" i="32"/>
  <c r="G31" i="32" s="1"/>
  <c r="L31" i="32" s="1"/>
  <c r="O31" i="32" s="1"/>
  <c r="K32" i="32"/>
  <c r="G32" i="32" s="1"/>
  <c r="L32" i="32" s="1"/>
  <c r="O32" i="32" s="1"/>
  <c r="K33" i="32"/>
  <c r="G33" i="32" s="1"/>
  <c r="L33" i="32" s="1"/>
  <c r="O33" i="32" s="1"/>
  <c r="K34" i="32"/>
  <c r="G34" i="32" s="1"/>
  <c r="L34" i="32" s="1"/>
  <c r="O34" i="32" s="1"/>
  <c r="K36" i="32"/>
  <c r="G36" i="32" s="1"/>
  <c r="L36" i="32" s="1"/>
  <c r="O36" i="32" s="1"/>
  <c r="K37" i="32"/>
  <c r="G37" i="32" s="1"/>
  <c r="L37" i="32" s="1"/>
  <c r="O37" i="32" s="1"/>
  <c r="K38" i="32"/>
  <c r="G38" i="32" s="1"/>
  <c r="L38" i="32" s="1"/>
  <c r="O38" i="32" s="1"/>
  <c r="K39" i="32"/>
  <c r="G39" i="32" s="1"/>
  <c r="L39" i="32" s="1"/>
  <c r="O39" i="32" s="1"/>
  <c r="K40" i="32"/>
  <c r="G40" i="32" s="1"/>
  <c r="L40" i="32" s="1"/>
  <c r="O40" i="32" s="1"/>
  <c r="K41" i="32"/>
  <c r="G41" i="32" s="1"/>
  <c r="L41" i="32" s="1"/>
  <c r="O41" i="32" s="1"/>
  <c r="K42" i="32"/>
  <c r="G42" i="32" s="1"/>
  <c r="L42" i="32" s="1"/>
  <c r="O42" i="32" s="1"/>
  <c r="K35" i="32"/>
  <c r="G35" i="32" s="1"/>
  <c r="L35" i="32" s="1"/>
  <c r="O35" i="32" s="1"/>
  <c r="K44" i="32"/>
  <c r="K43" i="32"/>
  <c r="G43" i="32" s="1"/>
  <c r="L43" i="32" s="1"/>
  <c r="O43" i="32" s="1"/>
  <c r="K26" i="32"/>
  <c r="L26" i="32" s="1"/>
  <c r="O26" i="32" s="1"/>
  <c r="K45" i="32"/>
  <c r="G45" i="32" s="1"/>
  <c r="L45" i="32" s="1"/>
  <c r="O45" i="32" s="1"/>
  <c r="K13" i="32"/>
  <c r="G13" i="32" s="1"/>
  <c r="L13" i="32" s="1"/>
  <c r="O13" i="32" s="1"/>
  <c r="K46" i="32"/>
  <c r="G46" i="32" s="1"/>
  <c r="L46" i="32" s="1"/>
  <c r="O46" i="32" s="1"/>
  <c r="K47" i="32"/>
  <c r="G47" i="32" s="1"/>
  <c r="L47" i="32" s="1"/>
  <c r="O47" i="32" s="1"/>
  <c r="K48" i="32"/>
  <c r="G48" i="32" s="1"/>
  <c r="L48" i="32" s="1"/>
  <c r="O48" i="32" s="1"/>
  <c r="K8" i="32"/>
  <c r="G8" i="32" s="1"/>
  <c r="L8" i="32" s="1"/>
  <c r="O8" i="32" s="1"/>
  <c r="K2" i="32"/>
  <c r="G2" i="32" s="1"/>
  <c r="L2" i="32" s="1"/>
  <c r="O2" i="32" s="1"/>
  <c r="K3" i="32"/>
  <c r="G3" i="32" s="1"/>
  <c r="L3" i="32" s="1"/>
  <c r="O3" i="32" s="1"/>
  <c r="K6" i="32"/>
  <c r="G6" i="32" s="1"/>
  <c r="L6" i="32" s="1"/>
  <c r="O6" i="32" s="1"/>
  <c r="K49" i="32"/>
  <c r="G49" i="32" s="1"/>
  <c r="L49" i="32" s="1"/>
  <c r="O49" i="32" s="1"/>
  <c r="K7" i="32"/>
  <c r="G7" i="32" s="1"/>
  <c r="L7" i="32" s="1"/>
  <c r="O7" i="32" s="1"/>
  <c r="AJ37" i="24"/>
  <c r="AH36" i="24"/>
  <c r="C6" i="33"/>
  <c r="D6" i="33" s="1"/>
  <c r="AC36" i="24"/>
  <c r="AD36" i="24"/>
  <c r="AG36" i="24"/>
  <c r="Q9" i="33"/>
  <c r="E3" i="33" s="1"/>
  <c r="Q8" i="33"/>
  <c r="C3" i="33" s="1"/>
  <c r="O8" i="33"/>
  <c r="O9" i="33" s="1"/>
  <c r="AL39" i="24"/>
  <c r="AL38" i="24"/>
  <c r="AK39" i="24"/>
  <c r="AK38" i="24"/>
  <c r="AF30" i="24"/>
  <c r="AA42" i="24"/>
  <c r="AC41" i="24" s="1"/>
  <c r="AD41" i="24" s="1"/>
  <c r="AM108" i="24"/>
  <c r="AO108" i="24" s="1"/>
  <c r="AM107" i="24"/>
  <c r="AO106" i="24"/>
  <c r="AO105" i="24"/>
  <c r="AO104" i="24"/>
  <c r="AO103" i="24"/>
  <c r="AM100" i="24"/>
  <c r="AO100" i="24" s="1"/>
  <c r="AM99" i="24"/>
  <c r="AW109" i="24"/>
  <c r="AY109" i="24" s="1"/>
  <c r="AW108" i="24"/>
  <c r="AY107" i="24"/>
  <c r="AY106" i="24"/>
  <c r="AY105" i="24"/>
  <c r="AY104" i="24"/>
  <c r="AA43" i="24"/>
  <c r="AE40" i="24" s="1"/>
  <c r="AR107" i="24"/>
  <c r="AT108" i="24" s="1"/>
  <c r="BC93" i="24"/>
  <c r="AW101" i="24"/>
  <c r="AY101" i="24" s="1"/>
  <c r="AW100" i="24"/>
  <c r="AY99" i="24"/>
  <c r="AY98" i="24"/>
  <c r="AY97" i="24"/>
  <c r="AY96" i="24"/>
  <c r="AR99" i="24"/>
  <c r="AR100" i="24" s="1"/>
  <c r="AT98" i="24"/>
  <c r="AT97" i="24"/>
  <c r="AT96" i="24"/>
  <c r="AT95" i="24"/>
  <c r="AW92" i="24"/>
  <c r="AW93" i="24" s="1"/>
  <c r="AY91" i="24"/>
  <c r="AY90" i="24"/>
  <c r="AY89" i="24"/>
  <c r="AY88" i="24"/>
  <c r="AR91" i="24"/>
  <c r="AR92" i="24" s="1"/>
  <c r="AT92" i="24" s="1"/>
  <c r="AT90" i="24"/>
  <c r="AT89" i="24"/>
  <c r="AT88" i="24"/>
  <c r="AT87" i="24"/>
  <c r="H21" i="32"/>
  <c r="AW84" i="24"/>
  <c r="AW85" i="24" s="1"/>
  <c r="AY85" i="24" s="1"/>
  <c r="AY83" i="24"/>
  <c r="AY82" i="24"/>
  <c r="AY81" i="24"/>
  <c r="AY80" i="24"/>
  <c r="AR83" i="24"/>
  <c r="AR84" i="24" s="1"/>
  <c r="AT82" i="24"/>
  <c r="AT81" i="24"/>
  <c r="AT80" i="24"/>
  <c r="AF72" i="24"/>
  <c r="AF74" i="24" s="1"/>
  <c r="AM83" i="24"/>
  <c r="AM84" i="24" s="1"/>
  <c r="AO84" i="24" s="1"/>
  <c r="AO82" i="24"/>
  <c r="AO81" i="24"/>
  <c r="AO80" i="24"/>
  <c r="AO79" i="24"/>
  <c r="AW76" i="24"/>
  <c r="AW77" i="24" s="1"/>
  <c r="AY77" i="24" s="1"/>
  <c r="AY75" i="24"/>
  <c r="AY74" i="24"/>
  <c r="AY73" i="24"/>
  <c r="AY72" i="24"/>
  <c r="AN92" i="24"/>
  <c r="AM92" i="24"/>
  <c r="H4" i="32"/>
  <c r="AR75" i="24"/>
  <c r="AR76" i="24" s="1"/>
  <c r="AT76" i="24" s="1"/>
  <c r="AT74" i="24"/>
  <c r="AT73" i="24"/>
  <c r="AT72" i="24"/>
  <c r="AT71" i="24"/>
  <c r="H3" i="32"/>
  <c r="AF100" i="24"/>
  <c r="H24" i="32"/>
  <c r="AO8" i="24"/>
  <c r="AO62" i="24"/>
  <c r="AM75" i="24"/>
  <c r="AM76" i="24" s="1"/>
  <c r="AO76" i="24" s="1"/>
  <c r="AO74" i="24"/>
  <c r="AO73" i="24"/>
  <c r="AO72" i="24"/>
  <c r="AO71" i="24"/>
  <c r="AW68" i="24"/>
  <c r="AW69" i="24" s="1"/>
  <c r="AY69" i="24" s="1"/>
  <c r="AY67" i="24"/>
  <c r="AY66" i="24"/>
  <c r="AY65" i="24"/>
  <c r="AY64" i="24"/>
  <c r="AR67" i="24"/>
  <c r="AR68" i="24" s="1"/>
  <c r="AT68" i="24" s="1"/>
  <c r="AT66" i="24"/>
  <c r="AT65" i="24"/>
  <c r="AT64" i="24"/>
  <c r="AT63" i="24"/>
  <c r="AM67" i="24"/>
  <c r="AM68" i="24" s="1"/>
  <c r="AO68" i="24" s="1"/>
  <c r="AO66" i="24"/>
  <c r="AO65" i="24"/>
  <c r="AO64" i="24"/>
  <c r="AO63" i="24"/>
  <c r="H22" i="32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" i="30"/>
  <c r="S3" i="30"/>
  <c r="G18" i="32"/>
  <c r="L18" i="32" s="1"/>
  <c r="O18" i="32" s="1"/>
  <c r="G44" i="32"/>
  <c r="L44" i="32" s="1"/>
  <c r="O44" i="32" s="1"/>
  <c r="H42" i="32"/>
  <c r="H5" i="32"/>
  <c r="H11" i="32"/>
  <c r="H41" i="32"/>
  <c r="H29" i="32"/>
  <c r="H48" i="32"/>
  <c r="H8" i="32"/>
  <c r="H2" i="32"/>
  <c r="AW60" i="24"/>
  <c r="AW61" i="24" s="1"/>
  <c r="AY61" i="24" s="1"/>
  <c r="AY59" i="24"/>
  <c r="AY58" i="24"/>
  <c r="AY57" i="24"/>
  <c r="AY56" i="24"/>
  <c r="AR59" i="24"/>
  <c r="AR60" i="24" s="1"/>
  <c r="AT60" i="24" s="1"/>
  <c r="AT58" i="24"/>
  <c r="AT57" i="24"/>
  <c r="AT56" i="24"/>
  <c r="AT55" i="24"/>
  <c r="G23" i="32"/>
  <c r="L23" i="32" s="1"/>
  <c r="O23" i="32" s="1"/>
  <c r="H18" i="32"/>
  <c r="H27" i="32"/>
  <c r="H26" i="32"/>
  <c r="H46" i="32"/>
  <c r="H14" i="32"/>
  <c r="H47" i="32"/>
  <c r="H20" i="32"/>
  <c r="H17" i="32"/>
  <c r="H10" i="32"/>
  <c r="H15" i="32"/>
  <c r="H39" i="32"/>
  <c r="H35" i="32"/>
  <c r="H43" i="32"/>
  <c r="H32" i="32"/>
  <c r="H40" i="32"/>
  <c r="H23" i="32"/>
  <c r="H44" i="32"/>
  <c r="H36" i="32"/>
  <c r="H34" i="32"/>
  <c r="H45" i="32"/>
  <c r="H38" i="32"/>
  <c r="H37" i="32"/>
  <c r="H16" i="32"/>
  <c r="H7" i="32"/>
  <c r="H49" i="32"/>
  <c r="H6" i="32"/>
  <c r="H12" i="32"/>
  <c r="H33" i="32"/>
  <c r="H31" i="32"/>
  <c r="H28" i="32"/>
  <c r="H13" i="32"/>
  <c r="H9" i="32"/>
  <c r="H30" i="32"/>
  <c r="H19" i="32"/>
  <c r="H25" i="32"/>
  <c r="F2" i="24"/>
  <c r="F137" i="24"/>
  <c r="AE37" i="24"/>
  <c r="AC39" i="24"/>
  <c r="AD39" i="24" s="1"/>
  <c r="F93" i="24"/>
  <c r="F79" i="24"/>
  <c r="F33" i="24"/>
  <c r="F42" i="24"/>
  <c r="F71" i="24"/>
  <c r="F100" i="24"/>
  <c r="F67" i="24"/>
  <c r="F32" i="24"/>
  <c r="F103" i="24"/>
  <c r="F74" i="24"/>
  <c r="F66" i="24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AM57" i="24"/>
  <c r="AM58" i="24" s="1"/>
  <c r="AO58" i="24" s="1"/>
  <c r="AO56" i="24"/>
  <c r="AO55" i="24"/>
  <c r="AO54" i="24"/>
  <c r="AO53" i="24"/>
  <c r="F131" i="24"/>
  <c r="F105" i="24"/>
  <c r="Y42" i="24"/>
  <c r="X42" i="24" s="1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" i="30"/>
  <c r="F148" i="24"/>
  <c r="AW44" i="24"/>
  <c r="AY43" i="24"/>
  <c r="AY42" i="24"/>
  <c r="AY41" i="24"/>
  <c r="AY40" i="24"/>
  <c r="AR51" i="24"/>
  <c r="AR52" i="24" s="1"/>
  <c r="AT52" i="24" s="1"/>
  <c r="AT50" i="24"/>
  <c r="AT49" i="24"/>
  <c r="AT48" i="24"/>
  <c r="AT47" i="24"/>
  <c r="AM49" i="24"/>
  <c r="AM50" i="24" s="1"/>
  <c r="AO50" i="24" s="1"/>
  <c r="AO48" i="24"/>
  <c r="AO47" i="24"/>
  <c r="AO46" i="24"/>
  <c r="AO45" i="24"/>
  <c r="F104" i="24"/>
  <c r="F111" i="24"/>
  <c r="F145" i="24"/>
  <c r="F128" i="24"/>
  <c r="F151" i="24"/>
  <c r="F5" i="24"/>
  <c r="F45" i="24"/>
  <c r="F125" i="24"/>
  <c r="F115" i="24"/>
  <c r="F109" i="24"/>
  <c r="F11" i="24"/>
  <c r="F46" i="24"/>
  <c r="AE65" i="24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34" i="22"/>
  <c r="F94" i="24"/>
  <c r="F143" i="24"/>
  <c r="F26" i="24"/>
  <c r="F14" i="24"/>
  <c r="T80" i="24"/>
  <c r="P80" i="24" s="1"/>
  <c r="AR43" i="24"/>
  <c r="AR44" i="24" s="1"/>
  <c r="AT44" i="24" s="1"/>
  <c r="AT42" i="24"/>
  <c r="AT41" i="24"/>
  <c r="AT40" i="24"/>
  <c r="AT39" i="24"/>
  <c r="T79" i="24"/>
  <c r="P79" i="24" s="1"/>
  <c r="AM41" i="24"/>
  <c r="AM42" i="24" s="1"/>
  <c r="AO42" i="24" s="1"/>
  <c r="AO40" i="24"/>
  <c r="AO39" i="24"/>
  <c r="AO38" i="24"/>
  <c r="AO37" i="24"/>
  <c r="T78" i="24"/>
  <c r="P78" i="24" s="1"/>
  <c r="AR35" i="24"/>
  <c r="AR36" i="24" s="1"/>
  <c r="AT36" i="24" s="1"/>
  <c r="AT34" i="24"/>
  <c r="AT33" i="24"/>
  <c r="AT32" i="24"/>
  <c r="AT31" i="24"/>
  <c r="AO7" i="24"/>
  <c r="T76" i="24"/>
  <c r="P76" i="24" s="1"/>
  <c r="T67" i="24"/>
  <c r="P67" i="24" s="1"/>
  <c r="U67" i="24" s="1"/>
  <c r="V67" i="24" s="1"/>
  <c r="W67" i="24" s="1"/>
  <c r="X67" i="24" s="1"/>
  <c r="Y67" i="24" s="1"/>
  <c r="Z67" i="24" s="1"/>
  <c r="F89" i="24"/>
  <c r="F106" i="24"/>
  <c r="F31" i="24"/>
  <c r="F135" i="24"/>
  <c r="AM33" i="24"/>
  <c r="AO32" i="24"/>
  <c r="AO31" i="24"/>
  <c r="AO30" i="24"/>
  <c r="AO29" i="24"/>
  <c r="AM25" i="24"/>
  <c r="AM26" i="24" s="1"/>
  <c r="AO26" i="24" s="1"/>
  <c r="AO24" i="24"/>
  <c r="AO23" i="24"/>
  <c r="AO22" i="24"/>
  <c r="AO21" i="24"/>
  <c r="T69" i="24"/>
  <c r="P69" i="24" s="1"/>
  <c r="T68" i="24"/>
  <c r="P68" i="24" s="1"/>
  <c r="U68" i="24" s="1"/>
  <c r="V68" i="24" s="1"/>
  <c r="W68" i="24" s="1"/>
  <c r="X68" i="24" s="1"/>
  <c r="Y68" i="24" s="1"/>
  <c r="Z68" i="24" s="1"/>
  <c r="T66" i="24"/>
  <c r="P66" i="24" s="1"/>
  <c r="U66" i="24" s="1"/>
  <c r="V66" i="24" s="1"/>
  <c r="W66" i="24" s="1"/>
  <c r="X66" i="24" s="1"/>
  <c r="Y66" i="24" s="1"/>
  <c r="Z66" i="24" s="1"/>
  <c r="F97" i="24"/>
  <c r="F126" i="24"/>
  <c r="F102" i="24"/>
  <c r="F82" i="24"/>
  <c r="F86" i="24"/>
  <c r="F124" i="24"/>
  <c r="F37" i="24"/>
  <c r="T63" i="24"/>
  <c r="P63" i="24" s="1"/>
  <c r="AW35" i="24"/>
  <c r="AW36" i="24" s="1"/>
  <c r="AY36" i="24" s="1"/>
  <c r="AY34" i="24"/>
  <c r="AY33" i="24"/>
  <c r="AY32" i="24"/>
  <c r="AY31" i="24"/>
  <c r="T70" i="24"/>
  <c r="P70" i="24" s="1"/>
  <c r="T64" i="24"/>
  <c r="AA64" i="24" s="1"/>
  <c r="T72" i="24"/>
  <c r="P72" i="24" s="1"/>
  <c r="F116" i="24"/>
  <c r="T65" i="24"/>
  <c r="P65" i="24" s="1"/>
  <c r="T73" i="24"/>
  <c r="P73" i="24" s="1"/>
  <c r="J12" i="33" l="1"/>
  <c r="AT84" i="24"/>
  <c r="C7" i="33"/>
  <c r="D7" i="33" s="1"/>
  <c r="E2" i="33"/>
  <c r="E7" i="33"/>
  <c r="E6" i="33"/>
  <c r="I6" i="33" s="1"/>
  <c r="E5" i="33"/>
  <c r="I5" i="33" s="1"/>
  <c r="E4" i="33"/>
  <c r="I4" i="33" s="1"/>
  <c r="K4" i="33" s="1"/>
  <c r="C2" i="33"/>
  <c r="F2" i="33" s="1"/>
  <c r="G2" i="33" s="1"/>
  <c r="F3" i="33"/>
  <c r="G3" i="33" s="1"/>
  <c r="D3" i="33"/>
  <c r="C5" i="33"/>
  <c r="C4" i="33"/>
  <c r="F7" i="33"/>
  <c r="G7" i="33" s="1"/>
  <c r="H4" i="33"/>
  <c r="H3" i="33"/>
  <c r="H2" i="33"/>
  <c r="H7" i="33"/>
  <c r="H5" i="33"/>
  <c r="I3" i="33"/>
  <c r="AW45" i="24"/>
  <c r="AY45" i="24" s="1"/>
  <c r="AE41" i="24"/>
  <c r="AF41" i="24" s="1"/>
  <c r="AG41" i="24" s="1"/>
  <c r="AY76" i="24"/>
  <c r="AX76" i="24" s="1"/>
  <c r="AZ77" i="24" s="1"/>
  <c r="AO107" i="24"/>
  <c r="AN107" i="24" s="1"/>
  <c r="AP108" i="24" s="1"/>
  <c r="AH41" i="24"/>
  <c r="AI41" i="24"/>
  <c r="AT91" i="24"/>
  <c r="AS91" i="24" s="1"/>
  <c r="AU92" i="24" s="1"/>
  <c r="AY108" i="24"/>
  <c r="AX108" i="24" s="1"/>
  <c r="AZ109" i="24" s="1"/>
  <c r="AC40" i="24"/>
  <c r="AD40" i="24" s="1"/>
  <c r="AH37" i="24"/>
  <c r="AY93" i="24"/>
  <c r="AY92" i="24"/>
  <c r="AX92" i="24" s="1"/>
  <c r="AZ93" i="24" s="1"/>
  <c r="AT99" i="24"/>
  <c r="AS99" i="24" s="1"/>
  <c r="AU100" i="24" s="1"/>
  <c r="AH40" i="24"/>
  <c r="AY100" i="24"/>
  <c r="AX100" i="24" s="1"/>
  <c r="AZ101" i="24" s="1"/>
  <c r="AT75" i="24"/>
  <c r="AS75" i="24" s="1"/>
  <c r="AU76" i="24" s="1"/>
  <c r="AT100" i="24"/>
  <c r="AO92" i="24"/>
  <c r="AY84" i="24"/>
  <c r="AX84" i="24" s="1"/>
  <c r="AZ85" i="24" s="1"/>
  <c r="AT83" i="24"/>
  <c r="AS83" i="24" s="1"/>
  <c r="AU84" i="24" s="1"/>
  <c r="AE39" i="24"/>
  <c r="AY60" i="24"/>
  <c r="AX60" i="24" s="1"/>
  <c r="AZ61" i="24" s="1"/>
  <c r="AO83" i="24"/>
  <c r="AN83" i="24" s="1"/>
  <c r="AP84" i="24" s="1"/>
  <c r="AO75" i="24"/>
  <c r="AN75" i="24" s="1"/>
  <c r="AP76" i="24" s="1"/>
  <c r="AT67" i="24"/>
  <c r="AS67" i="24" s="1"/>
  <c r="AU68" i="24" s="1"/>
  <c r="AO67" i="24"/>
  <c r="AN67" i="24" s="1"/>
  <c r="AP68" i="24" s="1"/>
  <c r="AY68" i="24"/>
  <c r="AX68" i="24" s="1"/>
  <c r="AZ69" i="24" s="1"/>
  <c r="AT59" i="24"/>
  <c r="AS59" i="24" s="1"/>
  <c r="AU60" i="24" s="1"/>
  <c r="AO57" i="24"/>
  <c r="AN57" i="24" s="1"/>
  <c r="AP58" i="24" s="1"/>
  <c r="AT51" i="24"/>
  <c r="AS51" i="24" s="1"/>
  <c r="AU52" i="24" s="1"/>
  <c r="AY44" i="24"/>
  <c r="AX44" i="24" s="1"/>
  <c r="AZ45" i="24" s="1"/>
  <c r="AO49" i="24"/>
  <c r="AN49" i="24" s="1"/>
  <c r="AP50" i="24" s="1"/>
  <c r="AE38" i="24"/>
  <c r="AA51" i="24"/>
  <c r="AE36" i="24"/>
  <c r="AI37" i="24" s="1"/>
  <c r="AT43" i="24"/>
  <c r="AS43" i="24" s="1"/>
  <c r="AU44" i="24" s="1"/>
  <c r="U80" i="24"/>
  <c r="V80" i="24" s="1"/>
  <c r="W80" i="24" s="1"/>
  <c r="X80" i="24" s="1"/>
  <c r="Y80" i="24" s="1"/>
  <c r="Z80" i="24" s="1"/>
  <c r="AA80" i="24"/>
  <c r="U79" i="24"/>
  <c r="V79" i="24" s="1"/>
  <c r="W79" i="24" s="1"/>
  <c r="X79" i="24" s="1"/>
  <c r="Y79" i="24" s="1"/>
  <c r="Z79" i="24" s="1"/>
  <c r="AA79" i="24"/>
  <c r="AO41" i="24"/>
  <c r="AN41" i="24" s="1"/>
  <c r="AP42" i="24" s="1"/>
  <c r="AA78" i="24"/>
  <c r="U78" i="24"/>
  <c r="V78" i="24" s="1"/>
  <c r="W78" i="24" s="1"/>
  <c r="X78" i="24" s="1"/>
  <c r="Y78" i="24" s="1"/>
  <c r="Z78" i="24" s="1"/>
  <c r="AT35" i="24"/>
  <c r="AS35" i="24" s="1"/>
  <c r="AU36" i="24" s="1"/>
  <c r="AY35" i="24"/>
  <c r="AX35" i="24" s="1"/>
  <c r="AZ36" i="24" s="1"/>
  <c r="AA73" i="24"/>
  <c r="U76" i="24"/>
  <c r="V76" i="24" s="1"/>
  <c r="W76" i="24" s="1"/>
  <c r="X76" i="24" s="1"/>
  <c r="Y76" i="24" s="1"/>
  <c r="Z76" i="24" s="1"/>
  <c r="AA76" i="24"/>
  <c r="AA67" i="24"/>
  <c r="AO33" i="24"/>
  <c r="AN33" i="24" s="1"/>
  <c r="AP34" i="24" s="1"/>
  <c r="AM34" i="24"/>
  <c r="AO34" i="24" s="1"/>
  <c r="AO25" i="24"/>
  <c r="AN25" i="24" s="1"/>
  <c r="AP26" i="24" s="1"/>
  <c r="U69" i="24"/>
  <c r="V69" i="24" s="1"/>
  <c r="W69" i="24" s="1"/>
  <c r="X69" i="24" s="1"/>
  <c r="Y69" i="24" s="1"/>
  <c r="Z69" i="24" s="1"/>
  <c r="AA69" i="24"/>
  <c r="AA68" i="24"/>
  <c r="AA66" i="24"/>
  <c r="U63" i="24"/>
  <c r="V63" i="24" s="1"/>
  <c r="W63" i="24" s="1"/>
  <c r="X63" i="24" s="1"/>
  <c r="Y63" i="24" s="1"/>
  <c r="Z63" i="24" s="1"/>
  <c r="AA63" i="24"/>
  <c r="U70" i="24"/>
  <c r="V70" i="24" s="1"/>
  <c r="W70" i="24" s="1"/>
  <c r="X70" i="24" s="1"/>
  <c r="Y70" i="24" s="1"/>
  <c r="Z70" i="24" s="1"/>
  <c r="AA70" i="24"/>
  <c r="P64" i="24"/>
  <c r="U64" i="24" s="1"/>
  <c r="V64" i="24" s="1"/>
  <c r="W64" i="24" s="1"/>
  <c r="X64" i="24" s="1"/>
  <c r="Y64" i="24" s="1"/>
  <c r="Z64" i="24" s="1"/>
  <c r="U72" i="24"/>
  <c r="V72" i="24" s="1"/>
  <c r="W72" i="24" s="1"/>
  <c r="X72" i="24" s="1"/>
  <c r="Y72" i="24" s="1"/>
  <c r="Z72" i="24" s="1"/>
  <c r="AA72" i="24"/>
  <c r="U65" i="24"/>
  <c r="V65" i="24" s="1"/>
  <c r="W65" i="24" s="1"/>
  <c r="X65" i="24" s="1"/>
  <c r="Y65" i="24" s="1"/>
  <c r="Z65" i="24" s="1"/>
  <c r="AA65" i="24"/>
  <c r="U73" i="24"/>
  <c r="V73" i="24" s="1"/>
  <c r="W73" i="24" s="1"/>
  <c r="X73" i="24" s="1"/>
  <c r="Y73" i="24" s="1"/>
  <c r="Z73" i="24" s="1"/>
  <c r="F8" i="24"/>
  <c r="F23" i="24"/>
  <c r="F118" i="24"/>
  <c r="T71" i="24"/>
  <c r="T74" i="24"/>
  <c r="T77" i="24"/>
  <c r="T75" i="24"/>
  <c r="AA75" i="24" s="1"/>
  <c r="F108" i="24"/>
  <c r="F90" i="24"/>
  <c r="F142" i="24"/>
  <c r="F119" i="24"/>
  <c r="F84" i="24"/>
  <c r="F113" i="24"/>
  <c r="F80" i="24"/>
  <c r="AC38" i="24"/>
  <c r="AD38" i="24" s="1"/>
  <c r="AM17" i="24"/>
  <c r="AO16" i="24"/>
  <c r="F6" i="33" l="1"/>
  <c r="G6" i="33" s="1"/>
  <c r="H6" i="33"/>
  <c r="I7" i="33"/>
  <c r="K7" i="33" s="1"/>
  <c r="K6" i="33"/>
  <c r="K5" i="33"/>
  <c r="D2" i="33"/>
  <c r="J3" i="33"/>
  <c r="F5" i="33"/>
  <c r="D5" i="33"/>
  <c r="F4" i="33"/>
  <c r="D4" i="33"/>
  <c r="J6" i="33"/>
  <c r="L6" i="33" s="1"/>
  <c r="J7" i="33"/>
  <c r="AJ41" i="24"/>
  <c r="AH38" i="24"/>
  <c r="AI38" i="24"/>
  <c r="AH39" i="24"/>
  <c r="AI39" i="24"/>
  <c r="AI40" i="24"/>
  <c r="AK40" i="24" s="1"/>
  <c r="AF40" i="24"/>
  <c r="AG40" i="24" s="1"/>
  <c r="AJ40" i="24" s="1"/>
  <c r="AL40" i="24" s="1"/>
  <c r="AF39" i="24"/>
  <c r="AG39" i="24" s="1"/>
  <c r="AJ39" i="24" s="1"/>
  <c r="AF38" i="24"/>
  <c r="AG38" i="24" s="1"/>
  <c r="AC37" i="24"/>
  <c r="P71" i="24"/>
  <c r="U71" i="24" s="1"/>
  <c r="V71" i="24" s="1"/>
  <c r="W71" i="24" s="1"/>
  <c r="X71" i="24" s="1"/>
  <c r="Y71" i="24" s="1"/>
  <c r="Z71" i="24" s="1"/>
  <c r="AA71" i="24"/>
  <c r="P74" i="24"/>
  <c r="U74" i="24" s="1"/>
  <c r="V74" i="24" s="1"/>
  <c r="W74" i="24" s="1"/>
  <c r="X74" i="24" s="1"/>
  <c r="Y74" i="24" s="1"/>
  <c r="Z74" i="24" s="1"/>
  <c r="AA74" i="24"/>
  <c r="P77" i="24"/>
  <c r="U77" i="24" s="1"/>
  <c r="V77" i="24" s="1"/>
  <c r="W77" i="24" s="1"/>
  <c r="X77" i="24" s="1"/>
  <c r="Y77" i="24" s="1"/>
  <c r="Z77" i="24" s="1"/>
  <c r="AA77" i="24"/>
  <c r="P75" i="24"/>
  <c r="U75" i="24" s="1"/>
  <c r="V75" i="24" s="1"/>
  <c r="W75" i="24" s="1"/>
  <c r="X75" i="24" s="1"/>
  <c r="Y75" i="24" s="1"/>
  <c r="Z75" i="24" s="1"/>
  <c r="AR16" i="24"/>
  <c r="AR17" i="24" s="1"/>
  <c r="F56" i="24"/>
  <c r="F48" i="24"/>
  <c r="F13" i="24"/>
  <c r="F41" i="24"/>
  <c r="F39" i="24"/>
  <c r="AR26" i="24"/>
  <c r="AR27" i="24" s="1"/>
  <c r="AT27" i="24" s="1"/>
  <c r="AT25" i="24"/>
  <c r="AT24" i="24"/>
  <c r="AT23" i="24"/>
  <c r="AT22" i="24"/>
  <c r="AW26" i="24"/>
  <c r="AW27" i="24" s="1"/>
  <c r="AY27" i="24" s="1"/>
  <c r="AY25" i="24"/>
  <c r="AY24" i="24"/>
  <c r="AY23" i="24"/>
  <c r="AY22" i="24"/>
  <c r="F81" i="24"/>
  <c r="V39" i="24"/>
  <c r="W39" i="24" s="1"/>
  <c r="G4" i="33" l="1"/>
  <c r="J4" i="33" s="1"/>
  <c r="L4" i="33" s="1"/>
  <c r="G5" i="33"/>
  <c r="J5" i="33" s="1"/>
  <c r="L5" i="33" s="1"/>
  <c r="L7" i="33"/>
  <c r="AK41" i="24"/>
  <c r="AL41" i="24" s="1"/>
  <c r="AJ38" i="24"/>
  <c r="AF36" i="24"/>
  <c r="AD37" i="24"/>
  <c r="AF37" i="24"/>
  <c r="AG37" i="24" s="1"/>
  <c r="AT26" i="24"/>
  <c r="AS26" i="24" s="1"/>
  <c r="AU27" i="24" s="1"/>
  <c r="AY26" i="24"/>
  <c r="AX26" i="24" s="1"/>
  <c r="AZ27" i="24" s="1"/>
  <c r="F4" i="24"/>
  <c r="F87" i="24"/>
  <c r="F88" i="24"/>
  <c r="F6" i="24"/>
  <c r="F96" i="24"/>
  <c r="F146" i="24"/>
  <c r="F44" i="24"/>
  <c r="F61" i="24"/>
  <c r="F112" i="24"/>
  <c r="F15" i="24"/>
  <c r="F121" i="24"/>
  <c r="F149" i="24"/>
  <c r="F43" i="24"/>
  <c r="F20" i="24"/>
  <c r="F150" i="24"/>
  <c r="F144" i="24"/>
  <c r="F110" i="24"/>
  <c r="BD15" i="24" l="1"/>
  <c r="F12" i="24"/>
  <c r="AW52" i="24"/>
  <c r="AW53" i="24" s="1"/>
  <c r="AY53" i="24" s="1"/>
  <c r="AM18" i="24"/>
  <c r="AO18" i="24" s="1"/>
  <c r="AT17" i="24"/>
  <c r="AW16" i="24"/>
  <c r="AW17" i="24" s="1"/>
  <c r="AY17" i="24" s="1"/>
  <c r="V11" i="24"/>
  <c r="F98" i="24"/>
  <c r="F65" i="24"/>
  <c r="F58" i="24"/>
  <c r="AC24" i="24"/>
  <c r="AD30" i="24"/>
  <c r="AY48" i="24"/>
  <c r="AO12" i="24"/>
  <c r="AT12" i="24"/>
  <c r="AY12" i="24"/>
  <c r="Z8" i="24"/>
  <c r="AA14" i="24"/>
  <c r="F17" i="24"/>
  <c r="AY15" i="24"/>
  <c r="AY14" i="24"/>
  <c r="AY13" i="24"/>
  <c r="AT15" i="24"/>
  <c r="AT14" i="24"/>
  <c r="AT13" i="24"/>
  <c r="F29" i="24"/>
  <c r="F147" i="24"/>
  <c r="AO15" i="24"/>
  <c r="AO14" i="24"/>
  <c r="AO13" i="24"/>
  <c r="F132" i="24"/>
  <c r="F78" i="24"/>
  <c r="AY50" i="24"/>
  <c r="AY51" i="24"/>
  <c r="AY49" i="24"/>
  <c r="F101" i="24"/>
  <c r="F123" i="24"/>
  <c r="F136" i="24"/>
  <c r="R26" i="24"/>
  <c r="R25" i="24"/>
  <c r="F16" i="24"/>
  <c r="F36" i="24"/>
  <c r="F69" i="24"/>
  <c r="F30" i="24"/>
  <c r="T21" i="24"/>
  <c r="T20" i="24"/>
  <c r="T19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20" i="24"/>
  <c r="Y19" i="24"/>
  <c r="P7" i="24"/>
  <c r="F27" i="24"/>
  <c r="F47" i="24"/>
  <c r="F57" i="24"/>
  <c r="F114" i="24"/>
  <c r="F127" i="24"/>
  <c r="F117" i="24"/>
  <c r="F107" i="24"/>
  <c r="F120" i="24"/>
  <c r="F68" i="24"/>
  <c r="F85" i="24"/>
  <c r="F51" i="24"/>
  <c r="F133" i="24"/>
  <c r="F122" i="24"/>
  <c r="F134" i="24"/>
  <c r="F95" i="24"/>
  <c r="F99" i="24"/>
  <c r="F129" i="24"/>
  <c r="F141" i="24"/>
  <c r="F138" i="24"/>
  <c r="F139" i="24"/>
  <c r="F140" i="24"/>
  <c r="F152" i="24"/>
  <c r="V10" i="24"/>
  <c r="O18" i="24"/>
  <c r="V9" i="24"/>
  <c r="V8" i="24"/>
  <c r="AY16" i="24" l="1"/>
  <c r="AX16" i="24" s="1"/>
  <c r="AZ17" i="24" s="1"/>
  <c r="AO17" i="24"/>
  <c r="AN17" i="24" s="1"/>
  <c r="AP18" i="24" s="1"/>
  <c r="AT16" i="24"/>
  <c r="AS16" i="24" s="1"/>
  <c r="AU17" i="24" s="1"/>
  <c r="AY52" i="24"/>
  <c r="AX52" i="24" s="1"/>
  <c r="AZ53" i="24" s="1"/>
  <c r="P6" i="24" l="1"/>
  <c r="P8" i="24"/>
  <c r="P9" i="24"/>
  <c r="P10" i="24"/>
  <c r="P11" i="24"/>
  <c r="P12" i="24"/>
  <c r="P5" i="24"/>
  <c r="P4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  <c r="AN95" i="24"/>
  <c r="AO99" i="24"/>
  <c r="AN99" i="24" s="1"/>
  <c r="AP100" i="24" s="1"/>
  <c r="AN96" i="24"/>
  <c r="AN98" i="24"/>
  <c r="AN97" i="24"/>
  <c r="AT104" i="24"/>
  <c r="AT105" i="24"/>
  <c r="AT107" i="24"/>
  <c r="AS107" i="24" s="1"/>
  <c r="AU108" i="24" s="1"/>
  <c r="AT106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<sst xmlns="http://schemas.openxmlformats.org/spreadsheetml/2006/main" count="6805" uniqueCount="2466">
  <si>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</si>
  <si>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</si>
  <si>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</si>
  <si>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</si>
  <si>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</si>
  <si>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</si>
  <si>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</si>
  <si>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</si>
  <si>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</si>
  <si>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</si>
  <si>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</si>
  <si>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</si>
  <si>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</si>
  <si>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</si>
  <si>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</si>
  <si>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</si>
  <si>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</si>
  <si>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</si>
  <si>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</si>
  <si>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</si>
  <si>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</si>
  <si>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</si>
  <si>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</si>
  <si>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</si>
  <si>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</si>
  <si>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</si>
  <si>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</si>
  <si>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</si>
  <si>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</si>
  <si>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</si>
  <si>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</si>
  <si>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</si>
  <si>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</si>
  <si>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</si>
  <si>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</si>
  <si>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</si>
  <si>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</si>
  <si>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</si>
  <si>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</si>
  <si>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</si>
  <si>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</si>
  <si>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</si>
  <si>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</si>
  <si>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</si>
  <si>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</si>
  <si>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</si>
  <si>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</si>
  <si>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</si>
  <si>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</si>
  <si>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</si>
  <si>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</si>
  <si>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</si>
  <si>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</si>
  <si>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</si>
  <si>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</si>
  <si>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</si>
  <si>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</si>
  <si>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</si>
  <si>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</si>
  <si>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</si>
  <si>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</si>
  <si>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</si>
  <si>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</si>
  <si>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</si>
  <si>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</si>
  <si>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</si>
  <si>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</si>
  <si>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</si>
  <si>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</si>
  <si>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</si>
  <si>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</si>
  <si>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</si>
  <si>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</si>
  <si>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</si>
  <si>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</si>
  <si>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</si>
  <si>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</si>
  <si>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</si>
  <si>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</si>
  <si>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</si>
  <si>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</si>
  <si>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</si>
  <si>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</si>
  <si>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</si>
  <si>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</si>
  <si>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</si>
  <si>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</si>
  <si>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</si>
  <si>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</si>
  <si>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</si>
  <si>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</si>
  <si>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</si>
  <si>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</si>
  <si>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</si>
  <si>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</si>
  <si>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</si>
  <si>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</si>
  <si>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</si>
  <si>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</si>
  <si>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</si>
  <si>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</si>
  <si>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</si>
  <si>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</si>
  <si>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</si>
  <si>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</si>
  <si>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</si>
  <si>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</si>
  <si>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</si>
  <si>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</si>
  <si>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</si>
  <si>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</si>
  <si>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</si>
  <si>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</si>
  <si>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</si>
  <si>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</si>
  <si>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</si>
  <si>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</si>
  <si>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</si>
  <si>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</si>
  <si>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</si>
  <si>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</si>
  <si>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</si>
  <si>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</si>
  <si>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</si>
  <si>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</si>
  <si>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</si>
  <si>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</si>
  <si>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</si>
  <si>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</si>
  <si>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</si>
  <si>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</si>
  <si>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</si>
  <si>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</si>
  <si>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</si>
  <si>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</si>
  <si>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</si>
  <si>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</si>
  <si>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</si>
  <si>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</si>
  <si>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</si>
  <si>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</si>
  <si>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</si>
  <si>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</si>
  <si>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</si>
  <si>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</si>
  <si>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</si>
  <si>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</si>
  <si>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</si>
  <si>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</si>
  <si>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</si>
  <si>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</si>
  <si>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</si>
  <si>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</si>
  <si>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</si>
  <si>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</si>
  <si>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</si>
  <si>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</si>
  <si>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</si>
  <si>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</si>
  <si>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</si>
  <si>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</si>
  <si>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</si>
  <si>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</si>
  <si>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</si>
  <si>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</si>
  <si>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</si>
  <si>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</si>
  <si>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</si>
  <si>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</si>
  <si>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</si>
  <si>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</si>
  <si>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</si>
  <si>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</si>
  <si>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</si>
  <si>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</si>
  <si>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</si>
  <si>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</si>
  <si>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</si>
  <si>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</si>
  <si>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</si>
  <si>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</si>
  <si>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</si>
  <si>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</si>
  <si>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</si>
  <si>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</si>
  <si>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</si>
  <si>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</si>
  <si>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</si>
  <si>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</si>
  <si>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</si>
  <si>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</si>
  <si>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</si>
  <si>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</si>
  <si>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</si>
  <si>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</si>
  <si>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</si>
  <si>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</si>
  <si>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</si>
  <si>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</si>
  <si>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</si>
  <si>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</si>
  <si>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</si>
  <si>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</si>
  <si>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</si>
  <si>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</si>
  <si>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</si>
  <si>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</si>
  <si>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</si>
  <si>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</si>
  <si>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</si>
  <si>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</si>
  <si>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</si>
  <si>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</si>
  <si>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</si>
  <si>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</si>
  <si>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</si>
  <si>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</si>
  <si>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</si>
  <si>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</si>
  <si>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</si>
  <si>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</si>
  <si>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</si>
  <si>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</si>
  <si>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</si>
  <si>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</si>
  <si>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</si>
  <si>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</si>
  <si>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</si>
  <si>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</si>
  <si>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</si>
  <si>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</si>
  <si>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</si>
  <si>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</si>
  <si>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</si>
  <si>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</si>
  <si>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</si>
  <si>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</si>
  <si>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</si>
  <si>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</si>
  <si>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</si>
  <si>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</si>
  <si>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</si>
  <si>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</si>
  <si>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</si>
  <si>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</si>
  <si>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</si>
  <si>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</si>
  <si>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</si>
  <si>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</si>
  <si>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</si>
  <si>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</si>
  <si>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</si>
  <si>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</si>
  <si>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</si>
  <si>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</si>
  <si>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</si>
  <si>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</si>
  <si>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</si>
  <si>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</si>
  <si>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</si>
  <si>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</si>
  <si>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</si>
  <si>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</si>
  <si>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</si>
  <si>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</si>
  <si>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</si>
  <si>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</si>
  <si>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</si>
  <si>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</si>
  <si>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</si>
  <si>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</si>
  <si>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</si>
  <si>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</si>
  <si>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</si>
  <si>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</si>
  <si>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</si>
  <si>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</si>
  <si>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</si>
  <si>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</si>
  <si>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</si>
  <si>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</si>
  <si>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</si>
  <si>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</si>
  <si>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</si>
  <si>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</si>
  <si>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</si>
  <si>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</si>
  <si>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</si>
  <si>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</si>
  <si>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</si>
  <si>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</si>
  <si>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</si>
  <si>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</si>
  <si>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</si>
  <si>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</si>
  <si>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</si>
  <si>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</si>
  <si>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</si>
  <si>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</si>
  <si>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</si>
  <si>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</si>
  <si>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</si>
  <si>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</si>
  <si>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</si>
  <si>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</si>
  <si>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</si>
  <si>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</si>
  <si>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</si>
  <si>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</si>
  <si>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</si>
  <si>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</si>
  <si>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</si>
  <si>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</si>
  <si>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</si>
  <si>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</si>
  <si>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</si>
  <si>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</si>
  <si>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</si>
  <si>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</si>
  <si>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</si>
  <si>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</si>
  <si>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</si>
  <si>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</si>
  <si>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</si>
  <si>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</si>
  <si>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</si>
  <si>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</si>
  <si>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</si>
  <si>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</si>
  <si>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</si>
  <si>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</si>
  <si>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</si>
  <si>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</si>
  <si>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</si>
  <si>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</si>
  <si>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</si>
  <si>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</si>
  <si>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</si>
  <si>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</si>
  <si>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</si>
  <si>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</si>
  <si>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</si>
  <si>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</si>
  <si>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</si>
  <si>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</si>
  <si>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</si>
  <si>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</si>
  <si>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</si>
  <si>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</si>
  <si>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</si>
  <si>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</si>
  <si>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</si>
  <si>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</si>
  <si>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</si>
  <si>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</si>
  <si>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</si>
  <si>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</si>
  <si>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</si>
  <si>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</si>
  <si>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</si>
  <si>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</si>
  <si>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</si>
  <si>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</si>
  <si>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</si>
  <si>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</si>
  <si>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</si>
  <si>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</si>
  <si>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</si>
  <si>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</si>
  <si>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</si>
  <si>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</si>
  <si>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</si>
  <si>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</si>
  <si>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</si>
  <si>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</si>
  <si>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</si>
  <si>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</si>
  <si>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</si>
  <si>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</si>
  <si>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</si>
  <si>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</si>
  <si>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</si>
  <si>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</si>
  <si>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</si>
  <si>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</si>
  <si>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</si>
  <si>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</si>
  <si>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</si>
  <si>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</si>
  <si>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</si>
  <si>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</si>
  <si>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</si>
  <si>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</si>
  <si>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</si>
  <si>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</si>
  <si>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</si>
  <si>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</si>
  <si>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</si>
  <si>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</si>
  <si>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</si>
  <si>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</si>
  <si>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</si>
  <si>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</si>
  <si>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</si>
  <si>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</si>
  <si>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</si>
  <si>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</si>
  <si>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</si>
  <si>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</si>
  <si>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</si>
  <si>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</si>
  <si>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</si>
  <si>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</si>
  <si>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</si>
  <si>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</si>
  <si>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</si>
  <si>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</si>
  <si>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</si>
  <si>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</si>
  <si>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</si>
  <si>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</si>
  <si>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</si>
  <si>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</si>
  <si>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</si>
  <si>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</si>
  <si>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</si>
  <si>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</si>
  <si>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</si>
  <si>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</si>
  <si>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</si>
  <si>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</si>
  <si>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</si>
  <si>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</si>
  <si>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</si>
  <si>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</si>
  <si>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</si>
  <si>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</si>
  <si>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</si>
  <si>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</si>
  <si>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</si>
  <si>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</si>
  <si>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</si>
  <si>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</si>
  <si>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</si>
  <si>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</si>
  <si>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</si>
  <si>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</si>
  <si>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</si>
  <si>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</si>
  <si>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</si>
  <si>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</si>
  <si>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</si>
  <si>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</si>
  <si>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</si>
  <si>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</si>
  <si>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</si>
  <si>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</si>
  <si>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</si>
  <si>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</si>
  <si>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</si>
  <si>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</si>
  <si>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</si>
  <si>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</si>
  <si>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</si>
  <si>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</si>
  <si>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</si>
  <si>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</si>
  <si>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</si>
  <si>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</si>
  <si>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</si>
  <si>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</si>
  <si>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</si>
  <si>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</si>
  <si>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</si>
  <si>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</si>
  <si>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</si>
  <si>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</si>
  <si>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</si>
  <si>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</si>
  <si>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</si>
  <si>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</si>
  <si>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</si>
  <si>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</si>
  <si>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</si>
  <si>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</si>
  <si>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</si>
  <si>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</si>
  <si>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</si>
  <si>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</si>
  <si>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</si>
  <si>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</si>
  <si>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</si>
  <si>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</si>
  <si>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</si>
  <si>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</si>
  <si>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</si>
  <si>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</si>
  <si>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</si>
  <si>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</si>
  <si>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</si>
  <si>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</si>
  <si>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</si>
  <si>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</si>
  <si>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</si>
  <si>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</si>
  <si>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</si>
  <si>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</si>
  <si>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</si>
  <si>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</si>
  <si>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</si>
  <si>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</si>
  <si>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</si>
  <si>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</si>
  <si>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</si>
  <si>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</si>
  <si>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</si>
  <si>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</si>
  <si>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</si>
  <si>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</si>
  <si>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</si>
  <si>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</si>
  <si>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</si>
  <si>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</si>
  <si>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</si>
  <si>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</si>
  <si>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</si>
  <si>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</si>
  <si>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</si>
  <si>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</si>
  <si>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</si>
  <si>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</si>
  <si>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</si>
  <si>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</si>
  <si>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</si>
  <si>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</si>
  <si>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</si>
  <si>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</si>
  <si>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</si>
  <si>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</si>
  <si>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</si>
  <si>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</si>
  <si>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</si>
  <si>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</si>
  <si>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</si>
  <si>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</si>
  <si>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</si>
  <si>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</si>
  <si>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</si>
  <si>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</si>
  <si>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</si>
  <si>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</si>
  <si>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</si>
  <si>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</si>
  <si>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</si>
  <si>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</si>
  <si>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</si>
  <si>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</si>
  <si>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</si>
  <si>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</si>
  <si>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</si>
  <si>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</si>
  <si>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</si>
  <si>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</si>
  <si>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</si>
  <si>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</si>
  <si>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</si>
  <si>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</si>
  <si>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</si>
  <si>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</si>
  <si>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</si>
  <si>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</si>
  <si>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</si>
  <si>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</si>
  <si>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</si>
  <si>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</si>
  <si>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</si>
  <si>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</si>
  <si>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</si>
  <si>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</si>
  <si>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</si>
  <si>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</si>
  <si>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</si>
  <si>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</si>
  <si>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</si>
  <si>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</si>
  <si>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</si>
  <si>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</si>
  <si>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</si>
  <si>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</si>
  <si>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</si>
  <si>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</si>
  <si>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</si>
  <si>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</si>
  <si>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</si>
  <si>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</si>
  <si>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</si>
  <si>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</si>
  <si>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</si>
  <si>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</si>
  <si>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</si>
  <si>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</si>
  <si>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</si>
  <si>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</si>
  <si>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</si>
  <si>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</si>
  <si>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</si>
  <si>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</si>
  <si>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</si>
  <si>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</si>
  <si>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</si>
  <si>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</si>
  <si>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</si>
  <si>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</si>
  <si>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</si>
  <si>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</si>
  <si>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</si>
  <si>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</si>
  <si>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</si>
  <si>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</si>
  <si>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</si>
  <si>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</si>
  <si>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</si>
  <si>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</si>
  <si>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</si>
  <si>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</si>
  <si>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</si>
  <si>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</si>
  <si>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</si>
  <si>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</si>
  <si>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</si>
  <si>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</si>
  <si>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</si>
  <si>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</si>
  <si>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</si>
  <si>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</si>
  <si>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</si>
  <si>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</si>
  <si>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</si>
  <si>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</si>
  <si>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</si>
  <si>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</si>
  <si>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</si>
  <si>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</si>
  <si>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</si>
  <si>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</si>
  <si>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</si>
  <si>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</si>
  <si>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</si>
  <si>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</si>
  <si>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</si>
  <si>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</si>
  <si>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</si>
  <si>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</si>
  <si>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</si>
  <si>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</si>
  <si>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</si>
  <si>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</si>
  <si>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</si>
  <si>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</si>
  <si>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</si>
  <si>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</si>
  <si>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</si>
  <si>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</si>
  <si>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</si>
  <si>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</si>
  <si>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</si>
  <si>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</si>
  <si>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</si>
  <si>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</si>
  <si>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</si>
  <si>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</si>
  <si>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</si>
  <si>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</si>
  <si>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</si>
  <si>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</si>
  <si>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</si>
  <si>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</si>
  <si>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</si>
  <si>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</si>
  <si>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</si>
  <si>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</si>
  <si>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</si>
  <si>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</si>
  <si>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</si>
  <si>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</si>
  <si>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</si>
  <si>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</si>
  <si>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</si>
  <si>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</si>
  <si>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</si>
  <si>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</si>
  <si>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</si>
  <si>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</si>
  <si>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</si>
  <si>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</si>
  <si>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</si>
  <si>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</si>
  <si>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</si>
  <si>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</si>
  <si>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</si>
  <si>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</si>
  <si>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</si>
  <si>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</si>
  <si>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</si>
  <si>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</si>
  <si>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</si>
  <si>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</si>
  <si>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</si>
  <si>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</si>
  <si>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</si>
  <si>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</si>
  <si>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</si>
  <si>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</si>
  <si>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</si>
  <si>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</si>
  <si>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</si>
  <si>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</si>
  <si>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</si>
  <si>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</si>
  <si>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</si>
  <si>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</si>
  <si>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</si>
  <si>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</si>
  <si>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</si>
  <si>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</si>
  <si>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</si>
  <si>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</si>
  <si>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</si>
  <si>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</si>
  <si>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</si>
  <si>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</si>
  <si>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</si>
  <si>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</si>
  <si>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</si>
  <si>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</si>
  <si>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</si>
  <si>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</si>
  <si>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</si>
  <si>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</si>
  <si>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</si>
  <si>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</si>
  <si>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</si>
  <si>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</si>
  <si>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</si>
  <si>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</si>
  <si>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</si>
  <si>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</si>
  <si>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</si>
  <si>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</si>
  <si>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</si>
  <si>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</si>
  <si>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</si>
  <si>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</si>
  <si>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</si>
  <si>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</si>
  <si>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</si>
  <si>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</si>
  <si>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</si>
  <si>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</si>
  <si>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</si>
  <si>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</si>
  <si>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</si>
  <si>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</si>
  <si>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</si>
  <si>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</si>
  <si>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</si>
  <si>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</si>
  <si>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</si>
  <si>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</si>
  <si>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</si>
  <si>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</si>
  <si>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</si>
  <si>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</si>
  <si>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</si>
  <si>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</si>
  <si>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</si>
  <si>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</si>
  <si>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</si>
  <si>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</si>
  <si>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</si>
  <si>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</si>
  <si>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</si>
  <si>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</si>
  <si>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</si>
  <si>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</si>
  <si>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</si>
  <si>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</si>
  <si>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</si>
  <si>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</si>
  <si>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</si>
  <si>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</si>
  <si>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</si>
  <si>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</si>
  <si>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</si>
  <si>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</si>
  <si>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</si>
  <si>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</si>
  <si>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</si>
  <si>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</si>
  <si>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</si>
  <si>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</si>
  <si>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</si>
  <si>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</si>
  <si>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</si>
  <si>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</si>
  <si>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</si>
  <si>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</si>
  <si>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</si>
  <si>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</si>
  <si>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</si>
  <si>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</si>
  <si>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</si>
  <si>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</si>
  <si>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</si>
  <si>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</si>
  <si>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</si>
  <si>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</si>
  <si>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</si>
  <si>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</si>
  <si>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</si>
  <si>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</si>
  <si>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</si>
  <si>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</si>
  <si>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</si>
  <si>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</si>
  <si>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</si>
  <si>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</si>
  <si>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</si>
  <si>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</si>
  <si>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</si>
  <si>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</si>
  <si>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</si>
  <si>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</si>
  <si>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</si>
  <si>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</si>
  <si>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</si>
  <si>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</si>
  <si>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</si>
  <si>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</si>
  <si>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</si>
  <si>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</si>
  <si>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</si>
  <si>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</si>
  <si>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</si>
  <si>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</si>
  <si>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</si>
  <si>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</si>
  <si>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</si>
  <si>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</si>
  <si>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</si>
  <si>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</si>
  <si>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</si>
  <si>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</si>
  <si>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</si>
  <si>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</si>
  <si>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</si>
  <si>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</si>
  <si>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</si>
  <si>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</si>
  <si>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</si>
  <si>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</si>
  <si>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</si>
  <si>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</si>
  <si>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</si>
  <si>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</si>
  <si>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</si>
  <si>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</si>
  <si>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</si>
  <si>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</si>
  <si>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</si>
  <si>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</si>
  <si>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</si>
  <si>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</si>
  <si>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</si>
  <si>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</si>
  <si>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</si>
  <si>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</si>
  <si>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</si>
  <si>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</si>
  <si>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</si>
  <si>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</si>
  <si>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</si>
  <si>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</si>
  <si>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</si>
  <si>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</si>
  <si>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</si>
  <si>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</si>
  <si>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</si>
  <si>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</si>
  <si>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</si>
  <si>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</si>
  <si>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</si>
  <si>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</si>
  <si>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</si>
  <si>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</si>
  <si>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</si>
  <si>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</si>
  <si>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</si>
  <si>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</si>
  <si>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</si>
  <si>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</si>
  <si>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</si>
  <si>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</si>
  <si>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</si>
  <si>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</si>
  <si>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</si>
  <si>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</si>
  <si>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</si>
  <si>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</si>
  <si>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</si>
  <si>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</si>
  <si>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</si>
  <si>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</si>
  <si>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</si>
  <si>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</si>
  <si>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</si>
  <si>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</si>
  <si>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</si>
  <si>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</si>
  <si>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</si>
  <si>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</si>
  <si>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</si>
  <si>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</si>
  <si>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</si>
  <si>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</si>
  <si>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</si>
  <si>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</si>
  <si>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</si>
  <si>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</si>
  <si>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</si>
  <si>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</si>
  <si>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</si>
  <si>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</si>
  <si>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</si>
  <si>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</si>
  <si>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</si>
  <si>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</si>
  <si>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</si>
  <si>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</si>
  <si>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</si>
  <si>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</si>
  <si>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</si>
  <si>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</si>
  <si>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</si>
  <si>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</si>
  <si>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</si>
  <si>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</si>
  <si>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</si>
  <si>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</si>
  <si>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</si>
  <si>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</si>
  <si>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</si>
  <si>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</si>
  <si>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</si>
  <si>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</si>
  <si>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</si>
  <si>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</si>
  <si>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</si>
  <si>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</si>
  <si>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</si>
  <si>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</si>
  <si>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</si>
  <si>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</si>
  <si>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</si>
  <si>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</si>
  <si>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</si>
  <si>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</si>
  <si>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</si>
  <si>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</si>
  <si>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</si>
  <si>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</si>
  <si>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</si>
  <si>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</si>
  <si>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</si>
  <si>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</si>
  <si>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</si>
  <si>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</si>
  <si>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</si>
  <si>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</si>
  <si>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</si>
  <si>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</si>
  <si>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</si>
  <si>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</si>
  <si>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</si>
  <si>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</si>
  <si>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</si>
  <si>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</si>
  <si>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</si>
  <si>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</si>
  <si>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</si>
  <si>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</si>
  <si>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</si>
  <si>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</si>
  <si>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</si>
  <si>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</si>
  <si>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</si>
  <si>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</si>
  <si>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</si>
  <si>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</si>
  <si>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</si>
  <si>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</si>
  <si>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</si>
  <si>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</si>
  <si>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</si>
  <si>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</si>
  <si>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</si>
  <si>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</si>
  <si>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</si>
  <si>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</si>
  <si>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</si>
  <si>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</si>
  <si>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</si>
  <si>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</si>
  <si>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</si>
  <si>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</si>
  <si>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</si>
  <si>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</si>
  <si>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</si>
  <si>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</si>
  <si>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</si>
  <si>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</si>
  <si>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</si>
  <si>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</si>
  <si>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</si>
  <si>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</si>
  <si>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</si>
  <si>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</si>
  <si>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</si>
  <si>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</si>
  <si>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</si>
  <si>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</si>
  <si>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</si>
  <si>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</si>
  <si>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</si>
  <si>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</si>
  <si>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</si>
  <si>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</si>
  <si>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</si>
  <si>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</si>
  <si>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</si>
  <si>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</si>
  <si>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</si>
  <si>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</si>
  <si>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</si>
  <si>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</si>
  <si>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</si>
  <si>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</si>
  <si>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</si>
  <si>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</si>
  <si>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</si>
  <si>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</si>
  <si>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</si>
  <si>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</si>
  <si>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</si>
  <si>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</si>
  <si>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</si>
  <si>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</si>
  <si>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</si>
  <si>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</si>
  <si>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</si>
  <si>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</si>
  <si>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</si>
  <si>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</si>
  <si>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</si>
  <si>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</si>
  <si>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</si>
  <si>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</si>
  <si>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</si>
  <si>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</si>
  <si>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</si>
  <si>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</si>
  <si>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</si>
  <si>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</si>
  <si>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</si>
  <si>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</si>
  <si>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</si>
  <si>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</si>
  <si>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</si>
  <si>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</si>
  <si>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</si>
  <si>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</si>
  <si>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</si>
  <si>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</si>
  <si>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</si>
  <si>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</si>
  <si>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</si>
  <si>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</si>
  <si>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</si>
  <si>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</si>
  <si>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</si>
  <si>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</si>
  <si>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</si>
  <si>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</si>
  <si>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</si>
  <si>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</si>
  <si>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</si>
  <si>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</si>
  <si>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</si>
  <si>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</si>
  <si>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</si>
  <si>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</si>
  <si>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</si>
  <si>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</si>
  <si>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</si>
  <si>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</si>
  <si>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</si>
  <si>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</si>
  <si>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</si>
  <si>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</si>
  <si>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</si>
  <si>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</si>
  <si>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</si>
  <si>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</si>
  <si>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</si>
  <si>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</si>
  <si>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</si>
  <si>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</si>
  <si>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</si>
  <si>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</si>
  <si>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</si>
  <si>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</si>
  <si>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</si>
  <si>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</si>
  <si>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</si>
  <si>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</si>
  <si>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</si>
  <si>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</si>
  <si>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</si>
  <si>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</si>
  <si>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</si>
  <si>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</si>
  <si>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</si>
  <si>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</si>
  <si>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</si>
  <si>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</si>
  <si>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</si>
  <si>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</si>
  <si>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</si>
  <si>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</si>
  <si>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</si>
  <si>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</si>
  <si>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</si>
  <si>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</si>
  <si>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</si>
  <si>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</si>
  <si>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</si>
  <si>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</si>
  <si>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</si>
  <si>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</si>
  <si>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</si>
  <si>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</si>
  <si>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</si>
  <si>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</si>
  <si>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</si>
  <si>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</si>
  <si>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</si>
  <si>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</si>
  <si>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</si>
  <si>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</si>
  <si>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</si>
  <si>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</si>
  <si>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</si>
  <si>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</si>
  <si>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</si>
  <si>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</si>
  <si>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</si>
  <si>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</si>
  <si>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</si>
  <si>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</si>
  <si>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</si>
  <si>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</si>
  <si>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</si>
  <si>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</si>
  <si>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</si>
  <si>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</si>
  <si>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</si>
  <si>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</si>
  <si>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</si>
  <si>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</si>
  <si>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</si>
  <si>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</si>
  <si>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</si>
  <si>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</si>
  <si>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</si>
  <si>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</si>
  <si>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</si>
  <si>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</si>
  <si>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</si>
  <si>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</si>
  <si>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</si>
  <si>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</si>
  <si>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</si>
  <si>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</si>
  <si>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</si>
  <si>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</si>
  <si>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</si>
  <si>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</si>
  <si>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</si>
  <si>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</si>
  <si>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</si>
  <si>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</si>
  <si>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</si>
  <si>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</si>
  <si>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</si>
  <si>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</si>
  <si>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</si>
  <si>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</si>
  <si>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</si>
  <si>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</si>
  <si>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</si>
  <si>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</si>
  <si>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</si>
  <si>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</si>
  <si>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</si>
  <si>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</si>
  <si>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</si>
  <si>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</si>
  <si>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</si>
  <si>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</si>
  <si>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</si>
  <si>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</si>
  <si>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</si>
  <si>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</si>
  <si>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</si>
  <si>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</si>
  <si>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</si>
  <si>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</si>
  <si>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</si>
  <si>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</si>
  <si>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</si>
  <si>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</si>
  <si>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</si>
  <si>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</si>
  <si>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</si>
  <si>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</si>
  <si>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</si>
  <si>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</si>
  <si>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</si>
  <si>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</si>
  <si>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</si>
  <si>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</si>
  <si>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</si>
  <si>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</si>
  <si>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</si>
  <si>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</si>
  <si>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</si>
  <si>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</si>
  <si>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</si>
  <si>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</si>
  <si>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</si>
  <si>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</si>
  <si>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</si>
  <si>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</si>
  <si>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</si>
  <si>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</si>
  <si>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</si>
  <si>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</si>
  <si>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</si>
  <si>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</si>
  <si>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</si>
  <si>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</si>
  <si>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</si>
  <si>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</si>
  <si>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</si>
  <si>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</si>
  <si>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</si>
  <si>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</si>
  <si>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</si>
  <si>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</si>
  <si>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</si>
  <si>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</si>
  <si>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</si>
  <si>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</si>
  <si>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</si>
  <si>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</si>
  <si>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</si>
  <si>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</si>
  <si>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</si>
  <si>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</si>
  <si>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</si>
  <si>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</si>
  <si>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</si>
  <si>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</si>
  <si>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</si>
  <si>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</si>
  <si>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</si>
  <si>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</si>
  <si>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</si>
  <si>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</si>
  <si>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</si>
  <si>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</si>
  <si>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</si>
  <si>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</si>
  <si>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</si>
  <si>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</si>
  <si>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</si>
  <si>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</si>
  <si>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</si>
  <si>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</si>
  <si>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</si>
  <si>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</si>
  <si>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</si>
  <si>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</si>
  <si>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</si>
  <si>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</si>
  <si>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</si>
  <si>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</si>
  <si>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</si>
  <si>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</si>
  <si>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</si>
  <si>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</si>
  <si>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</si>
  <si>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</si>
  <si>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</si>
  <si>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</si>
  <si>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</si>
  <si>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</si>
  <si>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</si>
  <si>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</si>
  <si>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</si>
  <si>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</si>
  <si>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</si>
  <si>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</si>
  <si>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</si>
  <si>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</si>
  <si>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</si>
  <si>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</si>
  <si>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</si>
  <si>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</si>
  <si>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</si>
  <si>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</si>
  <si>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</si>
  <si>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</si>
  <si>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</si>
  <si>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</si>
  <si>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</si>
  <si>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</si>
  <si>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</si>
  <si>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</si>
  <si>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</si>
  <si>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</si>
  <si>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</si>
  <si>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</si>
  <si>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</si>
  <si>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</si>
  <si>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</si>
  <si>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</si>
  <si>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</si>
  <si>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</si>
  <si>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</si>
  <si>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</si>
  <si>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</si>
  <si>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</si>
  <si>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</si>
  <si>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</si>
  <si>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</si>
  <si>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</si>
  <si>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</si>
  <si>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</si>
  <si>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</si>
  <si>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</si>
  <si>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</si>
  <si>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</si>
  <si>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</si>
  <si>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</si>
  <si>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</si>
  <si>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</si>
  <si>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</si>
  <si>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</si>
  <si>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</si>
  <si>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</si>
  <si>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</si>
  <si>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</si>
  <si>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</si>
  <si>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</si>
  <si>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</si>
  <si>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</si>
  <si>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</si>
  <si>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</si>
  <si>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</si>
  <si>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</si>
  <si>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</si>
  <si>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</si>
  <si>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</si>
  <si>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</si>
  <si>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</si>
  <si>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</si>
  <si>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</si>
  <si>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</si>
  <si>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</si>
  <si>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</si>
  <si>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</si>
  <si>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</si>
  <si>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</si>
  <si>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</si>
  <si>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</si>
  <si>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</si>
  <si>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</si>
  <si>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</si>
  <si>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</si>
  <si>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</si>
  <si>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</si>
  <si>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</si>
  <si>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</si>
  <si>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</si>
  <si>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</si>
  <si>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</si>
  <si>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</si>
  <si>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</si>
  <si>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</si>
  <si>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</si>
  <si>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</si>
  <si>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</si>
  <si>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</si>
  <si>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</si>
  <si>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</si>
  <si>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</si>
  <si>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</si>
  <si>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</si>
  <si>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</si>
  <si>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</si>
  <si>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</si>
  <si>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</si>
  <si>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</si>
  <si>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</si>
  <si>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</si>
  <si>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</si>
  <si>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</si>
  <si>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</si>
  <si>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</si>
  <si>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</si>
  <si>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</si>
  <si>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</si>
  <si>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</si>
  <si>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</si>
  <si>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</si>
  <si>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</si>
  <si>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</si>
  <si>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</si>
  <si>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</si>
  <si>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</si>
  <si>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</si>
  <si>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</si>
  <si>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</si>
  <si>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</si>
  <si>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</si>
  <si>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</si>
  <si>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</si>
  <si>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</si>
  <si>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</si>
  <si>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</si>
  <si>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</si>
  <si>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</si>
  <si>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</si>
  <si>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</si>
  <si>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</si>
  <si>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</si>
  <si>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</si>
  <si>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</si>
  <si>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</si>
  <si>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</si>
  <si>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</si>
  <si>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</si>
  <si>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</si>
  <si>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</si>
  <si>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</si>
  <si>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</si>
  <si>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</si>
  <si>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</si>
  <si>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</si>
  <si>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</si>
  <si>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</si>
  <si>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</si>
  <si>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</si>
  <si>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</si>
  <si>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</si>
  <si>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</si>
  <si>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</si>
  <si>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</si>
  <si>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</si>
  <si>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</si>
  <si>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</si>
  <si>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</si>
  <si>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</si>
  <si>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</si>
  <si>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</si>
  <si>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</si>
  <si>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</si>
  <si>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</si>
  <si>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</si>
  <si>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</si>
  <si>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</si>
  <si>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</si>
  <si>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</si>
  <si>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</si>
  <si>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</si>
  <si>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</si>
  <si>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</si>
  <si>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</si>
  <si>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</si>
  <si>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</si>
  <si>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</si>
  <si>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</si>
  <si>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</si>
  <si>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</si>
  <si>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</si>
  <si>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</si>
  <si>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</si>
  <si>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</si>
  <si>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</si>
  <si>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</si>
  <si>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</si>
  <si>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</si>
  <si>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</si>
  <si>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</si>
  <si>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</si>
  <si>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</si>
  <si>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</si>
  <si>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</si>
  <si>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</si>
  <si>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</si>
  <si>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</si>
  <si>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</si>
  <si>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</si>
  <si>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</si>
  <si>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</si>
  <si>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</si>
  <si>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</si>
  <si>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</si>
  <si>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</si>
  <si>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</si>
  <si>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</si>
  <si>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</si>
  <si>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</si>
  <si>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</si>
  <si>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</si>
  <si>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</si>
  <si>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</si>
  <si>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</si>
  <si>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</si>
  <si>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</si>
  <si>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</si>
  <si>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</si>
  <si>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</si>
  <si>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</si>
  <si>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</si>
  <si>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</si>
  <si>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</si>
  <si>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</si>
  <si>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</si>
  <si>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</si>
  <si>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</si>
  <si>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</si>
  <si>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</si>
  <si>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</si>
  <si>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</si>
  <si>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</si>
  <si>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</si>
  <si>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</si>
  <si>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</si>
  <si>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</si>
  <si>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</si>
  <si>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</si>
  <si>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</si>
  <si>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</si>
  <si>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</si>
  <si>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</si>
  <si>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</si>
  <si>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</si>
  <si>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</si>
  <si>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</si>
  <si>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</si>
  <si>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</si>
  <si>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</si>
  <si>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</si>
  <si>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</si>
  <si>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</si>
  <si>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</si>
  <si>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</si>
  <si>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</si>
  <si>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</si>
  <si>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</si>
  <si>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</si>
  <si>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</si>
  <si>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</si>
  <si>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</si>
  <si>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</si>
  <si>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</si>
  <si>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</si>
  <si>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</si>
  <si>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</si>
  <si>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</si>
  <si>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</si>
  <si>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</si>
  <si>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</si>
  <si>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</si>
  <si>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</si>
  <si>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</si>
  <si>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</si>
  <si>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</si>
  <si>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</si>
  <si>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</si>
  <si>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</si>
  <si>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</si>
  <si>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</si>
  <si>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</si>
  <si>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</si>
  <si>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</si>
  <si>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</si>
  <si>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</si>
  <si>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</si>
  <si>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</si>
  <si>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</si>
  <si>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</si>
  <si>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</si>
  <si>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</si>
  <si>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</si>
  <si>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</si>
  <si>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</si>
  <si>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</si>
  <si>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</si>
  <si>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</si>
  <si>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</si>
  <si>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</si>
  <si>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</si>
  <si>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</si>
  <si>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</si>
  <si>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</si>
  <si>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</si>
  <si>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</si>
  <si>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</si>
  <si>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</si>
  <si>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</si>
  <si>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</si>
  <si>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</si>
  <si>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</si>
  <si>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</si>
  <si>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</si>
  <si>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</si>
  <si>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</si>
  <si>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</si>
  <si>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</si>
  <si>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</si>
  <si>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</si>
  <si>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</si>
  <si>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</si>
  <si>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</si>
  <si>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</si>
  <si>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</si>
  <si>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</si>
  <si>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</si>
  <si>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</si>
  <si>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</si>
  <si>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</si>
  <si>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</si>
  <si>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</si>
  <si>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</si>
  <si>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</si>
  <si>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</si>
  <si>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</si>
  <si>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</si>
  <si>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</si>
  <si>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</si>
  <si>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</si>
  <si>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</si>
  <si>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</si>
  <si>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</si>
  <si>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</si>
  <si>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</si>
  <si>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</si>
  <si>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</si>
  <si>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</si>
  <si>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</si>
  <si>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</si>
  <si>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</si>
  <si>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</si>
  <si>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</si>
  <si>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</si>
  <si>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</si>
  <si>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</si>
  <si>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</si>
  <si>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</si>
  <si>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</si>
  <si>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</si>
  <si>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</si>
  <si>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</si>
  <si>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</si>
  <si>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</si>
  <si>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</si>
  <si>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</si>
  <si>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</si>
  <si>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</si>
  <si>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</si>
  <si>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</si>
  <si>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</si>
  <si>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</si>
  <si>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</si>
  <si>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</si>
  <si>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</si>
  <si>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</si>
  <si>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</si>
  <si>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</si>
  <si>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</si>
  <si>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</si>
  <si>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</si>
  <si>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</si>
  <si>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</si>
  <si>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</si>
  <si>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</si>
  <si>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</si>
  <si>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</si>
  <si>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</si>
  <si>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</si>
  <si>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</si>
  <si>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</si>
  <si>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</si>
  <si>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</si>
  <si>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</si>
  <si>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</si>
  <si>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</si>
  <si>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</si>
  <si>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</si>
  <si>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</si>
  <si>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</si>
  <si>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</si>
  <si>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</si>
  <si>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</si>
  <si>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</si>
  <si>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</si>
  <si>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</si>
  <si>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</si>
  <si>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</si>
  <si>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</si>
  <si>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</si>
  <si>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</si>
  <si>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</si>
  <si>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</si>
  <si>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</si>
  <si>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</si>
  <si>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</si>
  <si>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</si>
  <si>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</si>
  <si>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</si>
  <si>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</si>
  <si>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</si>
  <si>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</si>
  <si>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</si>
  <si>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</si>
  <si>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</si>
  <si>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</si>
  <si>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</si>
  <si>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</si>
  <si>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</si>
  <si>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</si>
  <si>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</si>
  <si>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</si>
  <si>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</si>
  <si>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</si>
  <si>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</si>
  <si>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</si>
  <si>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</si>
  <si>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</si>
  <si>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</si>
  <si>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</si>
  <si>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</si>
  <si>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</si>
  <si>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</si>
  <si>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</si>
  <si>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</si>
  <si>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</si>
  <si>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</si>
  <si>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</si>
  <si>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</si>
  <si>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</si>
  <si>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</si>
  <si>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</si>
  <si>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</si>
  <si>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</si>
  <si>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</si>
  <si>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</si>
  <si>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</si>
  <si>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</si>
  <si>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</si>
  <si>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</si>
  <si>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</si>
  <si>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</si>
  <si>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</si>
  <si>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</si>
  <si>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</si>
  <si>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</si>
  <si>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</si>
  <si>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</si>
  <si>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</si>
  <si>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</si>
  <si>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</si>
  <si>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</si>
  <si>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</si>
  <si>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</si>
  <si>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</si>
  <si>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</si>
  <si>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</si>
  <si>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</si>
  <si>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</si>
  <si>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</si>
  <si>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</si>
  <si>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</si>
  <si>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</si>
  <si>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</si>
  <si>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</si>
  <si>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</si>
  <si>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</si>
  <si>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</si>
  <si>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</si>
  <si>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</si>
  <si>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</si>
  <si>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</si>
  <si>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</si>
  <si>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</si>
  <si>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</si>
  <si>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</si>
  <si>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</si>
  <si>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</si>
  <si>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</si>
  <si>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</si>
  <si>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</si>
  <si>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</si>
  <si>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</si>
  <si>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</si>
  <si>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</si>
  <si>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</si>
  <si>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</si>
  <si>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</si>
  <si>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</si>
  <si>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</si>
  <si>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</si>
  <si>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</si>
  <si>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</si>
  <si>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</si>
  <si>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</si>
  <si>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</si>
  <si>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</si>
  <si>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</si>
  <si>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beta ray bill</t>
  </si>
  <si>
    <t>Polaris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</si>
  <si>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</si>
  <si>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</si>
  <si>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</si>
  <si>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</si>
  <si>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</si>
  <si>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</si>
  <si>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</si>
  <si>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</si>
  <si>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</si>
  <si>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</si>
  <si>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</si>
  <si>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</si>
  <si>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</si>
  <si>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</si>
  <si>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</si>
  <si>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</si>
  <si>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</si>
  <si>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</si>
  <si>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</si>
  <si>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</si>
  <si>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</si>
  <si>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</si>
  <si>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</si>
  <si>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</si>
  <si>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</si>
  <si>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</si>
  <si>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</si>
  <si>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</si>
  <si>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</si>
  <si>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</si>
  <si>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</si>
  <si>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</si>
  <si>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</si>
  <si>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</si>
  <si>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</si>
  <si>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</si>
  <si>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</si>
  <si>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</si>
  <si>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</si>
  <si>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</si>
  <si>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</si>
  <si>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</si>
  <si>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</si>
  <si>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</si>
  <si>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</si>
  <si>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</si>
  <si>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</si>
  <si>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</si>
  <si>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</si>
  <si>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</si>
  <si>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</si>
  <si>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</si>
  <si>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</si>
  <si>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</si>
  <si>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</si>
  <si>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</si>
  <si>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</si>
  <si>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</si>
  <si>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</si>
  <si>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</si>
  <si>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</si>
  <si>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</si>
  <si>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</si>
  <si>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</si>
  <si>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</si>
  <si>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</si>
  <si>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</si>
  <si>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</si>
  <si>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</si>
  <si>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</si>
  <si>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</si>
  <si>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</si>
  <si>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</si>
  <si>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</si>
  <si>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</si>
  <si>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</si>
  <si>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</si>
  <si>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</si>
  <si>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</si>
  <si>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</si>
  <si>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</si>
  <si>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</si>
  <si>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</si>
  <si>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</si>
  <si>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</si>
  <si>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</si>
  <si>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</si>
  <si>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</si>
  <si>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</si>
  <si>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</si>
  <si>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</si>
  <si>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</si>
  <si>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</si>
  <si>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</si>
  <si>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</si>
  <si>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</si>
  <si>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</si>
  <si>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</si>
  <si>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</si>
  <si>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</si>
  <si>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</si>
  <si>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</si>
  <si>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</si>
  <si>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</si>
  <si>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</si>
  <si>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</si>
  <si>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</si>
  <si>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</si>
  <si>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</si>
  <si>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</si>
  <si>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</si>
  <si>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</si>
  <si>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</si>
  <si>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</si>
  <si>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</si>
  <si>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</si>
  <si>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</si>
  <si>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</si>
  <si>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</si>
  <si>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</si>
  <si>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</si>
  <si>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</si>
  <si>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</si>
  <si>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</si>
  <si>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</si>
  <si>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</si>
  <si>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</si>
  <si>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</si>
  <si>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</si>
  <si>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</si>
  <si>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</si>
  <si>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</si>
  <si>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</si>
  <si>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</si>
  <si>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</si>
  <si>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</si>
  <si>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</si>
  <si>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</si>
  <si>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</si>
  <si>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</si>
  <si>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</si>
  <si>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</si>
  <si>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</si>
  <si>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LTC</t>
  </si>
  <si>
    <t>XLM</t>
  </si>
  <si>
    <t>XTZ</t>
  </si>
  <si>
    <t>ATOM</t>
  </si>
  <si>
    <t>TRX</t>
  </si>
  <si>
    <t>ADA</t>
  </si>
  <si>
    <t>Name</t>
  </si>
  <si>
    <t>YFI</t>
  </si>
  <si>
    <t>CRV</t>
  </si>
  <si>
    <t>Sell</t>
  </si>
  <si>
    <t>NEO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</si>
  <si>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</si>
  <si>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</si>
  <si>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</si>
  <si>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</si>
  <si>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</si>
  <si>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</si>
  <si>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</si>
  <si>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</si>
  <si>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</si>
  <si>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</si>
  <si>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</si>
  <si>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</si>
  <si>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</si>
  <si>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</si>
  <si>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</si>
  <si>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</si>
  <si>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</si>
  <si>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</si>
  <si>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</si>
  <si>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</si>
  <si>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</si>
  <si>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</si>
  <si>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</si>
  <si>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</si>
  <si>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</si>
  <si>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</si>
  <si>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</si>
  <si>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</si>
  <si>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</si>
  <si>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</si>
  <si>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</si>
  <si>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USDC</t>
  </si>
  <si>
    <t>XMR</t>
  </si>
  <si>
    <t>FIL</t>
  </si>
  <si>
    <t>WAVES</t>
  </si>
  <si>
    <t>SNX</t>
  </si>
  <si>
    <t>KSM</t>
  </si>
  <si>
    <t>Crypto</t>
  </si>
  <si>
    <t>BTC</t>
  </si>
  <si>
    <t>BNB</t>
  </si>
  <si>
    <t>VET</t>
  </si>
  <si>
    <t>AAVE</t>
  </si>
  <si>
    <t>what is defi</t>
  </si>
  <si>
    <t>Ren</t>
  </si>
  <si>
    <t>price sold</t>
  </si>
  <si>
    <t>purchase</t>
  </si>
  <si>
    <t>band</t>
  </si>
  <si>
    <t>Vet</t>
  </si>
  <si>
    <t>Vet Specialists</t>
  </si>
  <si>
    <t>xrp</t>
  </si>
  <si>
    <t>btc</t>
  </si>
  <si>
    <t>knc</t>
  </si>
  <si>
    <t>Watched</t>
  </si>
  <si>
    <t>Dichter</t>
  </si>
  <si>
    <t>Abuzneid</t>
  </si>
  <si>
    <t>Patel</t>
  </si>
  <si>
    <t>Lee</t>
  </si>
  <si>
    <t>Mahmood</t>
  </si>
  <si>
    <t>Faezipour</t>
  </si>
  <si>
    <t>API3</t>
  </si>
  <si>
    <t>RSR</t>
  </si>
  <si>
    <t>RUNE</t>
  </si>
  <si>
    <t>bittrex</t>
  </si>
  <si>
    <t>Gemini</t>
  </si>
  <si>
    <t>coinbase</t>
  </si>
  <si>
    <t>bitstamp</t>
  </si>
  <si>
    <t>customer service</t>
  </si>
  <si>
    <t>security</t>
  </si>
  <si>
    <t>coins</t>
  </si>
  <si>
    <t>Binance</t>
  </si>
  <si>
    <t>Band</t>
  </si>
  <si>
    <t>BNT</t>
  </si>
  <si>
    <t>MANA</t>
  </si>
  <si>
    <t>NMR</t>
  </si>
  <si>
    <t>OXT</t>
  </si>
  <si>
    <t>BAL</t>
  </si>
  <si>
    <t>CVC</t>
  </si>
  <si>
    <t>NU</t>
  </si>
  <si>
    <t>DNT</t>
  </si>
  <si>
    <t>valkery</t>
  </si>
  <si>
    <t>LEO</t>
  </si>
  <si>
    <t>BAND</t>
  </si>
  <si>
    <t>CURRENT</t>
  </si>
  <si>
    <t>REV</t>
  </si>
  <si>
    <t>ZIL</t>
  </si>
  <si>
    <t>XEM</t>
  </si>
  <si>
    <t>OCEAN</t>
  </si>
  <si>
    <t>THETA</t>
  </si>
  <si>
    <t>LINK</t>
  </si>
  <si>
    <t>GRT</t>
  </si>
  <si>
    <t>TFUEL</t>
  </si>
  <si>
    <t>ETH</t>
  </si>
  <si>
    <t>XRP</t>
  </si>
  <si>
    <t>COMP</t>
  </si>
  <si>
    <t>CRO</t>
  </si>
  <si>
    <t>SOL</t>
  </si>
  <si>
    <t>INJ</t>
  </si>
  <si>
    <t>DOT</t>
  </si>
  <si>
    <t>ATOMIC</t>
  </si>
  <si>
    <t>PRQ</t>
  </si>
  <si>
    <t>bnt</t>
  </si>
  <si>
    <t>G</t>
  </si>
  <si>
    <t>R</t>
  </si>
  <si>
    <t>currency swap</t>
  </si>
  <si>
    <t>DOGE</t>
  </si>
  <si>
    <t>STORJ</t>
  </si>
  <si>
    <t>jonesy112112</t>
  </si>
  <si>
    <t>the hullk immortal</t>
  </si>
  <si>
    <t>america chaves</t>
  </si>
  <si>
    <t>jessica jhones</t>
  </si>
  <si>
    <t>the hulk main event</t>
  </si>
  <si>
    <t>RLC</t>
  </si>
  <si>
    <t>SXP</t>
  </si>
  <si>
    <t>DGTX</t>
  </si>
  <si>
    <t>UBT</t>
  </si>
  <si>
    <t>NIM</t>
  </si>
  <si>
    <t>DMG</t>
  </si>
  <si>
    <t>BZRX</t>
  </si>
  <si>
    <t>UTK</t>
  </si>
  <si>
    <t>CHR</t>
  </si>
  <si>
    <t>COTI</t>
  </si>
  <si>
    <t>SWAP</t>
  </si>
  <si>
    <t>6x</t>
  </si>
  <si>
    <t>Invest</t>
  </si>
  <si>
    <t>Positions</t>
  </si>
  <si>
    <t>Dips</t>
  </si>
  <si>
    <t>Min</t>
  </si>
  <si>
    <t>Max</t>
  </si>
  <si>
    <t>Joe</t>
  </si>
  <si>
    <t>Adri</t>
  </si>
  <si>
    <t>coinmania</t>
  </si>
  <si>
    <t>cex</t>
  </si>
  <si>
    <t>AWC</t>
  </si>
  <si>
    <t>KIN</t>
  </si>
  <si>
    <t>TRAC</t>
  </si>
  <si>
    <t>ZCN</t>
  </si>
  <si>
    <t>WATCHED</t>
  </si>
  <si>
    <t>gemini</t>
  </si>
  <si>
    <t>can't</t>
  </si>
  <si>
    <t>okyoke</t>
  </si>
  <si>
    <t>professor x</t>
  </si>
  <si>
    <t>hulkbuster</t>
  </si>
  <si>
    <t>Barb</t>
  </si>
  <si>
    <t>ICX</t>
  </si>
  <si>
    <t>QTUM</t>
  </si>
  <si>
    <t>SC</t>
  </si>
  <si>
    <t>LSK</t>
  </si>
  <si>
    <t>GNO</t>
  </si>
  <si>
    <t>ANT</t>
  </si>
  <si>
    <t>KEEP</t>
  </si>
  <si>
    <t>KAVA</t>
  </si>
  <si>
    <t>MLN</t>
  </si>
  <si>
    <t>LCX</t>
  </si>
  <si>
    <t>High</t>
  </si>
  <si>
    <t>Low</t>
  </si>
  <si>
    <t>Monday</t>
  </si>
  <si>
    <t>Tuesday</t>
  </si>
  <si>
    <t>Wed</t>
  </si>
  <si>
    <t>Thur</t>
  </si>
  <si>
    <t>Friday</t>
  </si>
  <si>
    <t>Sat</t>
  </si>
  <si>
    <t>Sun</t>
  </si>
  <si>
    <t>STAKE</t>
  </si>
  <si>
    <t>SRM</t>
  </si>
  <si>
    <t>SUSHI</t>
  </si>
  <si>
    <t>HEX</t>
  </si>
  <si>
    <t>CEL</t>
  </si>
  <si>
    <t>HNT</t>
  </si>
  <si>
    <t>EASY</t>
  </si>
  <si>
    <t>NXM</t>
  </si>
  <si>
    <t>NANO</t>
  </si>
  <si>
    <t>DGB</t>
  </si>
  <si>
    <t>BLOCKSTACK</t>
  </si>
  <si>
    <t>ALBT</t>
  </si>
  <si>
    <t>EGLD</t>
  </si>
  <si>
    <t>GOCHAIN</t>
  </si>
  <si>
    <t>MATIC</t>
  </si>
  <si>
    <t>1INCH</t>
  </si>
  <si>
    <t>UNISWAP</t>
  </si>
  <si>
    <t>BINANCE</t>
  </si>
  <si>
    <t>HITBTC</t>
  </si>
  <si>
    <t>UDOO</t>
  </si>
  <si>
    <t>Tuesday, Jan 26th</t>
  </si>
  <si>
    <t>No new Clients</t>
  </si>
  <si>
    <t>Terrible</t>
  </si>
  <si>
    <t>Godady</t>
  </si>
  <si>
    <t>google</t>
  </si>
  <si>
    <t>amazon</t>
  </si>
  <si>
    <t>apple</t>
  </si>
  <si>
    <t>Gains</t>
  </si>
  <si>
    <t>Debt</t>
  </si>
  <si>
    <t>Free Capital</t>
  </si>
  <si>
    <t>dr strange</t>
  </si>
  <si>
    <t>RAMP</t>
  </si>
  <si>
    <t>TVK</t>
  </si>
  <si>
    <t>ARCH</t>
  </si>
  <si>
    <t>ROOK</t>
  </si>
  <si>
    <t>HEGIC</t>
  </si>
  <si>
    <t>WHITE</t>
  </si>
  <si>
    <t>AKT</t>
  </si>
  <si>
    <t>March</t>
  </si>
  <si>
    <t>Call</t>
  </si>
  <si>
    <t>CREAM</t>
  </si>
  <si>
    <t>POLS</t>
  </si>
  <si>
    <t>PHA</t>
  </si>
  <si>
    <t>ORAI</t>
  </si>
  <si>
    <t>BIRD</t>
  </si>
  <si>
    <t>AVA</t>
  </si>
  <si>
    <t>MTA</t>
  </si>
  <si>
    <t>Done</t>
  </si>
  <si>
    <t>RED</t>
  </si>
  <si>
    <t>ant man</t>
  </si>
  <si>
    <t>yondo</t>
  </si>
  <si>
    <t>XSN</t>
  </si>
  <si>
    <t>Gain</t>
  </si>
  <si>
    <t>Loss</t>
  </si>
  <si>
    <t>AMCX</t>
  </si>
  <si>
    <t>LGND</t>
  </si>
  <si>
    <t>TOTAL</t>
  </si>
  <si>
    <t>85 retreat ave</t>
  </si>
  <si>
    <t>feb</t>
  </si>
  <si>
    <t>vega56</t>
  </si>
  <si>
    <t>vega64</t>
  </si>
  <si>
    <t>5600xt</t>
  </si>
  <si>
    <t>5700xt</t>
  </si>
  <si>
    <t>vii</t>
  </si>
  <si>
    <t>1050ti</t>
  </si>
  <si>
    <t>1070ti</t>
  </si>
  <si>
    <t>1080ti</t>
  </si>
  <si>
    <t>1660ti</t>
  </si>
  <si>
    <t>2080ti</t>
  </si>
  <si>
    <t>3060ti</t>
  </si>
  <si>
    <t>https://www.amazon.com/ASUS-Overclocked-2048-Bit-Express-STRIX-RXVEGA64-O8G-GAMING/dp/B0782PSHJ3</t>
  </si>
  <si>
    <t>https://www.amazon.com/PowerColor-Devil-Radeon-GDDR6-Graphics/dp/B07WP6TYQ3/ref=sr_1_2?dchild=1&amp;keywords=AMD+Radeon+RX+5700&amp;qid=1611796955&amp;refinements=p_85%3A2470955011&amp;rnid=2470954011&amp;rps=1&amp;sr=8-2</t>
  </si>
  <si>
    <t>https://www.amazon.com/Gigabyte-GeForce-Graphics-GV-N1070G1-GAMING-8GD/dp/B01H0WU884/ref=sr_1_3?dchild=1&amp;keywords=GeForce+GTX+1070&amp;qid=1611797197&amp;sr=8-3</t>
  </si>
  <si>
    <t>PLCE</t>
  </si>
  <si>
    <t>BBBY</t>
  </si>
  <si>
    <t>MAC</t>
  </si>
  <si>
    <t>SKT</t>
  </si>
  <si>
    <t>IRBT</t>
  </si>
  <si>
    <t>FTM</t>
  </si>
  <si>
    <t>RBC</t>
  </si>
  <si>
    <t>LINEAR</t>
  </si>
  <si>
    <t>DEXE</t>
  </si>
  <si>
    <t>UNN</t>
  </si>
  <si>
    <t>STA</t>
  </si>
  <si>
    <t>BAO</t>
  </si>
  <si>
    <t>nova</t>
  </si>
  <si>
    <t>nick fury</t>
  </si>
  <si>
    <t>POND</t>
  </si>
  <si>
    <t>XED</t>
  </si>
  <si>
    <t>loki</t>
  </si>
  <si>
    <t>REEF</t>
  </si>
  <si>
    <t>AVAX</t>
  </si>
  <si>
    <t>totally awesome hulk</t>
  </si>
  <si>
    <t>FLOW</t>
  </si>
  <si>
    <t>Coin Percent</t>
  </si>
  <si>
    <t>Weekly</t>
  </si>
  <si>
    <t>Monthly</t>
  </si>
  <si>
    <t>Daily</t>
  </si>
  <si>
    <t>Cudos</t>
  </si>
  <si>
    <t>No Data</t>
  </si>
  <si>
    <t>Falling Volume</t>
  </si>
  <si>
    <t>Zippypaws</t>
  </si>
  <si>
    <t>yellena bolonva</t>
  </si>
  <si>
    <t>ghost</t>
  </si>
  <si>
    <t>Merry Maids</t>
  </si>
  <si>
    <t>Colaterilized loan</t>
  </si>
  <si>
    <t>.6171 BTC</t>
  </si>
  <si>
    <t>47 USD</t>
  </si>
  <si>
    <t>black panther (civil War)</t>
  </si>
  <si>
    <t>wolverine (old man logan)</t>
  </si>
  <si>
    <t>CRSR Max</t>
  </si>
  <si>
    <t>CRSR MIN</t>
  </si>
  <si>
    <t>Average</t>
  </si>
  <si>
    <t>SNDL Max</t>
  </si>
  <si>
    <t>SNDL Min</t>
  </si>
  <si>
    <t>APHA Min</t>
  </si>
  <si>
    <t>BB Min</t>
  </si>
  <si>
    <t>nikoli molaris</t>
  </si>
  <si>
    <t>Price Per Share</t>
  </si>
  <si>
    <t>Buy Back</t>
  </si>
  <si>
    <t>GNT</t>
  </si>
  <si>
    <t>Staking</t>
  </si>
  <si>
    <t>Rewards</t>
  </si>
  <si>
    <t>Atomic</t>
  </si>
  <si>
    <t>KMD</t>
  </si>
  <si>
    <t>GREEN</t>
  </si>
  <si>
    <t>AG Min</t>
  </si>
  <si>
    <t>Cel</t>
  </si>
  <si>
    <t>yellow jacket</t>
  </si>
  <si>
    <t>hemdell</t>
  </si>
  <si>
    <t>jean grey</t>
  </si>
  <si>
    <t>BITREX</t>
  </si>
  <si>
    <t>Comp</t>
  </si>
  <si>
    <t>cake</t>
  </si>
  <si>
    <t>SWINGBY</t>
  </si>
  <si>
    <t>BRY</t>
  </si>
  <si>
    <t>ZEE</t>
  </si>
  <si>
    <t>LINA</t>
  </si>
  <si>
    <t>LIT</t>
  </si>
  <si>
    <t>war machine</t>
  </si>
  <si>
    <t>LTO</t>
  </si>
  <si>
    <t>doctor doom</t>
  </si>
  <si>
    <t>thor (godess of thunder)</t>
  </si>
  <si>
    <t>chain</t>
  </si>
  <si>
    <t>txl</t>
  </si>
  <si>
    <t>GEEQ</t>
  </si>
  <si>
    <t>DIA</t>
  </si>
  <si>
    <t>Sebby</t>
  </si>
  <si>
    <t>Physical</t>
  </si>
  <si>
    <t>vsp</t>
  </si>
  <si>
    <t>mxx</t>
  </si>
  <si>
    <t>Rocket Groot x4</t>
  </si>
  <si>
    <t>Polaris x4</t>
  </si>
  <si>
    <t>Market Cap</t>
  </si>
  <si>
    <t>TVL Last Year</t>
  </si>
  <si>
    <t>TVL This Year</t>
  </si>
  <si>
    <t>Tokenomics</t>
  </si>
  <si>
    <t>Growth</t>
  </si>
  <si>
    <t>Price Target</t>
  </si>
  <si>
    <t>Current Price</t>
  </si>
  <si>
    <t>Yield</t>
  </si>
  <si>
    <t>VSP</t>
  </si>
  <si>
    <t>Total Supply</t>
  </si>
  <si>
    <t>Depositing Assets creates new bnt</t>
  </si>
  <si>
    <t>badger</t>
  </si>
  <si>
    <t>comp</t>
  </si>
  <si>
    <t>Buy ren to operate dark node =&gt; 100k gets a dark node but ren only makes money on swaps</t>
  </si>
  <si>
    <t>lrc</t>
  </si>
  <si>
    <t>Tokyo Sushi</t>
  </si>
  <si>
    <t>Yamasaki Teriyaki</t>
  </si>
  <si>
    <t>Didn't like the food</t>
  </si>
  <si>
    <t>ALPHA</t>
  </si>
  <si>
    <t>FARM</t>
  </si>
  <si>
    <t>IDLE</t>
  </si>
  <si>
    <t>YFL</t>
  </si>
  <si>
    <t>CORE</t>
  </si>
  <si>
    <t>total Yield</t>
  </si>
  <si>
    <t>KNC is deflationary and burnt</t>
  </si>
  <si>
    <t>DF</t>
  </si>
  <si>
    <t>TRU</t>
  </si>
  <si>
    <t>MET</t>
  </si>
  <si>
    <t>DDX</t>
  </si>
  <si>
    <t>FST</t>
  </si>
  <si>
    <t>DODO</t>
  </si>
  <si>
    <t>CAKE</t>
  </si>
  <si>
    <t>AUTO</t>
  </si>
  <si>
    <t>ACS</t>
  </si>
  <si>
    <t>Pancake Bunny</t>
  </si>
  <si>
    <t>julswap</t>
  </si>
  <si>
    <t>cream</t>
  </si>
  <si>
    <t>bunny</t>
  </si>
  <si>
    <t>bifi</t>
  </si>
  <si>
    <t>Mstr Min</t>
  </si>
  <si>
    <t>swap</t>
  </si>
  <si>
    <t>legion</t>
  </si>
  <si>
    <t>xvs</t>
  </si>
  <si>
    <t>Auto</t>
  </si>
  <si>
    <t>sam wilson</t>
  </si>
  <si>
    <t>Scarlet Witch x3 B</t>
  </si>
  <si>
    <t>Thanos x3 B</t>
  </si>
  <si>
    <t>price paid</t>
  </si>
  <si>
    <t>Price  Paid</t>
  </si>
  <si>
    <t>Price Actual</t>
  </si>
  <si>
    <t>Token</t>
  </si>
  <si>
    <t>Vesper</t>
  </si>
  <si>
    <t>Yearn Finance</t>
  </si>
  <si>
    <t>Sushi Swap</t>
  </si>
  <si>
    <t>Compound</t>
  </si>
  <si>
    <t>Acryptos</t>
  </si>
  <si>
    <t>RenVM</t>
  </si>
  <si>
    <t>Bancor</t>
  </si>
  <si>
    <t>Maker</t>
  </si>
  <si>
    <t>Alpha Homora</t>
  </si>
  <si>
    <t>Balancer</t>
  </si>
  <si>
    <t>Aave</t>
  </si>
  <si>
    <t>Bifi</t>
  </si>
  <si>
    <t>Loopring</t>
  </si>
  <si>
    <t>Synthitics</t>
  </si>
  <si>
    <t>Kyber</t>
  </si>
  <si>
    <t>AutoFarm</t>
  </si>
  <si>
    <t>Pancake Swap</t>
  </si>
  <si>
    <t>HBTC</t>
  </si>
  <si>
    <t>MetaMask</t>
  </si>
  <si>
    <t>Total Changed</t>
  </si>
  <si>
    <t>Ethier</t>
  </si>
  <si>
    <t>magneto</t>
  </si>
  <si>
    <t>cyclops</t>
  </si>
  <si>
    <t>Bake</t>
  </si>
  <si>
    <t>Bakery Swap</t>
  </si>
  <si>
    <t>Bunny</t>
  </si>
  <si>
    <t>juld</t>
  </si>
  <si>
    <t>Trust</t>
  </si>
  <si>
    <t>blade</t>
  </si>
  <si>
    <t>sabertooth</t>
  </si>
  <si>
    <t>xvs-bnb LP</t>
  </si>
  <si>
    <t>btcb-bnb</t>
  </si>
  <si>
    <t>Bunny-bnb</t>
  </si>
  <si>
    <t>wolverine</t>
  </si>
  <si>
    <t>Venus</t>
  </si>
  <si>
    <t>101 ACS</t>
  </si>
  <si>
    <t>18.72 Auto/BNB</t>
  </si>
  <si>
    <t>81 VXS/BNB LP</t>
  </si>
  <si>
    <t>nebula</t>
  </si>
  <si>
    <t>Goose Finance</t>
  </si>
  <si>
    <t>EGG</t>
  </si>
  <si>
    <t>Egg-Busd</t>
  </si>
  <si>
    <t>LinkSwap</t>
  </si>
  <si>
    <t>Percent Gain</t>
  </si>
  <si>
    <t>fuel</t>
  </si>
  <si>
    <t>Jetfuel</t>
  </si>
  <si>
    <t>Egg-BNB</t>
  </si>
  <si>
    <t>Auto-BNB</t>
  </si>
  <si>
    <t>invisible woman</t>
  </si>
  <si>
    <t>onslaught</t>
  </si>
  <si>
    <t>320 western blvd glastonbury</t>
  </si>
  <si>
    <t>Dot-BNB</t>
  </si>
  <si>
    <t>LP Yield</t>
  </si>
  <si>
    <t>Farm Yield</t>
  </si>
  <si>
    <t>Bifi Finance</t>
  </si>
  <si>
    <t>Bifi-BNB</t>
  </si>
  <si>
    <t>quake</t>
  </si>
  <si>
    <t>wasp</t>
  </si>
  <si>
    <t>Equity</t>
  </si>
  <si>
    <t>agent carlson</t>
  </si>
  <si>
    <t>GG2-BNB</t>
  </si>
  <si>
    <t>GG3-BNB</t>
  </si>
  <si>
    <t>Rocket Groot x4 B</t>
  </si>
  <si>
    <t>Wasp x4</t>
  </si>
  <si>
    <t>adam warlock</t>
  </si>
  <si>
    <t>nico morano</t>
  </si>
  <si>
    <t>Belt Finance</t>
  </si>
  <si>
    <t>belt</t>
  </si>
  <si>
    <t>PEG</t>
  </si>
  <si>
    <t>Earnings</t>
  </si>
  <si>
    <t>P/E</t>
  </si>
  <si>
    <t>Ellipsis</t>
  </si>
  <si>
    <t>eps</t>
  </si>
  <si>
    <t>Atom</t>
  </si>
  <si>
    <t>Belt-BNB</t>
  </si>
  <si>
    <t>vulture</t>
  </si>
  <si>
    <t>maria hill</t>
  </si>
  <si>
    <t>April</t>
  </si>
  <si>
    <t>Dec</t>
  </si>
  <si>
    <t>ATH</t>
  </si>
  <si>
    <t>Shares Outstanding</t>
  </si>
  <si>
    <t>Ownership</t>
  </si>
  <si>
    <t>Growth (Monthly)</t>
  </si>
  <si>
    <t>negasonic</t>
  </si>
  <si>
    <t>cable</t>
  </si>
  <si>
    <t>Storm x3B</t>
  </si>
  <si>
    <t>nightcrawler</t>
  </si>
  <si>
    <t>iron fist</t>
  </si>
  <si>
    <t>wasp x4</t>
  </si>
  <si>
    <t>falcon x3</t>
  </si>
  <si>
    <t>rocket n groot x4</t>
  </si>
  <si>
    <t>medusa x4</t>
  </si>
  <si>
    <t>polaris x4</t>
  </si>
  <si>
    <t>riri williams</t>
  </si>
  <si>
    <t>BNB-DOT</t>
  </si>
  <si>
    <t>mdex</t>
  </si>
  <si>
    <t>mdx</t>
  </si>
  <si>
    <t>dodo</t>
  </si>
  <si>
    <t>value</t>
  </si>
  <si>
    <t>nrv</t>
  </si>
  <si>
    <t>nerve</t>
  </si>
  <si>
    <t>vbswap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</si>
</sst>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  <numFmt numFmtId="167" formatCode="0.000%"/>
    <numFmt numFmtId="168" formatCode="[$-F800]dddd\,\ mmmm\ dd\,\ yyyy"/>
    <numFmt numFmtId="169" formatCode="0.0%"/>
    <numFmt numFmtId="170" formatCode="_(&quot;$&quot;* #,##0.000_);_(&quot;$&quot;* \(#,##0.000\);_(&quot;$&quot;* &quot;-&quot;??_);_(@_)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424242"/>
      <name val="Arial"/>
      <family val="2"/>
    </font>
    <font>
      <sz val="11"/>
      <color rgb="FF232323"/>
      <name val="Arial"/>
      <family val="2"/>
    </font>
    <font>
      <sz val="11"/>
      <name val="Arial"/>
      <family val="2"/>
    </font>
    <font>
      <sz val="12"/>
      <color rgb="FF452A7A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  <xf numFmtId="167" fontId="0" fillId="0" borderId="0" xfId="3" applyNumberFormat="1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  <xf numFmtId="0" fontId="0" fillId="17" borderId="0" xfId="0" applyFill="1"/>
    <xf numFmtId="16" fontId="0" fillId="0" borderId="0" xfId="0" applyNumberFormat="1"/>
    <xf numFmtId="16" fontId="0" fillId="13" borderId="0" xfId="0" applyNumberFormat="1" applyFill="1"/>
    <xf numFmtId="16" fontId="0" fillId="3" borderId="0" xfId="0" applyNumberFormat="1" applyFill="1"/>
    <xf numFmtId="44" fontId="13" fillId="0" borderId="0" xfId="2" applyFont="1" applyFill="1" applyBorder="1" applyAlignment="1">
      <alignment horizontal="center" wrapText="1"/>
    </xf>
    <xf numFmtId="6" fontId="14" fillId="15" borderId="0" xfId="0" applyNumberFormat="1" applyFont="1" applyFill="1" applyBorder="1" applyAlignment="1">
      <alignment horizontal="right" wrapText="1"/>
    </xf>
    <xf numFmtId="44" fontId="0" fillId="0" borderId="0" xfId="0" applyNumberFormat="1"/>
    <xf numFmtId="6" fontId="14" fillId="15" borderId="9" xfId="0" applyNumberFormat="1" applyFont="1" applyFill="1" applyBorder="1" applyAlignment="1">
      <alignment horizontal="right" wrapText="1"/>
    </xf>
    <xf numFmtId="9" fontId="0" fillId="13" borderId="0" xfId="3" applyFont="1" applyFill="1"/>
    <xf numFmtId="44" fontId="0" fillId="13" borderId="0" xfId="2" applyFont="1" applyFill="1"/>
    <xf numFmtId="44" fontId="0" fillId="13" borderId="0" xfId="0" applyNumberFormat="1" applyFill="1"/>
    <xf numFmtId="168" fontId="0" fillId="0" borderId="0" xfId="0" applyNumberFormat="1"/>
    <xf numFmtId="169" fontId="0" fillId="0" borderId="0" xfId="3" applyNumberFormat="1" applyFont="1"/>
    <xf numFmtId="10" fontId="0" fillId="7" borderId="0" xfId="3" applyNumberFormat="1" applyFont="1" applyFill="1"/>
    <xf numFmtId="10" fontId="0" fillId="3" borderId="0" xfId="3" applyNumberFormat="1" applyFont="1" applyFill="1"/>
    <xf numFmtId="0" fontId="17" fillId="5" borderId="0" xfId="0" applyFont="1" applyFill="1"/>
    <xf numFmtId="10" fontId="0" fillId="2" borderId="0" xfId="3" applyNumberFormat="1" applyFont="1" applyFill="1"/>
    <xf numFmtId="10" fontId="0" fillId="17" borderId="0" xfId="3" applyNumberFormat="1" applyFont="1" applyFill="1"/>
    <xf numFmtId="0" fontId="0" fillId="18" borderId="0" xfId="0" applyFill="1"/>
    <xf numFmtId="10" fontId="0" fillId="18" borderId="0" xfId="3" applyNumberFormat="1" applyFont="1" applyFill="1"/>
    <xf numFmtId="43" fontId="0" fillId="5" borderId="0" xfId="1" applyFont="1" applyFill="1"/>
    <xf numFmtId="9" fontId="0" fillId="5" borderId="0" xfId="3" applyFont="1" applyFill="1"/>
    <xf numFmtId="169" fontId="0" fillId="5" borderId="0" xfId="3" applyNumberFormat="1" applyFont="1" applyFill="1"/>
    <xf numFmtId="0" fontId="0" fillId="0" borderId="0" xfId="0" applyFill="1"/>
    <xf numFmtId="43" fontId="0" fillId="0" borderId="0" xfId="1" applyFont="1" applyFill="1"/>
    <xf numFmtId="9" fontId="0" fillId="0" borderId="0" xfId="3" applyFont="1" applyFill="1"/>
    <xf numFmtId="169" fontId="0" fillId="0" borderId="0" xfId="3" applyNumberFormat="1" applyFont="1" applyFill="1"/>
    <xf numFmtId="43" fontId="0" fillId="2" borderId="0" xfId="1" applyFont="1" applyFill="1"/>
    <xf numFmtId="9" fontId="0" fillId="2" borderId="0" xfId="3" applyFont="1" applyFill="1"/>
    <xf numFmtId="169" fontId="0" fillId="2" borderId="0" xfId="3" applyNumberFormat="1" applyFont="1" applyFill="1"/>
    <xf numFmtId="0" fontId="18" fillId="0" borderId="0" xfId="0" applyFont="1"/>
    <xf numFmtId="43" fontId="18" fillId="0" borderId="0" xfId="1" applyFont="1"/>
    <xf numFmtId="43" fontId="0" fillId="13" borderId="0" xfId="1" applyFont="1" applyFill="1"/>
    <xf numFmtId="169" fontId="0" fillId="13" borderId="0" xfId="3" applyNumberFormat="1" applyFont="1" applyFill="1"/>
    <xf numFmtId="170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1825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1824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1826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D5"/>
  <sheetViews>
    <sheetView workbookViewId="0">
      <selection activeCell="D9" sqref="D9"/>
    </sheetView>
  </sheetViews>
  <sheetFormatPr defaultRowHeight="14.25" x14ac:dyDescent="0.2"/>
  <cols>
    <col min="1" max="1" width="13.75" bestFit="1" customWidth="1"/>
  </cols>
  <sheetData>
    <row r="1" spans="1:4" x14ac:dyDescent="0.2">
      <c r="B1" t="s">
        <v>1860</v>
      </c>
      <c r="C1" t="s">
        <v>1861</v>
      </c>
      <c r="D1" t="s">
        <v>1029</v>
      </c>
    </row>
    <row r="2" spans="1:4" x14ac:dyDescent="0.2">
      <c r="A2" t="s">
        <v>1859</v>
      </c>
      <c r="B2">
        <v>1</v>
      </c>
      <c r="C2">
        <v>1</v>
      </c>
    </row>
    <row r="3" spans="1:4" x14ac:dyDescent="0.2">
      <c r="A3" t="s">
        <v>1862</v>
      </c>
      <c r="B3">
        <v>2</v>
      </c>
      <c r="C3">
        <v>2</v>
      </c>
    </row>
    <row r="4" spans="1:4" x14ac:dyDescent="0.2">
      <c r="A4" t="s">
        <v>1928</v>
      </c>
      <c r="C4">
        <v>1</v>
      </c>
    </row>
    <row r="5" spans="1:4" x14ac:dyDescent="0.2">
      <c r="A5" t="s">
        <v>2261</v>
      </c>
      <c r="D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1822</v>
      </c>
      <c r="F3" t="s">
        <v>1823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E29"/>
  <sheetViews>
    <sheetView workbookViewId="0">
      <selection activeCell="A10" sqref="A10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5" x14ac:dyDescent="0.2">
      <c r="A1" s="37" t="s">
        <v>1870</v>
      </c>
      <c r="B1" s="38" t="s">
        <v>1871</v>
      </c>
      <c r="C1" s="73" t="s">
        <v>2051</v>
      </c>
      <c r="D1">
        <v>4</v>
      </c>
    </row>
    <row r="2" spans="1:5" x14ac:dyDescent="0.2">
      <c r="A2" s="39" t="s">
        <v>1872</v>
      </c>
      <c r="B2" s="40" t="s">
        <v>1873</v>
      </c>
    </row>
    <row r="3" spans="1:5" x14ac:dyDescent="0.2">
      <c r="A3" s="39" t="s">
        <v>1874</v>
      </c>
      <c r="B3" s="40" t="s">
        <v>1875</v>
      </c>
    </row>
    <row r="4" spans="1:5" x14ac:dyDescent="0.2">
      <c r="A4" s="39" t="s">
        <v>1876</v>
      </c>
      <c r="B4" s="40" t="s">
        <v>1877</v>
      </c>
      <c r="C4" s="74" t="s">
        <v>2052</v>
      </c>
      <c r="D4">
        <v>3</v>
      </c>
    </row>
    <row r="5" spans="1:5" x14ac:dyDescent="0.2">
      <c r="A5" s="39" t="s">
        <v>1878</v>
      </c>
      <c r="B5" s="40" t="s">
        <v>1879</v>
      </c>
    </row>
    <row r="6" spans="1:5" x14ac:dyDescent="0.2">
      <c r="A6" s="39" t="s">
        <v>1880</v>
      </c>
      <c r="B6" s="40" t="s">
        <v>1881</v>
      </c>
      <c r="C6" s="73" t="s">
        <v>2055</v>
      </c>
    </row>
    <row r="7" spans="1:5" x14ac:dyDescent="0.2">
      <c r="A7" s="39" t="s">
        <v>1882</v>
      </c>
      <c r="B7" s="40" t="s">
        <v>1883</v>
      </c>
      <c r="C7" s="75" t="s">
        <v>2053</v>
      </c>
      <c r="D7">
        <v>5</v>
      </c>
      <c r="E7">
        <v>0</v>
      </c>
    </row>
    <row r="8" spans="1:5" x14ac:dyDescent="0.2">
      <c r="A8" s="39" t="s">
        <v>1884</v>
      </c>
      <c r="B8" s="40" t="s">
        <v>1885</v>
      </c>
    </row>
    <row r="9" spans="1:5" x14ac:dyDescent="0.2">
      <c r="A9" s="39" t="s">
        <v>1886</v>
      </c>
      <c r="B9" s="40" t="s">
        <v>1887</v>
      </c>
      <c r="C9" s="76" t="s">
        <v>2054</v>
      </c>
      <c r="D9">
        <v>5</v>
      </c>
      <c r="E9">
        <v>4</v>
      </c>
    </row>
    <row r="10" spans="1:5" x14ac:dyDescent="0.2">
      <c r="A10" s="39" t="s">
        <v>1888</v>
      </c>
      <c r="B10" s="40" t="s">
        <v>1889</v>
      </c>
      <c r="C10" s="74" t="s">
        <v>2055</v>
      </c>
      <c r="D10">
        <v>5</v>
      </c>
      <c r="E10">
        <v>5</v>
      </c>
    </row>
    <row r="11" spans="1:5" x14ac:dyDescent="0.2">
      <c r="A11" s="39" t="s">
        <v>1890</v>
      </c>
      <c r="B11" s="40" t="s">
        <v>1891</v>
      </c>
    </row>
    <row r="12" spans="1:5" x14ac:dyDescent="0.2">
      <c r="A12" s="39" t="s">
        <v>1892</v>
      </c>
      <c r="B12" s="40" t="s">
        <v>1893</v>
      </c>
      <c r="C12" s="74" t="s">
        <v>2052</v>
      </c>
      <c r="D12">
        <v>5</v>
      </c>
      <c r="E12">
        <v>5</v>
      </c>
    </row>
    <row r="13" spans="1:5" x14ac:dyDescent="0.2">
      <c r="A13" s="39" t="s">
        <v>1894</v>
      </c>
      <c r="B13" s="40" t="s">
        <v>1895</v>
      </c>
      <c r="C13" s="74" t="s">
        <v>2055</v>
      </c>
      <c r="D13">
        <v>5</v>
      </c>
      <c r="E13">
        <v>5</v>
      </c>
    </row>
    <row r="14" spans="1:5" x14ac:dyDescent="0.2">
      <c r="A14" s="39" t="s">
        <v>1896</v>
      </c>
      <c r="B14" s="40" t="s">
        <v>1897</v>
      </c>
    </row>
    <row r="15" spans="1:5" x14ac:dyDescent="0.2">
      <c r="A15" s="39" t="s">
        <v>1898</v>
      </c>
      <c r="B15" s="40" t="s">
        <v>1899</v>
      </c>
    </row>
    <row r="16" spans="1:5" x14ac:dyDescent="0.2">
      <c r="A16" s="39" t="s">
        <v>1900</v>
      </c>
      <c r="B16" s="40" t="s">
        <v>1901</v>
      </c>
    </row>
    <row r="17" spans="1:5" x14ac:dyDescent="0.2">
      <c r="A17" s="39" t="s">
        <v>1902</v>
      </c>
      <c r="B17" s="40" t="s">
        <v>1903</v>
      </c>
    </row>
    <row r="18" spans="1:5" x14ac:dyDescent="0.2">
      <c r="A18" s="39" t="s">
        <v>1904</v>
      </c>
      <c r="B18" s="40" t="s">
        <v>1905</v>
      </c>
    </row>
    <row r="19" spans="1:5" x14ac:dyDescent="0.2">
      <c r="A19" s="39" t="s">
        <v>1906</v>
      </c>
      <c r="B19" s="40" t="s">
        <v>1907</v>
      </c>
    </row>
    <row r="20" spans="1:5" x14ac:dyDescent="0.2">
      <c r="A20" s="39" t="s">
        <v>1908</v>
      </c>
      <c r="B20" s="40" t="s">
        <v>1909</v>
      </c>
    </row>
    <row r="21" spans="1:5" x14ac:dyDescent="0.2">
      <c r="A21" s="39" t="s">
        <v>1910</v>
      </c>
      <c r="B21" s="40" t="s">
        <v>1911</v>
      </c>
    </row>
    <row r="22" spans="1:5" x14ac:dyDescent="0.2">
      <c r="A22" s="39" t="s">
        <v>1912</v>
      </c>
      <c r="B22" s="40" t="s">
        <v>1913</v>
      </c>
    </row>
    <row r="23" spans="1:5" x14ac:dyDescent="0.2">
      <c r="A23" s="39" t="s">
        <v>1914</v>
      </c>
      <c r="B23" s="40" t="s">
        <v>1915</v>
      </c>
    </row>
    <row r="24" spans="1:5" x14ac:dyDescent="0.2">
      <c r="A24" s="39" t="s">
        <v>1916</v>
      </c>
      <c r="B24" s="40" t="s">
        <v>1917</v>
      </c>
      <c r="C24" s="74" t="s">
        <v>2056</v>
      </c>
      <c r="D24">
        <v>4</v>
      </c>
      <c r="E24">
        <v>4</v>
      </c>
    </row>
    <row r="25" spans="1:5" x14ac:dyDescent="0.2">
      <c r="A25" s="39" t="s">
        <v>1918</v>
      </c>
      <c r="B25" s="40" t="s">
        <v>1919</v>
      </c>
    </row>
    <row r="26" spans="1:5" x14ac:dyDescent="0.2">
      <c r="A26" s="39" t="s">
        <v>1920</v>
      </c>
      <c r="B26" s="40" t="s">
        <v>1921</v>
      </c>
    </row>
    <row r="27" spans="1:5" x14ac:dyDescent="0.2">
      <c r="A27" s="39" t="s">
        <v>1922</v>
      </c>
      <c r="B27" s="40" t="s">
        <v>1923</v>
      </c>
    </row>
    <row r="28" spans="1:5" x14ac:dyDescent="0.2">
      <c r="A28" s="39" t="s">
        <v>1924</v>
      </c>
      <c r="B28" s="40" t="s">
        <v>1925</v>
      </c>
    </row>
    <row r="29" spans="1:5" x14ac:dyDescent="0.2">
      <c r="A29" s="37" t="s">
        <v>1926</v>
      </c>
      <c r="B29" s="38" t="s">
        <v>1927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BD152"/>
  <sheetViews>
    <sheetView topLeftCell="AG1" workbookViewId="0">
      <pane ySplit="1" topLeftCell="A70" activePane="bottomLeft" state="frozen"/>
      <selection pane="bottomLeft" activeCell="AQ109" sqref="AQ109"/>
    </sheetView>
  </sheetViews>
  <sheetFormatPr defaultRowHeight="14.25" x14ac:dyDescent="0.2"/>
  <cols>
    <col min="1" max="1" width="14.625" bestFit="1" customWidth="1"/>
    <col min="3" max="3" width="10.25" bestFit="1" customWidth="1"/>
    <col min="4" max="4" width="11.5" bestFit="1" customWidth="1"/>
    <col min="5" max="5" width="12.75" bestFit="1" customWidth="1"/>
    <col min="6" max="6" width="11.875" bestFit="1" customWidth="1"/>
    <col min="14" max="14" width="9" style="22"/>
    <col min="15" max="15" width="17.875" bestFit="1" customWidth="1"/>
    <col min="16" max="16" width="11.875" bestFit="1" customWidth="1"/>
    <col min="20" max="20" width="10" bestFit="1" customWidth="1"/>
    <col min="25" max="25" width="9.625" bestFit="1" customWidth="1"/>
    <col min="27" max="27" width="9.875" bestFit="1" customWidth="1"/>
    <col min="28" max="28" width="15.125" bestFit="1" customWidth="1"/>
    <col min="30" max="30" width="11.875" bestFit="1" customWidth="1"/>
    <col min="31" max="31" width="15.375" bestFit="1" customWidth="1"/>
    <col min="32" max="32" width="11.875" bestFit="1" customWidth="1"/>
    <col min="33" max="33" width="14" bestFit="1" customWidth="1"/>
    <col min="34" max="34" width="10.125" bestFit="1" customWidth="1"/>
    <col min="35" max="36" width="14" customWidth="1"/>
    <col min="37" max="37" width="14" style="1" customWidth="1"/>
    <col min="38" max="38" width="14" customWidth="1"/>
    <col min="39" max="39" width="10" bestFit="1" customWidth="1"/>
    <col min="49" max="49" width="9.625" bestFit="1" customWidth="1"/>
    <col min="56" max="56" width="16.25" bestFit="1" customWidth="1"/>
  </cols>
  <sheetData>
    <row r="1" spans="1:56" x14ac:dyDescent="0.2">
      <c r="A1" t="s">
        <v>1993</v>
      </c>
      <c r="B1" t="s">
        <v>1350</v>
      </c>
      <c r="C1" t="s">
        <v>2050</v>
      </c>
      <c r="D1" t="s">
        <v>2254</v>
      </c>
      <c r="E1" t="s">
        <v>2256</v>
      </c>
      <c r="F1" t="s">
        <v>2255</v>
      </c>
      <c r="G1" t="s">
        <v>2257</v>
      </c>
      <c r="H1" t="s">
        <v>2026</v>
      </c>
      <c r="I1" t="s">
        <v>2027</v>
      </c>
      <c r="J1" t="s">
        <v>2035</v>
      </c>
      <c r="K1" t="s">
        <v>2067</v>
      </c>
      <c r="L1" t="s">
        <v>2096</v>
      </c>
      <c r="M1" t="s">
        <v>2281</v>
      </c>
      <c r="N1" s="22" t="s">
        <v>2282</v>
      </c>
      <c r="Z1" t="s">
        <v>2060</v>
      </c>
      <c r="AA1">
        <v>3</v>
      </c>
      <c r="AB1" t="s">
        <v>2066</v>
      </c>
    </row>
    <row r="2" spans="1:56" s="10" customFormat="1" x14ac:dyDescent="0.2">
      <c r="A2" s="70" t="s">
        <v>2310</v>
      </c>
      <c r="B2" s="70">
        <v>11017</v>
      </c>
      <c r="C2" s="70"/>
      <c r="D2" s="70"/>
      <c r="E2" s="70"/>
      <c r="F2" s="70">
        <f>D2*(B2/100+1)</f>
        <v>0</v>
      </c>
      <c r="G2" s="70"/>
      <c r="H2" s="70"/>
      <c r="I2" s="70" t="s">
        <v>2028</v>
      </c>
      <c r="J2" s="70"/>
      <c r="K2" s="70"/>
      <c r="L2" s="70"/>
      <c r="M2"/>
      <c r="N2" s="22"/>
      <c r="O2"/>
      <c r="P2"/>
      <c r="Q2"/>
      <c r="R2"/>
      <c r="S2"/>
      <c r="T2"/>
      <c r="U2"/>
      <c r="V2"/>
      <c r="W2"/>
      <c r="X2"/>
      <c r="Y2"/>
      <c r="Z2" t="s">
        <v>2061</v>
      </c>
      <c r="AA2">
        <v>1</v>
      </c>
      <c r="AB2" t="s">
        <v>2065</v>
      </c>
      <c r="AC2"/>
      <c r="AD2"/>
      <c r="AE2"/>
      <c r="AF2"/>
      <c r="AG2"/>
      <c r="AH2"/>
      <c r="AI2"/>
      <c r="AJ2"/>
      <c r="AK2" s="1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6" s="70" customFormat="1" x14ac:dyDescent="0.2">
      <c r="A3" s="5" t="s">
        <v>2034</v>
      </c>
      <c r="B3" s="5">
        <v>8567</v>
      </c>
      <c r="C3" s="5" t="s">
        <v>2050</v>
      </c>
      <c r="D3" s="5">
        <v>120</v>
      </c>
      <c r="E3" s="5"/>
      <c r="F3" s="5" t="s">
        <v>2259</v>
      </c>
      <c r="G3" s="5" t="s">
        <v>2028</v>
      </c>
      <c r="H3" s="5" t="s">
        <v>2000</v>
      </c>
      <c r="I3" s="5" t="s">
        <v>2028</v>
      </c>
      <c r="J3" s="5"/>
      <c r="K3" s="5" t="s">
        <v>2028</v>
      </c>
      <c r="L3" s="5" t="s">
        <v>2028</v>
      </c>
      <c r="M3" s="5" t="s">
        <v>2026</v>
      </c>
      <c r="N3" s="91">
        <v>0.1</v>
      </c>
      <c r="O3"/>
      <c r="P3"/>
      <c r="Q3"/>
      <c r="R3"/>
      <c r="S3"/>
      <c r="T3" t="s">
        <v>2040</v>
      </c>
      <c r="U3"/>
      <c r="V3"/>
      <c r="W3" t="s">
        <v>2120</v>
      </c>
      <c r="X3">
        <v>5</v>
      </c>
      <c r="Y3"/>
      <c r="Z3" t="s">
        <v>2062</v>
      </c>
      <c r="AA3">
        <v>2</v>
      </c>
      <c r="AB3"/>
      <c r="AC3"/>
      <c r="AD3"/>
      <c r="AE3"/>
      <c r="AF3"/>
      <c r="AG3"/>
      <c r="AH3"/>
      <c r="AI3"/>
      <c r="AJ3"/>
      <c r="AK3" s="1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6" s="10" customFormat="1" x14ac:dyDescent="0.2">
      <c r="A4" s="70" t="s">
        <v>2163</v>
      </c>
      <c r="B4" s="70">
        <v>8058</v>
      </c>
      <c r="C4" s="70"/>
      <c r="D4" s="70"/>
      <c r="E4" s="70"/>
      <c r="F4" s="70">
        <f>D4*(B4/100+1)</f>
        <v>0</v>
      </c>
      <c r="G4" s="70" t="s">
        <v>2100</v>
      </c>
      <c r="H4" s="70"/>
      <c r="I4" s="70" t="s">
        <v>2028</v>
      </c>
      <c r="J4" s="70"/>
      <c r="K4" s="70"/>
      <c r="L4" s="70"/>
      <c r="M4" t="s">
        <v>2176</v>
      </c>
      <c r="N4" s="22"/>
      <c r="O4">
        <v>0.34</v>
      </c>
      <c r="P4">
        <f>10000/O4</f>
        <v>29411.76470588235</v>
      </c>
      <c r="Q4"/>
      <c r="R4"/>
      <c r="S4"/>
      <c r="T4"/>
      <c r="U4"/>
      <c r="V4"/>
      <c r="W4"/>
      <c r="X4"/>
      <c r="Y4"/>
      <c r="Z4" t="s">
        <v>2063</v>
      </c>
      <c r="AA4">
        <v>1</v>
      </c>
      <c r="AB4" t="s">
        <v>2064</v>
      </c>
      <c r="AC4"/>
      <c r="AD4"/>
      <c r="AE4"/>
      <c r="AF4"/>
      <c r="AG4"/>
      <c r="AH4"/>
      <c r="AI4"/>
      <c r="AJ4"/>
      <c r="AK4" s="1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6" s="10" customFormat="1" x14ac:dyDescent="0.2">
      <c r="A5" s="70" t="s">
        <v>2244</v>
      </c>
      <c r="B5" s="70">
        <v>6898</v>
      </c>
      <c r="C5" s="70"/>
      <c r="D5" s="70"/>
      <c r="E5" s="70"/>
      <c r="F5" s="70">
        <f>D5*(B5/100+1)</f>
        <v>0</v>
      </c>
      <c r="G5" s="70"/>
      <c r="H5" s="70"/>
      <c r="I5" s="70" t="s">
        <v>2028</v>
      </c>
      <c r="J5" s="70"/>
      <c r="K5" s="70"/>
      <c r="L5" s="70"/>
      <c r="M5"/>
      <c r="N5" s="22"/>
      <c r="O5">
        <v>31566</v>
      </c>
      <c r="P5">
        <f>10000/O5</f>
        <v>0.31679655325350059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6" s="10" customFormat="1" x14ac:dyDescent="0.2">
      <c r="A6" s="70" t="s">
        <v>2150</v>
      </c>
      <c r="B6" s="70">
        <v>4755</v>
      </c>
      <c r="C6" s="70" t="s">
        <v>2050</v>
      </c>
      <c r="D6" s="70"/>
      <c r="E6" s="70"/>
      <c r="F6" s="70">
        <f>D6*(B6/100+1)</f>
        <v>0</v>
      </c>
      <c r="G6" s="70" t="s">
        <v>2100</v>
      </c>
      <c r="H6" s="70" t="s">
        <v>2028</v>
      </c>
      <c r="I6" s="70" t="s">
        <v>2028</v>
      </c>
      <c r="J6" s="70"/>
      <c r="K6" s="70"/>
      <c r="L6" s="70"/>
      <c r="M6"/>
      <c r="N6" s="22"/>
      <c r="O6">
        <v>0.38</v>
      </c>
      <c r="P6">
        <f t="shared" ref="P6:P12" si="0">10000/O6</f>
        <v>26315.78947368421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6" x14ac:dyDescent="0.2">
      <c r="A7" t="s">
        <v>2079</v>
      </c>
      <c r="B7">
        <v>4383</v>
      </c>
      <c r="C7" t="s">
        <v>2050</v>
      </c>
      <c r="D7">
        <v>133</v>
      </c>
      <c r="E7" t="s">
        <v>2259</v>
      </c>
      <c r="F7" t="s">
        <v>2208</v>
      </c>
      <c r="G7" t="s">
        <v>2099</v>
      </c>
      <c r="H7" t="s">
        <v>2028</v>
      </c>
      <c r="I7" t="s">
        <v>2000</v>
      </c>
      <c r="K7" t="s">
        <v>2000</v>
      </c>
      <c r="L7" t="s">
        <v>2028</v>
      </c>
      <c r="M7" s="78" t="s">
        <v>2283</v>
      </c>
      <c r="N7" s="22">
        <v>0.17</v>
      </c>
      <c r="O7">
        <v>4501</v>
      </c>
      <c r="P7">
        <f>30000/O7</f>
        <v>6.6651855143301493</v>
      </c>
      <c r="T7" t="s">
        <v>2043</v>
      </c>
      <c r="U7" t="s">
        <v>2042</v>
      </c>
      <c r="AM7">
        <v>3069</v>
      </c>
      <c r="AN7">
        <v>2094</v>
      </c>
      <c r="AO7">
        <f>AM7+AN7</f>
        <v>5163</v>
      </c>
    </row>
    <row r="8" spans="1:56" x14ac:dyDescent="0.2">
      <c r="A8" s="4" t="s">
        <v>2161</v>
      </c>
      <c r="B8" s="4">
        <v>4206</v>
      </c>
      <c r="C8" s="4" t="s">
        <v>2050</v>
      </c>
      <c r="D8" s="4"/>
      <c r="E8" s="4"/>
      <c r="F8" s="4">
        <f>D8*(B8/100+1)</f>
        <v>0</v>
      </c>
      <c r="G8" s="4" t="s">
        <v>2028</v>
      </c>
      <c r="H8" s="4"/>
      <c r="I8" s="4" t="s">
        <v>2028</v>
      </c>
      <c r="J8" s="4"/>
      <c r="K8" s="4"/>
      <c r="L8" s="4"/>
      <c r="M8" t="s">
        <v>2069</v>
      </c>
      <c r="N8" s="22">
        <v>2.3599999999999999E-2</v>
      </c>
      <c r="P8" t="e">
        <f t="shared" si="0"/>
        <v>#DIV/0!</v>
      </c>
      <c r="S8" t="s">
        <v>2041</v>
      </c>
      <c r="T8">
        <v>0</v>
      </c>
      <c r="U8">
        <v>0</v>
      </c>
      <c r="V8" t="e">
        <f>(U8-T8)/T8*100</f>
        <v>#DIV/0!</v>
      </c>
      <c r="Z8">
        <f>20000/2794</f>
        <v>7.1581961345740872</v>
      </c>
      <c r="AM8">
        <v>404.9</v>
      </c>
      <c r="AN8">
        <v>369.9</v>
      </c>
      <c r="AO8">
        <f>AM8-AN8</f>
        <v>35</v>
      </c>
    </row>
    <row r="9" spans="1:56" x14ac:dyDescent="0.2">
      <c r="A9" s="95" t="s">
        <v>1994</v>
      </c>
      <c r="B9" s="95">
        <v>3962</v>
      </c>
      <c r="C9" s="95" t="s">
        <v>2050</v>
      </c>
      <c r="D9" s="95">
        <v>0</v>
      </c>
      <c r="E9" s="95"/>
      <c r="F9" s="95" t="s">
        <v>2259</v>
      </c>
      <c r="G9" s="95" t="s">
        <v>2028</v>
      </c>
      <c r="H9" s="95" t="s">
        <v>2000</v>
      </c>
      <c r="I9" s="95" t="s">
        <v>2000</v>
      </c>
      <c r="J9" s="95" t="s">
        <v>2000</v>
      </c>
      <c r="K9" s="95" t="s">
        <v>2028</v>
      </c>
      <c r="L9" s="95" t="s">
        <v>2028</v>
      </c>
      <c r="M9" s="95" t="s">
        <v>2175</v>
      </c>
      <c r="N9" s="96">
        <v>0.36549999999999999</v>
      </c>
      <c r="P9" t="e">
        <f t="shared" si="0"/>
        <v>#DIV/0!</v>
      </c>
      <c r="S9" t="s">
        <v>2024</v>
      </c>
      <c r="T9">
        <v>0</v>
      </c>
      <c r="U9">
        <v>0</v>
      </c>
      <c r="V9" t="e">
        <f>(U9-T9)/T9*100</f>
        <v>#DIV/0!</v>
      </c>
    </row>
    <row r="10" spans="1:56" x14ac:dyDescent="0.2">
      <c r="A10" t="s">
        <v>2076</v>
      </c>
      <c r="B10">
        <v>3917</v>
      </c>
      <c r="C10" t="s">
        <v>2050</v>
      </c>
      <c r="D10">
        <v>175</v>
      </c>
      <c r="E10" t="s">
        <v>2285</v>
      </c>
      <c r="F10" t="s">
        <v>2208</v>
      </c>
      <c r="G10" t="s">
        <v>2099</v>
      </c>
      <c r="I10" t="s">
        <v>2000</v>
      </c>
      <c r="L10" t="s">
        <v>2000</v>
      </c>
      <c r="M10" t="s">
        <v>2207</v>
      </c>
      <c r="P10" t="e">
        <f t="shared" si="0"/>
        <v>#DIV/0!</v>
      </c>
      <c r="S10" t="s">
        <v>2044</v>
      </c>
      <c r="T10">
        <v>100</v>
      </c>
      <c r="U10">
        <v>67</v>
      </c>
      <c r="V10">
        <f>(U10-T10)/T10*100</f>
        <v>-33</v>
      </c>
    </row>
    <row r="11" spans="1:56" x14ac:dyDescent="0.2">
      <c r="A11" s="70" t="s">
        <v>2239</v>
      </c>
      <c r="B11" s="70">
        <v>3894</v>
      </c>
      <c r="C11" s="70"/>
      <c r="D11" s="70"/>
      <c r="E11" s="70"/>
      <c r="F11" s="70">
        <f t="shared" ref="F11:F17" si="1">D11*(B11/100+1)</f>
        <v>0</v>
      </c>
      <c r="G11" s="70"/>
      <c r="H11" s="70"/>
      <c r="I11" s="70" t="s">
        <v>2028</v>
      </c>
      <c r="J11" s="70"/>
      <c r="K11" s="70"/>
      <c r="L11" s="70"/>
      <c r="P11" t="e">
        <f t="shared" si="0"/>
        <v>#DIV/0!</v>
      </c>
      <c r="S11" t="s">
        <v>2049</v>
      </c>
      <c r="T11">
        <v>20</v>
      </c>
      <c r="U11">
        <v>20</v>
      </c>
      <c r="V11">
        <f>(U11-T11)/T11*100</f>
        <v>0</v>
      </c>
      <c r="AM11" t="s">
        <v>2069</v>
      </c>
      <c r="AR11" t="s">
        <v>2033</v>
      </c>
      <c r="AW11" t="s">
        <v>2022</v>
      </c>
    </row>
    <row r="12" spans="1:56" x14ac:dyDescent="0.2">
      <c r="A12" s="4" t="s">
        <v>2164</v>
      </c>
      <c r="B12" s="4">
        <v>3581</v>
      </c>
      <c r="C12" s="4" t="s">
        <v>2050</v>
      </c>
      <c r="D12" s="4"/>
      <c r="E12" s="4"/>
      <c r="F12" s="4">
        <f t="shared" si="1"/>
        <v>0</v>
      </c>
      <c r="G12" s="4" t="s">
        <v>2028</v>
      </c>
      <c r="H12" s="4"/>
      <c r="I12" s="4" t="s">
        <v>2028</v>
      </c>
      <c r="J12" s="4"/>
      <c r="K12" s="4"/>
      <c r="L12" s="4"/>
      <c r="M12" s="4" t="s">
        <v>2069</v>
      </c>
      <c r="N12" s="93">
        <v>7.9000000000000001E-2</v>
      </c>
      <c r="P12" t="e">
        <f t="shared" si="0"/>
        <v>#DIV/0!</v>
      </c>
      <c r="X12">
        <v>100</v>
      </c>
      <c r="Y12">
        <v>30</v>
      </c>
      <c r="AM12">
        <v>0</v>
      </c>
      <c r="AN12">
        <v>4.5</v>
      </c>
      <c r="AO12">
        <f>AM12*AN12</f>
        <v>0</v>
      </c>
      <c r="AR12">
        <v>719</v>
      </c>
      <c r="AS12">
        <v>28</v>
      </c>
      <c r="AT12">
        <f>AR12*AS12</f>
        <v>20132</v>
      </c>
      <c r="AW12">
        <v>0</v>
      </c>
      <c r="AX12">
        <v>2.5</v>
      </c>
      <c r="AY12">
        <f>AW12*AX12</f>
        <v>0</v>
      </c>
    </row>
    <row r="13" spans="1:56" x14ac:dyDescent="0.2">
      <c r="A13" s="70" t="s">
        <v>2133</v>
      </c>
      <c r="B13" s="70">
        <v>3383</v>
      </c>
      <c r="C13" s="70" t="s">
        <v>2134</v>
      </c>
      <c r="D13" s="70"/>
      <c r="E13" s="70"/>
      <c r="F13" s="70">
        <f t="shared" si="1"/>
        <v>0</v>
      </c>
      <c r="G13" s="70" t="s">
        <v>2099</v>
      </c>
      <c r="H13" s="70"/>
      <c r="I13" s="70" t="s">
        <v>2028</v>
      </c>
      <c r="J13" s="70"/>
      <c r="K13" s="70"/>
      <c r="L13" s="70"/>
      <c r="AM13">
        <v>0</v>
      </c>
      <c r="AN13">
        <v>5.8</v>
      </c>
      <c r="AO13">
        <f>AM13*AN13</f>
        <v>0</v>
      </c>
      <c r="AR13">
        <v>841</v>
      </c>
      <c r="AS13">
        <v>23.8</v>
      </c>
      <c r="AT13">
        <f>AR13*AS13</f>
        <v>20015.8</v>
      </c>
      <c r="AW13">
        <v>0</v>
      </c>
      <c r="AX13">
        <v>2.4</v>
      </c>
      <c r="AY13">
        <f>AW13*AX13</f>
        <v>0</v>
      </c>
    </row>
    <row r="14" spans="1:56" x14ac:dyDescent="0.2">
      <c r="A14" s="70" t="s">
        <v>2204</v>
      </c>
      <c r="B14" s="70">
        <v>2782</v>
      </c>
      <c r="C14" s="70"/>
      <c r="D14" s="70"/>
      <c r="E14" s="70"/>
      <c r="F14" s="70">
        <f t="shared" si="1"/>
        <v>0</v>
      </c>
      <c r="G14" s="70"/>
      <c r="H14" s="70"/>
      <c r="I14" s="70" t="s">
        <v>2028</v>
      </c>
      <c r="J14" s="70"/>
      <c r="K14" s="70"/>
      <c r="L14" s="70"/>
      <c r="Z14">
        <v>10961</v>
      </c>
      <c r="AA14">
        <f>Z14+2792</f>
        <v>13753</v>
      </c>
      <c r="AM14">
        <v>0</v>
      </c>
      <c r="AN14">
        <v>6.2</v>
      </c>
      <c r="AO14">
        <f>AM14*AN14</f>
        <v>0</v>
      </c>
      <c r="AR14">
        <v>0</v>
      </c>
      <c r="AS14">
        <v>11.62</v>
      </c>
      <c r="AT14">
        <f>AR14*AS14</f>
        <v>0</v>
      </c>
      <c r="AW14">
        <v>0</v>
      </c>
      <c r="AX14">
        <v>1.43</v>
      </c>
      <c r="AY14">
        <f>AW14*AX14</f>
        <v>0</v>
      </c>
    </row>
    <row r="15" spans="1:56" x14ac:dyDescent="0.2">
      <c r="A15" s="6" t="s">
        <v>2116</v>
      </c>
      <c r="B15" s="6">
        <v>2573</v>
      </c>
      <c r="C15" s="6" t="s">
        <v>2050</v>
      </c>
      <c r="D15" s="6"/>
      <c r="E15" s="6"/>
      <c r="F15" s="6">
        <f t="shared" si="1"/>
        <v>0</v>
      </c>
      <c r="G15" s="6" t="s">
        <v>2028</v>
      </c>
      <c r="H15" s="6"/>
      <c r="I15" s="6" t="s">
        <v>2028</v>
      </c>
      <c r="J15" s="6"/>
      <c r="K15" s="6"/>
      <c r="L15" s="6"/>
      <c r="AM15">
        <v>0</v>
      </c>
      <c r="AN15">
        <v>5.9</v>
      </c>
      <c r="AO15">
        <f>AM15*AN15</f>
        <v>0</v>
      </c>
      <c r="AR15">
        <v>0</v>
      </c>
      <c r="AS15">
        <v>8.24</v>
      </c>
      <c r="AT15">
        <f>AR15*AS15</f>
        <v>0</v>
      </c>
      <c r="AW15">
        <v>0</v>
      </c>
      <c r="AX15">
        <v>1.29</v>
      </c>
      <c r="AY15">
        <f>AW15*AX15</f>
        <v>0</v>
      </c>
      <c r="BB15">
        <v>100000</v>
      </c>
      <c r="BC15">
        <v>24000</v>
      </c>
      <c r="BD15" s="2">
        <f>BB15*BC15</f>
        <v>2400000000</v>
      </c>
    </row>
    <row r="16" spans="1:56" x14ac:dyDescent="0.2">
      <c r="A16" s="70" t="s">
        <v>2059</v>
      </c>
      <c r="B16" s="70">
        <v>2522</v>
      </c>
      <c r="C16" s="70" t="s">
        <v>2050</v>
      </c>
      <c r="D16" s="70"/>
      <c r="E16" s="70"/>
      <c r="F16" s="70">
        <f t="shared" si="1"/>
        <v>0</v>
      </c>
      <c r="G16" s="70" t="s">
        <v>2100</v>
      </c>
      <c r="H16" s="70" t="s">
        <v>2028</v>
      </c>
      <c r="I16" s="70" t="s">
        <v>2028</v>
      </c>
      <c r="J16" s="70"/>
      <c r="K16" s="70" t="s">
        <v>2028</v>
      </c>
      <c r="L16" s="70" t="s">
        <v>2028</v>
      </c>
      <c r="AM16">
        <v>0</v>
      </c>
      <c r="AN16">
        <v>1.3</v>
      </c>
      <c r="AO16">
        <f>AM16*AN16</f>
        <v>0</v>
      </c>
      <c r="AR16">
        <f>SUM(AR12:AR15)</f>
        <v>1560</v>
      </c>
      <c r="AS16">
        <f>AT16/AR16</f>
        <v>25.735769230769233</v>
      </c>
      <c r="AT16">
        <f>SUM(AT12:AT15)</f>
        <v>40147.800000000003</v>
      </c>
      <c r="AW16">
        <f>SUM(AW12:AW15)</f>
        <v>0</v>
      </c>
      <c r="AX16" t="e">
        <f>AY16/AW16</f>
        <v>#DIV/0!</v>
      </c>
      <c r="AY16">
        <f>SUM(AY12:AY15)</f>
        <v>0</v>
      </c>
    </row>
    <row r="17" spans="1:53" s="70" customFormat="1" x14ac:dyDescent="0.2">
      <c r="A17" s="70" t="s">
        <v>2097</v>
      </c>
      <c r="B17" s="70">
        <v>2280</v>
      </c>
      <c r="C17" s="70" t="s">
        <v>2050</v>
      </c>
      <c r="F17" s="70">
        <f t="shared" si="1"/>
        <v>0</v>
      </c>
      <c r="G17" s="70" t="s">
        <v>2028</v>
      </c>
      <c r="I17" s="70" t="s">
        <v>2028</v>
      </c>
      <c r="M17"/>
      <c r="N17" s="22"/>
      <c r="O17"/>
      <c r="P17"/>
      <c r="Q17"/>
      <c r="R17"/>
      <c r="S17"/>
      <c r="T17"/>
      <c r="U17"/>
      <c r="V17"/>
      <c r="W17"/>
      <c r="X17"/>
      <c r="Y17"/>
      <c r="Z17"/>
      <c r="AA17" t="s">
        <v>2080</v>
      </c>
      <c r="AF17"/>
      <c r="AG17"/>
      <c r="AH17"/>
      <c r="AI17"/>
      <c r="AJ17"/>
      <c r="AK17" s="1"/>
      <c r="AL17"/>
      <c r="AM17">
        <f>SUM(AM12:AM16)</f>
        <v>0</v>
      </c>
      <c r="AN17" t="e">
        <f>AO17/AM17</f>
        <v>#DIV/0!</v>
      </c>
      <c r="AO17">
        <f>SUM(AO12:AO16)</f>
        <v>0</v>
      </c>
      <c r="AP17"/>
      <c r="AQ17"/>
      <c r="AR17">
        <f>AR16</f>
        <v>1560</v>
      </c>
      <c r="AS17">
        <v>15</v>
      </c>
      <c r="AT17">
        <f>AR17*AS17</f>
        <v>23400</v>
      </c>
      <c r="AU17">
        <f>AS17/AS16-1</f>
        <v>-0.41715361738376699</v>
      </c>
      <c r="AV17"/>
      <c r="AW17">
        <f>AW16</f>
        <v>0</v>
      </c>
      <c r="AX17">
        <v>1.57</v>
      </c>
      <c r="AY17">
        <f>AW17*AX17</f>
        <v>0</v>
      </c>
      <c r="AZ17" t="e">
        <f>AX17/AX16-1</f>
        <v>#DIV/0!</v>
      </c>
      <c r="BA17"/>
    </row>
    <row r="18" spans="1:53" x14ac:dyDescent="0.2">
      <c r="A18" t="s">
        <v>2087</v>
      </c>
      <c r="B18">
        <v>2210</v>
      </c>
      <c r="C18" t="s">
        <v>2050</v>
      </c>
      <c r="D18">
        <v>150</v>
      </c>
      <c r="F18" t="s">
        <v>2259</v>
      </c>
      <c r="G18" t="s">
        <v>2028</v>
      </c>
      <c r="H18" t="s">
        <v>2000</v>
      </c>
      <c r="I18" t="s">
        <v>2000</v>
      </c>
      <c r="K18" t="s">
        <v>2028</v>
      </c>
      <c r="L18" t="s">
        <v>2028</v>
      </c>
      <c r="M18" t="s">
        <v>2069</v>
      </c>
      <c r="N18" s="22">
        <v>6.9099999999999995E-2</v>
      </c>
      <c r="O18">
        <f>8750+7891</f>
        <v>16641</v>
      </c>
      <c r="AM18">
        <f>AM17</f>
        <v>0</v>
      </c>
      <c r="AN18">
        <v>14.75</v>
      </c>
      <c r="AO18">
        <f>AM18*AN18</f>
        <v>0</v>
      </c>
      <c r="AP18" t="e">
        <f>AN18/AN17-1</f>
        <v>#DIV/0!</v>
      </c>
    </row>
    <row r="19" spans="1:53" x14ac:dyDescent="0.2">
      <c r="A19" s="14" t="s">
        <v>2033</v>
      </c>
      <c r="B19" s="14">
        <v>2129</v>
      </c>
      <c r="C19" s="14" t="s">
        <v>2050</v>
      </c>
      <c r="D19" s="14">
        <v>95</v>
      </c>
      <c r="E19" s="14" t="s">
        <v>2259</v>
      </c>
      <c r="F19" s="14" t="s">
        <v>2208</v>
      </c>
      <c r="G19" s="14" t="s">
        <v>2099</v>
      </c>
      <c r="H19" s="14" t="s">
        <v>2000</v>
      </c>
      <c r="I19" s="14" t="s">
        <v>2000</v>
      </c>
      <c r="J19" s="14" t="s">
        <v>2028</v>
      </c>
      <c r="K19" s="14" t="s">
        <v>2028</v>
      </c>
      <c r="L19" s="14" t="s">
        <v>2000</v>
      </c>
      <c r="M19" s="14" t="s">
        <v>2033</v>
      </c>
      <c r="N19" s="90">
        <v>0.33</v>
      </c>
      <c r="Q19" t="s">
        <v>2044</v>
      </c>
      <c r="R19">
        <v>200</v>
      </c>
      <c r="T19" s="72">
        <f>(S19/R19-1)</f>
        <v>-1</v>
      </c>
      <c r="V19" t="s">
        <v>2048</v>
      </c>
      <c r="W19">
        <v>659</v>
      </c>
      <c r="X19">
        <v>676</v>
      </c>
      <c r="Y19" s="72">
        <f>(X19/W19-1)</f>
        <v>2.5796661608497695E-2</v>
      </c>
    </row>
    <row r="20" spans="1:53" s="70" customFormat="1" x14ac:dyDescent="0.2">
      <c r="A20" s="70" t="s">
        <v>2112</v>
      </c>
      <c r="B20" s="70">
        <v>2110</v>
      </c>
      <c r="C20" s="70" t="s">
        <v>2050</v>
      </c>
      <c r="F20" s="70">
        <f>D20*(B20/100+1)</f>
        <v>0</v>
      </c>
      <c r="G20" s="70" t="s">
        <v>2100</v>
      </c>
      <c r="I20" s="70" t="s">
        <v>2028</v>
      </c>
      <c r="M20"/>
      <c r="N20" s="22"/>
      <c r="O20"/>
      <c r="P20"/>
      <c r="Q20"/>
      <c r="R20"/>
      <c r="S20"/>
      <c r="T20" s="72" t="e">
        <f>(S20/R20-1)</f>
        <v>#DIV/0!</v>
      </c>
      <c r="U20"/>
      <c r="V20" t="s">
        <v>2044</v>
      </c>
      <c r="W20">
        <v>676</v>
      </c>
      <c r="X20">
        <v>700</v>
      </c>
      <c r="Y20" s="72">
        <f>(X20/W20-1)</f>
        <v>3.5502958579881616E-2</v>
      </c>
      <c r="Z20"/>
      <c r="AA20"/>
      <c r="AB20"/>
      <c r="AC20"/>
      <c r="AD20"/>
      <c r="AE20"/>
      <c r="AF20"/>
      <c r="AG20"/>
      <c r="AH20"/>
      <c r="AI20"/>
      <c r="AJ20"/>
      <c r="AK20" s="1"/>
      <c r="AL20"/>
      <c r="AM20" t="s">
        <v>2141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70" customFormat="1" x14ac:dyDescent="0.2">
      <c r="A21" t="s">
        <v>2019</v>
      </c>
      <c r="B21">
        <v>2053</v>
      </c>
      <c r="C21" t="s">
        <v>2050</v>
      </c>
      <c r="D21">
        <v>185</v>
      </c>
      <c r="E21" t="s">
        <v>2259</v>
      </c>
      <c r="F21" t="s">
        <v>2208</v>
      </c>
      <c r="G21" t="s">
        <v>2099</v>
      </c>
      <c r="H21" t="s">
        <v>2028</v>
      </c>
      <c r="I21" t="s">
        <v>2000</v>
      </c>
      <c r="J21" t="s">
        <v>2000</v>
      </c>
      <c r="K21" t="s">
        <v>2028</v>
      </c>
      <c r="L21" t="s">
        <v>2000</v>
      </c>
      <c r="M21" t="s">
        <v>2069</v>
      </c>
      <c r="N21" s="22">
        <v>0.1348</v>
      </c>
      <c r="O21"/>
      <c r="P21"/>
      <c r="Q21"/>
      <c r="R21"/>
      <c r="S21"/>
      <c r="T21" s="72" t="e">
        <f>(S21/R21-1)</f>
        <v>#DIV/0!</v>
      </c>
      <c r="U21"/>
      <c r="V21" t="s">
        <v>2047</v>
      </c>
      <c r="W21">
        <v>800</v>
      </c>
      <c r="X21">
        <v>730</v>
      </c>
      <c r="Y21" s="72">
        <f t="shared" ref="Y21:Y32" si="2">(X21/W21-1)</f>
        <v>-8.7500000000000022E-2</v>
      </c>
      <c r="Z21"/>
      <c r="AA21"/>
      <c r="AB21"/>
      <c r="AC21"/>
      <c r="AD21"/>
      <c r="AE21"/>
      <c r="AF21"/>
      <c r="AG21"/>
      <c r="AH21"/>
      <c r="AI21"/>
      <c r="AJ21"/>
      <c r="AK21" s="1"/>
      <c r="AL21"/>
      <c r="AM21">
        <v>0</v>
      </c>
      <c r="AN21">
        <v>0.61</v>
      </c>
      <c r="AO21">
        <f>AM21*AN21</f>
        <v>0</v>
      </c>
      <c r="AP21"/>
      <c r="AQ21"/>
      <c r="AR21" t="s">
        <v>2036</v>
      </c>
      <c r="AS21"/>
      <c r="AT21"/>
      <c r="AU21"/>
      <c r="AV21"/>
      <c r="AW21" t="s">
        <v>2089</v>
      </c>
      <c r="AX21"/>
      <c r="AY21"/>
      <c r="AZ21"/>
      <c r="BA21"/>
    </row>
    <row r="22" spans="1:53" x14ac:dyDescent="0.2">
      <c r="A22" s="5" t="s">
        <v>2102</v>
      </c>
      <c r="B22" s="5">
        <v>1998</v>
      </c>
      <c r="C22" s="5" t="s">
        <v>2050</v>
      </c>
      <c r="D22" s="5"/>
      <c r="E22" s="5"/>
      <c r="F22" s="5" t="s">
        <v>2208</v>
      </c>
      <c r="G22" s="5" t="s">
        <v>2099</v>
      </c>
      <c r="H22" s="5" t="s">
        <v>2000</v>
      </c>
      <c r="I22" s="5" t="s">
        <v>2028</v>
      </c>
      <c r="J22" s="5" t="s">
        <v>2028</v>
      </c>
      <c r="K22" s="5" t="s">
        <v>2028</v>
      </c>
      <c r="L22" s="5" t="s">
        <v>2028</v>
      </c>
      <c r="V22" t="s">
        <v>2044</v>
      </c>
      <c r="W22">
        <v>1030</v>
      </c>
      <c r="Y22" s="72">
        <f t="shared" si="2"/>
        <v>-1</v>
      </c>
      <c r="AM22">
        <v>0</v>
      </c>
      <c r="AN22">
        <v>130.21</v>
      </c>
      <c r="AO22">
        <f>AM22*AN22</f>
        <v>0</v>
      </c>
      <c r="AR22">
        <v>0</v>
      </c>
      <c r="AS22">
        <v>53000</v>
      </c>
      <c r="AT22">
        <f>AR22*AS22</f>
        <v>0</v>
      </c>
      <c r="AW22">
        <v>0</v>
      </c>
      <c r="AX22">
        <v>1910</v>
      </c>
      <c r="AY22">
        <f>AW22*AX22</f>
        <v>0</v>
      </c>
    </row>
    <row r="23" spans="1:53" x14ac:dyDescent="0.2">
      <c r="A23" s="4" t="s">
        <v>2160</v>
      </c>
      <c r="B23" s="4">
        <v>1989</v>
      </c>
      <c r="C23" s="4"/>
      <c r="D23" s="4"/>
      <c r="E23" s="4"/>
      <c r="F23" s="4">
        <f>D23*(B23/100+1)</f>
        <v>0</v>
      </c>
      <c r="G23" s="4" t="s">
        <v>2028</v>
      </c>
      <c r="H23" s="4"/>
      <c r="I23" s="4" t="s">
        <v>2028</v>
      </c>
      <c r="J23" s="4"/>
      <c r="K23" s="4"/>
      <c r="L23" s="4"/>
      <c r="M23" t="s">
        <v>2069</v>
      </c>
      <c r="N23" s="22">
        <v>0.28129999999999999</v>
      </c>
      <c r="V23" t="s">
        <v>2044</v>
      </c>
      <c r="W23">
        <v>6.58</v>
      </c>
      <c r="X23">
        <v>5.7</v>
      </c>
      <c r="Y23" s="72">
        <f t="shared" si="2"/>
        <v>-0.13373860182370823</v>
      </c>
      <c r="AM23">
        <v>0</v>
      </c>
      <c r="AN23">
        <v>0</v>
      </c>
      <c r="AO23">
        <f>AM23*AN23</f>
        <v>0</v>
      </c>
      <c r="AR23">
        <v>0</v>
      </c>
      <c r="AS23">
        <v>49000</v>
      </c>
      <c r="AT23">
        <f>AR23*AS23</f>
        <v>0</v>
      </c>
      <c r="AW23">
        <v>0</v>
      </c>
      <c r="AX23">
        <v>2000</v>
      </c>
      <c r="AY23">
        <f>AW23*AX23</f>
        <v>0</v>
      </c>
    </row>
    <row r="24" spans="1:53" x14ac:dyDescent="0.2">
      <c r="A24" t="s">
        <v>2015</v>
      </c>
      <c r="B24">
        <v>1940</v>
      </c>
      <c r="C24" t="s">
        <v>2050</v>
      </c>
      <c r="D24">
        <v>241</v>
      </c>
      <c r="F24" t="s">
        <v>2259</v>
      </c>
      <c r="G24" t="s">
        <v>2028</v>
      </c>
      <c r="H24" t="s">
        <v>2028</v>
      </c>
      <c r="I24" t="s">
        <v>2000</v>
      </c>
      <c r="J24" t="s">
        <v>2028</v>
      </c>
      <c r="K24" t="s">
        <v>2028</v>
      </c>
      <c r="L24" t="s">
        <v>2028</v>
      </c>
      <c r="M24" t="s">
        <v>2164</v>
      </c>
      <c r="N24" s="22">
        <v>7.0099999999999996E-2</v>
      </c>
      <c r="V24" t="s">
        <v>2049</v>
      </c>
      <c r="W24">
        <v>0.87</v>
      </c>
      <c r="X24">
        <v>0.88</v>
      </c>
      <c r="Y24" s="72">
        <f t="shared" si="2"/>
        <v>1.1494252873563315E-2</v>
      </c>
      <c r="AB24">
        <v>30000</v>
      </c>
      <c r="AC24">
        <f>AB24/7.5</f>
        <v>4000</v>
      </c>
      <c r="AM24">
        <v>0</v>
      </c>
      <c r="AN24">
        <v>0</v>
      </c>
      <c r="AO24">
        <f>AM24*AN24</f>
        <v>0</v>
      </c>
      <c r="AR24">
        <v>0</v>
      </c>
      <c r="AS24">
        <v>46000</v>
      </c>
      <c r="AT24">
        <f>AR24*AS24</f>
        <v>0</v>
      </c>
      <c r="AW24">
        <v>0</v>
      </c>
      <c r="AX24">
        <v>1078</v>
      </c>
      <c r="AY24">
        <f>AW24*AX24</f>
        <v>0</v>
      </c>
    </row>
    <row r="25" spans="1:53" x14ac:dyDescent="0.2">
      <c r="A25" s="30" t="s">
        <v>2069</v>
      </c>
      <c r="B25" s="30">
        <v>1808</v>
      </c>
      <c r="C25" s="30" t="s">
        <v>2050</v>
      </c>
      <c r="D25" s="30">
        <v>90</v>
      </c>
      <c r="E25" s="30" t="s">
        <v>2285</v>
      </c>
      <c r="F25" s="30" t="s">
        <v>2285</v>
      </c>
      <c r="G25" s="30" t="s">
        <v>2099</v>
      </c>
      <c r="H25" s="30"/>
      <c r="I25" s="30" t="s">
        <v>2000</v>
      </c>
      <c r="J25" s="30"/>
      <c r="K25" s="30"/>
      <c r="L25" s="30" t="s">
        <v>2000</v>
      </c>
      <c r="O25" t="s">
        <v>2068</v>
      </c>
      <c r="P25">
        <v>6.22</v>
      </c>
      <c r="Q25">
        <v>0.87</v>
      </c>
      <c r="R25">
        <f>P25/Q25</f>
        <v>7.1494252873563218</v>
      </c>
      <c r="S25" t="s">
        <v>2022</v>
      </c>
      <c r="V25" t="s">
        <v>2047</v>
      </c>
      <c r="W25">
        <v>0.57999999999999996</v>
      </c>
      <c r="X25">
        <v>0.52</v>
      </c>
      <c r="Y25" s="72">
        <f t="shared" si="2"/>
        <v>-0.10344827586206884</v>
      </c>
      <c r="AM25">
        <f>SUM(AM21:AM24)</f>
        <v>0</v>
      </c>
      <c r="AN25" t="e">
        <f>AO25/AM25</f>
        <v>#DIV/0!</v>
      </c>
      <c r="AO25">
        <f>SUM(AO21:AO24)</f>
        <v>0</v>
      </c>
      <c r="AR25">
        <v>0</v>
      </c>
      <c r="AS25">
        <v>70</v>
      </c>
      <c r="AT25">
        <f>AR25*AS25</f>
        <v>0</v>
      </c>
      <c r="AW25">
        <v>0</v>
      </c>
      <c r="AX25">
        <v>732</v>
      </c>
      <c r="AY25">
        <f>AW25*AX25</f>
        <v>0</v>
      </c>
    </row>
    <row r="26" spans="1:53" x14ac:dyDescent="0.2">
      <c r="A26" s="70" t="s">
        <v>2205</v>
      </c>
      <c r="B26" s="70">
        <v>1778</v>
      </c>
      <c r="C26" s="70"/>
      <c r="D26" s="70"/>
      <c r="E26" s="70"/>
      <c r="F26" s="70">
        <f>D26*(B26/100+1)</f>
        <v>0</v>
      </c>
      <c r="G26" s="70"/>
      <c r="H26" s="70"/>
      <c r="I26" s="70" t="s">
        <v>2028</v>
      </c>
      <c r="J26" s="70"/>
      <c r="K26" s="70"/>
      <c r="L26" s="70"/>
      <c r="O26" t="s">
        <v>2022</v>
      </c>
      <c r="P26">
        <v>0.87</v>
      </c>
      <c r="Q26">
        <v>6.22</v>
      </c>
      <c r="R26">
        <f>P26/Q26</f>
        <v>0.13987138263665597</v>
      </c>
      <c r="S26" t="s">
        <v>2068</v>
      </c>
      <c r="V26" t="s">
        <v>2098</v>
      </c>
      <c r="W26">
        <v>1.26</v>
      </c>
      <c r="Y26" s="72">
        <f t="shared" si="2"/>
        <v>-1</v>
      </c>
      <c r="AM26">
        <f>AM25</f>
        <v>0</v>
      </c>
      <c r="AN26">
        <v>0.78</v>
      </c>
      <c r="AO26">
        <f>AM26*AN26</f>
        <v>0</v>
      </c>
      <c r="AP26" t="e">
        <f>AN26/AN25-1</f>
        <v>#DIV/0!</v>
      </c>
      <c r="AR26">
        <f>SUM(AR22:AR25)</f>
        <v>0</v>
      </c>
      <c r="AS26" t="e">
        <f>AT26/AR26</f>
        <v>#DIV/0!</v>
      </c>
      <c r="AT26">
        <f>SUM(AT22:AT25)</f>
        <v>0</v>
      </c>
      <c r="AW26">
        <f>SUM(AW22:AW25)</f>
        <v>0</v>
      </c>
      <c r="AX26" t="e">
        <f>AY26/AW26</f>
        <v>#DIV/0!</v>
      </c>
      <c r="AY26">
        <f>SUM(AY22:AY25)</f>
        <v>0</v>
      </c>
    </row>
    <row r="27" spans="1:53" x14ac:dyDescent="0.2">
      <c r="A27" s="70" t="s">
        <v>2085</v>
      </c>
      <c r="B27" s="70">
        <v>1770</v>
      </c>
      <c r="C27" s="70" t="s">
        <v>2050</v>
      </c>
      <c r="D27" s="70"/>
      <c r="E27" s="70"/>
      <c r="F27" s="70">
        <f>D27*(B27/100+1)</f>
        <v>0</v>
      </c>
      <c r="G27" s="70" t="s">
        <v>2099</v>
      </c>
      <c r="H27" s="70" t="s">
        <v>2028</v>
      </c>
      <c r="I27" s="70" t="s">
        <v>2028</v>
      </c>
      <c r="J27" s="70" t="s">
        <v>2000</v>
      </c>
      <c r="K27" s="70" t="s">
        <v>2028</v>
      </c>
      <c r="L27" s="70" t="s">
        <v>2028</v>
      </c>
      <c r="M27" t="s">
        <v>2177</v>
      </c>
      <c r="V27" t="s">
        <v>1149</v>
      </c>
      <c r="W27">
        <v>7.99</v>
      </c>
      <c r="Y27" s="72">
        <f t="shared" si="2"/>
        <v>-1</v>
      </c>
      <c r="AR27">
        <f>AR26</f>
        <v>0</v>
      </c>
      <c r="AS27">
        <v>40000</v>
      </c>
      <c r="AT27">
        <f>AR27*AS27</f>
        <v>0</v>
      </c>
      <c r="AU27" t="e">
        <f>AS27/AS26-1</f>
        <v>#DIV/0!</v>
      </c>
      <c r="AW27">
        <f>AW26</f>
        <v>0</v>
      </c>
      <c r="AX27">
        <v>1560</v>
      </c>
      <c r="AY27">
        <f>AW27*AX27</f>
        <v>0</v>
      </c>
      <c r="AZ27" t="e">
        <f>AX27/AX26-1</f>
        <v>#DIV/0!</v>
      </c>
    </row>
    <row r="28" spans="1:53" s="70" customFormat="1" x14ac:dyDescent="0.2">
      <c r="A28" s="5" t="s">
        <v>1992</v>
      </c>
      <c r="B28" s="5">
        <v>1757</v>
      </c>
      <c r="C28" s="5" t="s">
        <v>2050</v>
      </c>
      <c r="D28" s="5"/>
      <c r="E28" s="5" t="s">
        <v>2285</v>
      </c>
      <c r="F28" s="5" t="s">
        <v>2208</v>
      </c>
      <c r="G28" s="5" t="s">
        <v>2285</v>
      </c>
      <c r="H28" s="5" t="s">
        <v>2000</v>
      </c>
      <c r="I28" s="5" t="s">
        <v>2028</v>
      </c>
      <c r="J28" s="5" t="s">
        <v>2000</v>
      </c>
      <c r="K28" s="5" t="s">
        <v>2000</v>
      </c>
      <c r="L28" s="5" t="s">
        <v>2000</v>
      </c>
      <c r="M28" s="5" t="s">
        <v>2283</v>
      </c>
      <c r="N28" s="91">
        <v>0.05</v>
      </c>
      <c r="O28"/>
      <c r="P28"/>
      <c r="Q28"/>
      <c r="R28"/>
      <c r="S28"/>
      <c r="T28"/>
      <c r="U28"/>
      <c r="V28" t="s">
        <v>2049</v>
      </c>
      <c r="W28">
        <v>0.88</v>
      </c>
      <c r="X28"/>
      <c r="Y28" s="72">
        <f t="shared" si="2"/>
        <v>-1</v>
      </c>
      <c r="Z28"/>
      <c r="AA28"/>
      <c r="AB28" t="s">
        <v>2101</v>
      </c>
      <c r="AC28"/>
      <c r="AD28"/>
      <c r="AE28"/>
      <c r="AF28"/>
      <c r="AG28"/>
      <c r="AH28"/>
      <c r="AI28"/>
      <c r="AJ28"/>
      <c r="AK28" s="1"/>
      <c r="AL28"/>
      <c r="AM28" t="s">
        <v>2014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2">
      <c r="A29" s="4" t="s">
        <v>2082</v>
      </c>
      <c r="B29" s="4">
        <v>1720</v>
      </c>
      <c r="C29" s="4" t="s">
        <v>2050</v>
      </c>
      <c r="D29" s="4"/>
      <c r="E29" s="4"/>
      <c r="F29" s="4">
        <f>D29*(B29/100+1)</f>
        <v>0</v>
      </c>
      <c r="G29" s="4" t="s">
        <v>2100</v>
      </c>
      <c r="H29" s="4"/>
      <c r="I29" s="4" t="s">
        <v>2028</v>
      </c>
      <c r="J29" s="4"/>
      <c r="K29" s="4"/>
      <c r="L29" s="4" t="s">
        <v>2000</v>
      </c>
      <c r="M29" s="4" t="s">
        <v>2283</v>
      </c>
      <c r="N29" s="93">
        <v>0.15</v>
      </c>
      <c r="Y29" s="72" t="e">
        <f t="shared" si="2"/>
        <v>#DIV/0!</v>
      </c>
      <c r="AM29">
        <v>0</v>
      </c>
      <c r="AN29">
        <v>3.57</v>
      </c>
      <c r="AO29">
        <f>AM29*AN29</f>
        <v>0</v>
      </c>
    </row>
    <row r="30" spans="1:53" x14ac:dyDescent="0.2">
      <c r="A30" s="77" t="s">
        <v>2084</v>
      </c>
      <c r="B30" s="77">
        <v>1675</v>
      </c>
      <c r="C30" s="77" t="s">
        <v>2050</v>
      </c>
      <c r="D30" s="77"/>
      <c r="E30" s="77"/>
      <c r="F30" s="77">
        <f>D30*(B30/100+1)</f>
        <v>0</v>
      </c>
      <c r="G30" s="77" t="s">
        <v>2028</v>
      </c>
      <c r="H30" s="77" t="s">
        <v>2028</v>
      </c>
      <c r="I30" s="77" t="s">
        <v>2028</v>
      </c>
      <c r="J30" s="77"/>
      <c r="K30" s="77" t="s">
        <v>2028</v>
      </c>
      <c r="L30" s="77" t="s">
        <v>2028</v>
      </c>
      <c r="M30" s="77" t="s">
        <v>2069</v>
      </c>
      <c r="N30" s="94">
        <v>6.0999999999999999E-2</v>
      </c>
      <c r="Y30" s="72" t="e">
        <f t="shared" si="2"/>
        <v>#DIV/0!</v>
      </c>
      <c r="AB30">
        <v>100000</v>
      </c>
      <c r="AC30">
        <v>100000</v>
      </c>
      <c r="AD30">
        <f>AC30/AC31</f>
        <v>7.4962518740629687</v>
      </c>
      <c r="AF30">
        <f>(319.7/167)*1000</f>
        <v>1914.3712574850297</v>
      </c>
      <c r="AM30">
        <v>0</v>
      </c>
      <c r="AN30">
        <v>3.55</v>
      </c>
      <c r="AO30">
        <f>AM30*AN30</f>
        <v>0</v>
      </c>
      <c r="AR30" t="s">
        <v>1988</v>
      </c>
      <c r="AW30" t="s">
        <v>2020</v>
      </c>
    </row>
    <row r="31" spans="1:53" x14ac:dyDescent="0.2">
      <c r="A31" s="6" t="s">
        <v>2201</v>
      </c>
      <c r="B31" s="6">
        <v>1638</v>
      </c>
      <c r="C31" s="6"/>
      <c r="D31" s="6"/>
      <c r="E31" s="6"/>
      <c r="F31" s="6">
        <f>D31*(B31/100+1)</f>
        <v>0</v>
      </c>
      <c r="G31" s="6"/>
      <c r="H31" s="6"/>
      <c r="I31" s="6" t="s">
        <v>2028</v>
      </c>
      <c r="J31" s="6"/>
      <c r="K31" s="6"/>
      <c r="L31" s="6"/>
      <c r="Y31" s="72" t="e">
        <f t="shared" si="2"/>
        <v>#DIV/0!</v>
      </c>
      <c r="AB31">
        <v>0.93</v>
      </c>
      <c r="AC31">
        <v>13340</v>
      </c>
      <c r="AM31">
        <v>0</v>
      </c>
      <c r="AN31">
        <v>3.57</v>
      </c>
      <c r="AO31">
        <f>AM31*AN31</f>
        <v>0</v>
      </c>
      <c r="AR31">
        <v>0</v>
      </c>
      <c r="AS31">
        <v>0.33</v>
      </c>
      <c r="AT31">
        <f>AR31*AS31</f>
        <v>0</v>
      </c>
      <c r="AW31">
        <v>0</v>
      </c>
      <c r="AX31">
        <v>0.69</v>
      </c>
      <c r="AY31">
        <f>AW31*AX31</f>
        <v>0</v>
      </c>
    </row>
    <row r="32" spans="1:53" s="70" customFormat="1" x14ac:dyDescent="0.2">
      <c r="A32" s="70" t="s">
        <v>2296</v>
      </c>
      <c r="B32" s="70">
        <v>1620</v>
      </c>
      <c r="F32" s="70">
        <f>D32*(B32/100+1)</f>
        <v>0</v>
      </c>
      <c r="I32" s="70" t="s">
        <v>2028</v>
      </c>
      <c r="M32"/>
      <c r="N32" s="22"/>
      <c r="O32"/>
      <c r="P32"/>
      <c r="Q32"/>
      <c r="R32"/>
      <c r="S32"/>
      <c r="T32"/>
      <c r="U32"/>
      <c r="V32"/>
      <c r="W32"/>
      <c r="X32"/>
      <c r="Y32" s="72" t="e">
        <f t="shared" si="2"/>
        <v>#DIV/0!</v>
      </c>
      <c r="Z32"/>
      <c r="AA32"/>
      <c r="AB32"/>
      <c r="AC32"/>
      <c r="AD32"/>
      <c r="AE32"/>
      <c r="AF32"/>
      <c r="AG32"/>
      <c r="AH32"/>
      <c r="AI32"/>
      <c r="AJ32"/>
      <c r="AK32" s="1"/>
      <c r="AL32"/>
      <c r="AM32">
        <v>0</v>
      </c>
      <c r="AN32">
        <v>0</v>
      </c>
      <c r="AO32">
        <f>AM32*AN32</f>
        <v>0</v>
      </c>
      <c r="AP32"/>
      <c r="AQ32"/>
      <c r="AR32">
        <v>0</v>
      </c>
      <c r="AS32">
        <v>0.28000000000000003</v>
      </c>
      <c r="AT32">
        <f>AR32*AS32</f>
        <v>0</v>
      </c>
      <c r="AU32"/>
      <c r="AV32"/>
      <c r="AW32">
        <v>23769</v>
      </c>
      <c r="AX32">
        <v>0.85</v>
      </c>
      <c r="AY32">
        <f>AW32*AX32</f>
        <v>20203.649999999998</v>
      </c>
      <c r="AZ32"/>
      <c r="BA32"/>
    </row>
    <row r="33" spans="1:53" x14ac:dyDescent="0.2">
      <c r="A33" s="6" t="s">
        <v>2304</v>
      </c>
      <c r="B33" s="6">
        <v>1609</v>
      </c>
      <c r="C33" s="6"/>
      <c r="D33" s="6"/>
      <c r="E33" s="6"/>
      <c r="F33" s="6">
        <f>D33*(B33/100+1)</f>
        <v>0</v>
      </c>
      <c r="G33" s="6"/>
      <c r="H33" s="6"/>
      <c r="I33" s="6" t="s">
        <v>2028</v>
      </c>
      <c r="J33" s="6"/>
      <c r="K33" s="6"/>
      <c r="L33" s="6"/>
      <c r="AM33">
        <f>SUM(AM29:AM32)</f>
        <v>0</v>
      </c>
      <c r="AN33" t="e">
        <f>AO33/AM33</f>
        <v>#DIV/0!</v>
      </c>
      <c r="AO33">
        <f>SUM(AO29:AO32)</f>
        <v>0</v>
      </c>
      <c r="AR33">
        <v>0</v>
      </c>
      <c r="AS33">
        <v>0</v>
      </c>
      <c r="AT33">
        <f>AR33*AS33</f>
        <v>0</v>
      </c>
      <c r="AW33">
        <v>0</v>
      </c>
      <c r="AX33">
        <v>0.42</v>
      </c>
      <c r="AY33">
        <f>AW33*AX33</f>
        <v>0</v>
      </c>
    </row>
    <row r="34" spans="1:53" x14ac:dyDescent="0.2">
      <c r="A34" t="s">
        <v>2039</v>
      </c>
      <c r="B34">
        <v>1578</v>
      </c>
      <c r="C34" t="s">
        <v>2050</v>
      </c>
      <c r="D34">
        <v>130</v>
      </c>
      <c r="E34" t="s">
        <v>2285</v>
      </c>
      <c r="F34" t="s">
        <v>2208</v>
      </c>
      <c r="G34" t="s">
        <v>2100</v>
      </c>
      <c r="H34" t="s">
        <v>2000</v>
      </c>
      <c r="I34" t="s">
        <v>2000</v>
      </c>
      <c r="J34" t="s">
        <v>2000</v>
      </c>
      <c r="K34" t="s">
        <v>2028</v>
      </c>
      <c r="L34" t="s">
        <v>2000</v>
      </c>
      <c r="M34" t="s">
        <v>2164</v>
      </c>
      <c r="N34" s="22">
        <v>7.51E-2</v>
      </c>
      <c r="AM34">
        <f>AM33</f>
        <v>0</v>
      </c>
      <c r="AN34">
        <v>24000</v>
      </c>
      <c r="AO34">
        <f>AM34*AN34</f>
        <v>0</v>
      </c>
      <c r="AP34" t="e">
        <f>AN34/AN33-1</f>
        <v>#DIV/0!</v>
      </c>
      <c r="AR34">
        <v>0</v>
      </c>
      <c r="AS34">
        <v>0</v>
      </c>
      <c r="AT34">
        <f>AR34*AS34</f>
        <v>0</v>
      </c>
      <c r="AW34">
        <v>23871</v>
      </c>
      <c r="AX34">
        <v>0.84</v>
      </c>
      <c r="AY34">
        <f>AW34*AX34</f>
        <v>20051.64</v>
      </c>
    </row>
    <row r="35" spans="1:53" x14ac:dyDescent="0.2">
      <c r="A35" t="s">
        <v>2020</v>
      </c>
      <c r="B35">
        <v>1538</v>
      </c>
      <c r="C35" t="s">
        <v>2050</v>
      </c>
      <c r="D35">
        <v>117</v>
      </c>
      <c r="E35" t="s">
        <v>2285</v>
      </c>
      <c r="F35" t="s">
        <v>2208</v>
      </c>
      <c r="G35" t="s">
        <v>2099</v>
      </c>
      <c r="H35" t="s">
        <v>2028</v>
      </c>
      <c r="I35" t="s">
        <v>2000</v>
      </c>
      <c r="J35" t="s">
        <v>2000</v>
      </c>
      <c r="K35" t="s">
        <v>2028</v>
      </c>
      <c r="L35" t="s">
        <v>2000</v>
      </c>
      <c r="M35" t="s">
        <v>2069</v>
      </c>
      <c r="N35" s="22">
        <v>6.6299999999999998E-2</v>
      </c>
      <c r="X35" t="s">
        <v>718</v>
      </c>
      <c r="Z35" t="s">
        <v>2422</v>
      </c>
      <c r="AA35" t="s">
        <v>2188</v>
      </c>
      <c r="AB35" t="s">
        <v>719</v>
      </c>
      <c r="AC35" t="s">
        <v>2187</v>
      </c>
      <c r="AD35" t="s">
        <v>2407</v>
      </c>
      <c r="AE35" t="s">
        <v>2189</v>
      </c>
      <c r="AF35" t="s">
        <v>1675</v>
      </c>
      <c r="AG35" t="s">
        <v>2278</v>
      </c>
      <c r="AH35" t="s">
        <v>2279</v>
      </c>
      <c r="AI35" t="s">
        <v>2433</v>
      </c>
      <c r="AJ35" t="s">
        <v>2434</v>
      </c>
      <c r="AK35" s="1" t="s">
        <v>2317</v>
      </c>
      <c r="AL35" t="s">
        <v>2432</v>
      </c>
      <c r="AR35">
        <f>SUM(AR31:AR34)</f>
        <v>0</v>
      </c>
      <c r="AS35" t="e">
        <f>AT35/AR35</f>
        <v>#DIV/0!</v>
      </c>
      <c r="AT35">
        <f>SUM(AT31:AT34)</f>
        <v>0</v>
      </c>
      <c r="AW35">
        <f>SUM(AW31:AW34)</f>
        <v>47640</v>
      </c>
      <c r="AX35">
        <f>AY35/AW35</f>
        <v>0.84498929471032735</v>
      </c>
      <c r="AY35">
        <f>SUM(AY31:AY34)</f>
        <v>40255.289999999994</v>
      </c>
    </row>
    <row r="36" spans="1:53" s="70" customFormat="1" x14ac:dyDescent="0.2">
      <c r="A36" s="4" t="s">
        <v>2058</v>
      </c>
      <c r="B36" s="4">
        <v>1532</v>
      </c>
      <c r="C36" s="4" t="s">
        <v>2050</v>
      </c>
      <c r="D36" s="4"/>
      <c r="E36" s="4"/>
      <c r="F36" s="4">
        <f>D36*(B36/100+1)</f>
        <v>0</v>
      </c>
      <c r="G36" s="4" t="s">
        <v>2028</v>
      </c>
      <c r="H36" s="4" t="s">
        <v>2028</v>
      </c>
      <c r="I36" s="4" t="s">
        <v>2028</v>
      </c>
      <c r="J36" s="4"/>
      <c r="K36" s="4" t="s">
        <v>2028</v>
      </c>
      <c r="L36" s="4" t="s">
        <v>2028</v>
      </c>
      <c r="M36" s="4" t="s">
        <v>2069</v>
      </c>
      <c r="N36" s="93">
        <v>3.44E-2</v>
      </c>
      <c r="O36"/>
      <c r="P36"/>
      <c r="Q36"/>
      <c r="R36"/>
      <c r="S36"/>
      <c r="T36"/>
      <c r="U36"/>
      <c r="V36"/>
      <c r="W36"/>
      <c r="X36">
        <v>155</v>
      </c>
      <c r="Y36" t="s">
        <v>2126</v>
      </c>
      <c r="Z36">
        <v>155</v>
      </c>
      <c r="AA36">
        <v>0</v>
      </c>
      <c r="AB36">
        <v>191</v>
      </c>
      <c r="AC36">
        <f>AB36-AA$42</f>
        <v>-64</v>
      </c>
      <c r="AD36" s="1">
        <f>AC36/AA$42</f>
        <v>-0.25098039215686274</v>
      </c>
      <c r="AE36">
        <f t="shared" ref="AE36:AE41" si="3">AB36-AA$43</f>
        <v>121</v>
      </c>
      <c r="AF36">
        <f t="shared" ref="AF36:AF41" si="4">AE36+AC36</f>
        <v>57</v>
      </c>
      <c r="AG36" s="7">
        <f>$AF36/$Y$42*1000</f>
        <v>341.31736526946111</v>
      </c>
      <c r="AH36" s="7">
        <f>$AE36/$Y$42*1000</f>
        <v>724.55089820359285</v>
      </c>
      <c r="AI36"/>
      <c r="AJ36"/>
      <c r="AK36" s="1"/>
      <c r="AL36"/>
      <c r="AM36" t="s">
        <v>2039</v>
      </c>
      <c r="AN36"/>
      <c r="AO36"/>
      <c r="AP36"/>
      <c r="AQ36"/>
      <c r="AR36">
        <f>AR35</f>
        <v>0</v>
      </c>
      <c r="AS36">
        <v>0.26800000000000002</v>
      </c>
      <c r="AT36">
        <f>AR36*AS36</f>
        <v>0</v>
      </c>
      <c r="AU36" t="e">
        <f>AS36/AS35-1</f>
        <v>#DIV/0!</v>
      </c>
      <c r="AV36"/>
      <c r="AW36">
        <f>AW35</f>
        <v>47640</v>
      </c>
      <c r="AX36">
        <v>0.67</v>
      </c>
      <c r="AY36">
        <f>AW36*AX36</f>
        <v>31918.800000000003</v>
      </c>
      <c r="AZ36">
        <f>AX36/AX35-1</f>
        <v>-0.20709054636049062</v>
      </c>
      <c r="BA36"/>
    </row>
    <row r="37" spans="1:53" s="70" customFormat="1" x14ac:dyDescent="0.2">
      <c r="A37" s="6" t="s">
        <v>2191</v>
      </c>
      <c r="B37" s="6">
        <v>1479</v>
      </c>
      <c r="C37" s="6"/>
      <c r="D37" s="6"/>
      <c r="E37" s="6"/>
      <c r="F37" s="6">
        <f>D37*(B37/100+1)</f>
        <v>0</v>
      </c>
      <c r="G37" s="6"/>
      <c r="H37" s="6"/>
      <c r="I37" s="6" t="s">
        <v>2028</v>
      </c>
      <c r="J37" s="6"/>
      <c r="K37" s="6"/>
      <c r="L37" s="6"/>
      <c r="M37"/>
      <c r="N37" s="22"/>
      <c r="O37">
        <v>5</v>
      </c>
      <c r="P37">
        <v>-10</v>
      </c>
      <c r="Q37"/>
      <c r="R37"/>
      <c r="S37"/>
      <c r="T37"/>
      <c r="U37"/>
      <c r="V37"/>
      <c r="W37"/>
      <c r="X37"/>
      <c r="Y37" t="s">
        <v>2127</v>
      </c>
      <c r="Z37">
        <v>0</v>
      </c>
      <c r="AA37">
        <v>20</v>
      </c>
      <c r="AB37">
        <v>245</v>
      </c>
      <c r="AC37">
        <f t="shared" ref="AC37:AC41" si="5">AB37-AA$42</f>
        <v>-10</v>
      </c>
      <c r="AD37" s="1">
        <f t="shared" ref="AD37:AD41" si="6">AC37/AA$42</f>
        <v>-3.9215686274509803E-2</v>
      </c>
      <c r="AE37">
        <f t="shared" si="3"/>
        <v>175</v>
      </c>
      <c r="AF37">
        <f t="shared" si="4"/>
        <v>165</v>
      </c>
      <c r="AG37" s="7">
        <f t="shared" ref="AG37:AG41" si="7">$AF37/$Y$42*1000</f>
        <v>988.02395209580845</v>
      </c>
      <c r="AH37" s="7">
        <f t="shared" ref="AH37:AH41" si="8">$AE37/$Y$42*1000</f>
        <v>1047.9041916167664</v>
      </c>
      <c r="AI37">
        <f>AE37-AE36</f>
        <v>54</v>
      </c>
      <c r="AJ37" s="83">
        <f>(AG37*Y$42)/(AI37*1000*12)</f>
        <v>0.25462962962962965</v>
      </c>
      <c r="AK37" s="1"/>
      <c r="AL37" s="83"/>
      <c r="AM37">
        <v>40.9</v>
      </c>
      <c r="AN37">
        <v>490</v>
      </c>
      <c r="AO37">
        <f>AM37*AN37</f>
        <v>20041</v>
      </c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x14ac:dyDescent="0.2">
      <c r="A38" t="s">
        <v>2074</v>
      </c>
      <c r="B38">
        <v>1358</v>
      </c>
      <c r="C38" t="s">
        <v>2050</v>
      </c>
      <c r="D38">
        <v>168</v>
      </c>
      <c r="E38" t="s">
        <v>2208</v>
      </c>
      <c r="F38" t="s">
        <v>2208</v>
      </c>
      <c r="G38" t="s">
        <v>2099</v>
      </c>
      <c r="I38" t="s">
        <v>2000</v>
      </c>
      <c r="L38" t="s">
        <v>2000</v>
      </c>
      <c r="O38">
        <v>10</v>
      </c>
      <c r="P38">
        <v>-20</v>
      </c>
      <c r="S38" t="s">
        <v>2123</v>
      </c>
      <c r="T38" t="s">
        <v>2122</v>
      </c>
      <c r="U38" t="s">
        <v>2121</v>
      </c>
      <c r="V38" t="s">
        <v>2124</v>
      </c>
      <c r="W38" t="s">
        <v>2125</v>
      </c>
      <c r="X38">
        <v>12</v>
      </c>
      <c r="Y38" t="s">
        <v>2140</v>
      </c>
      <c r="Z38">
        <v>30</v>
      </c>
      <c r="AA38">
        <v>0</v>
      </c>
      <c r="AB38">
        <v>344</v>
      </c>
      <c r="AC38">
        <f t="shared" si="5"/>
        <v>89</v>
      </c>
      <c r="AD38" s="1">
        <f t="shared" si="6"/>
        <v>0.34901960784313724</v>
      </c>
      <c r="AE38">
        <f t="shared" si="3"/>
        <v>274</v>
      </c>
      <c r="AF38">
        <f t="shared" si="4"/>
        <v>363</v>
      </c>
      <c r="AG38" s="7">
        <f t="shared" si="7"/>
        <v>2173.6526946107783</v>
      </c>
      <c r="AH38" s="7">
        <f t="shared" si="8"/>
        <v>1640.7185628742516</v>
      </c>
      <c r="AI38">
        <f>AE38-AE37</f>
        <v>99</v>
      </c>
      <c r="AJ38" s="83">
        <f>(AG38*Y$42)/(AI38*1000*12)</f>
        <v>0.30555555555555558</v>
      </c>
      <c r="AK38" s="1">
        <f>AI38/AI37</f>
        <v>1.8333333333333333</v>
      </c>
      <c r="AL38" s="111">
        <f>AJ38/(AK38*100)</f>
        <v>1.666666666666667E-3</v>
      </c>
      <c r="AM38">
        <v>0</v>
      </c>
      <c r="AN38">
        <v>0</v>
      </c>
      <c r="AO38">
        <f>AM38*AN38</f>
        <v>0</v>
      </c>
      <c r="AR38" t="s">
        <v>2087</v>
      </c>
    </row>
    <row r="39" spans="1:53" x14ac:dyDescent="0.2">
      <c r="A39" s="4" t="s">
        <v>2131</v>
      </c>
      <c r="B39" s="4">
        <v>1357</v>
      </c>
      <c r="C39" s="4"/>
      <c r="D39" s="4"/>
      <c r="E39" s="4"/>
      <c r="F39" s="4">
        <f>D39*(B39/100+1)</f>
        <v>0</v>
      </c>
      <c r="G39" s="4" t="s">
        <v>2028</v>
      </c>
      <c r="H39" s="4"/>
      <c r="I39" s="4" t="s">
        <v>2028</v>
      </c>
      <c r="J39" s="4"/>
      <c r="K39" s="4"/>
      <c r="L39" s="4"/>
      <c r="M39" t="s">
        <v>2069</v>
      </c>
      <c r="N39" s="22">
        <v>0.3513</v>
      </c>
      <c r="O39">
        <v>15</v>
      </c>
      <c r="P39">
        <v>-30</v>
      </c>
      <c r="S39">
        <v>3</v>
      </c>
      <c r="T39">
        <v>4</v>
      </c>
      <c r="U39">
        <v>10</v>
      </c>
      <c r="V39">
        <f>T39*U39*S39</f>
        <v>120</v>
      </c>
      <c r="W39">
        <f>V39*2</f>
        <v>240</v>
      </c>
      <c r="Y39" t="s">
        <v>2307</v>
      </c>
      <c r="Z39">
        <v>0</v>
      </c>
      <c r="AA39">
        <v>50</v>
      </c>
      <c r="AB39">
        <v>467.9</v>
      </c>
      <c r="AC39">
        <f t="shared" si="5"/>
        <v>212.89999999999998</v>
      </c>
      <c r="AD39" s="1">
        <f t="shared" si="6"/>
        <v>0.83490196078431367</v>
      </c>
      <c r="AE39">
        <f t="shared" si="3"/>
        <v>397.9</v>
      </c>
      <c r="AF39">
        <f t="shared" si="4"/>
        <v>610.79999999999995</v>
      </c>
      <c r="AG39" s="7">
        <f t="shared" si="7"/>
        <v>3657.4850299401196</v>
      </c>
      <c r="AH39" s="7">
        <f t="shared" si="8"/>
        <v>2382.6347305389222</v>
      </c>
      <c r="AI39">
        <f>AE39-AE38</f>
        <v>123.89999999999998</v>
      </c>
      <c r="AJ39" s="83">
        <f>(AG39*Y$42)/(AI39*1000*12)</f>
        <v>0.41081517352703806</v>
      </c>
      <c r="AK39" s="1">
        <f>AI39/AI38</f>
        <v>1.2515151515151512</v>
      </c>
      <c r="AL39" s="111">
        <f>AJ39/(AK39*100)</f>
        <v>3.2825425487632586E-3</v>
      </c>
      <c r="AM39">
        <v>0</v>
      </c>
      <c r="AN39">
        <v>0</v>
      </c>
      <c r="AO39">
        <f>AM39*AN39</f>
        <v>0</v>
      </c>
      <c r="AR39">
        <v>0</v>
      </c>
      <c r="AS39">
        <v>0.6</v>
      </c>
      <c r="AT39">
        <f>AR39*AS39</f>
        <v>0</v>
      </c>
      <c r="AW39" t="s">
        <v>2086</v>
      </c>
      <c r="AX39">
        <v>603</v>
      </c>
    </row>
    <row r="40" spans="1:53" s="10" customFormat="1" x14ac:dyDescent="0.2">
      <c r="A40" s="5" t="s">
        <v>2095</v>
      </c>
      <c r="B40" s="5">
        <v>1340</v>
      </c>
      <c r="C40" s="5" t="s">
        <v>2050</v>
      </c>
      <c r="D40" s="5"/>
      <c r="E40" s="5"/>
      <c r="F40" s="5" t="s">
        <v>2259</v>
      </c>
      <c r="G40" s="5" t="s">
        <v>2028</v>
      </c>
      <c r="H40" s="5" t="s">
        <v>2000</v>
      </c>
      <c r="I40" s="5" t="s">
        <v>2028</v>
      </c>
      <c r="J40" s="5" t="s">
        <v>2000</v>
      </c>
      <c r="K40" s="5" t="s">
        <v>2028</v>
      </c>
      <c r="L40" s="5" t="s">
        <v>2000</v>
      </c>
      <c r="M40" s="5" t="s">
        <v>2026</v>
      </c>
      <c r="N40" s="91">
        <v>0.12</v>
      </c>
      <c r="O40">
        <v>20</v>
      </c>
      <c r="P40">
        <v>-40</v>
      </c>
      <c r="Q40"/>
      <c r="R40"/>
      <c r="S40"/>
      <c r="T40"/>
      <c r="U40"/>
      <c r="V40"/>
      <c r="W40"/>
      <c r="X40"/>
      <c r="Y40"/>
      <c r="Z40"/>
      <c r="AA40"/>
      <c r="AB40">
        <v>494</v>
      </c>
      <c r="AC40">
        <f t="shared" si="5"/>
        <v>239</v>
      </c>
      <c r="AD40" s="1">
        <f t="shared" si="6"/>
        <v>0.93725490196078431</v>
      </c>
      <c r="AE40">
        <f t="shared" si="3"/>
        <v>424</v>
      </c>
      <c r="AF40">
        <f t="shared" si="4"/>
        <v>663</v>
      </c>
      <c r="AG40" s="7">
        <f t="shared" si="7"/>
        <v>3970.0598802395207</v>
      </c>
      <c r="AH40" s="7">
        <f t="shared" si="8"/>
        <v>2538.9221556886228</v>
      </c>
      <c r="AI40">
        <f>AE40-AE39</f>
        <v>26.100000000000023</v>
      </c>
      <c r="AJ40" s="83">
        <f>(AG40*Y$42)/(AI40*1000*12)</f>
        <v>2.1168582375478913</v>
      </c>
      <c r="AK40" s="1">
        <f>AI40/AI39</f>
        <v>0.21065375302663461</v>
      </c>
      <c r="AL40" s="111">
        <f>AJ40/(AK40*100)</f>
        <v>0.10048993702382507</v>
      </c>
      <c r="AM40">
        <v>0</v>
      </c>
      <c r="AN40">
        <v>0</v>
      </c>
      <c r="AO40">
        <f>AM40*AN40</f>
        <v>0</v>
      </c>
      <c r="AP40"/>
      <c r="AQ40"/>
      <c r="AR40">
        <v>0</v>
      </c>
      <c r="AS40">
        <v>0.55000000000000004</v>
      </c>
      <c r="AT40">
        <f>AR40*AS40</f>
        <v>0</v>
      </c>
      <c r="AU40"/>
      <c r="AV40"/>
      <c r="AW40">
        <v>0</v>
      </c>
      <c r="AX40">
        <v>31</v>
      </c>
      <c r="AY40">
        <f>AW40*AX40</f>
        <v>0</v>
      </c>
      <c r="AZ40"/>
      <c r="BA40"/>
    </row>
    <row r="41" spans="1:53" s="70" customFormat="1" x14ac:dyDescent="0.2">
      <c r="A41" s="70" t="s">
        <v>2132</v>
      </c>
      <c r="B41" s="70">
        <v>1326</v>
      </c>
      <c r="C41" s="70" t="s">
        <v>2134</v>
      </c>
      <c r="F41" s="70">
        <f t="shared" ref="F41:F48" si="9">D41*(B41/100+1)</f>
        <v>0</v>
      </c>
      <c r="G41" s="70" t="s">
        <v>2100</v>
      </c>
      <c r="I41" s="70" t="s">
        <v>2028</v>
      </c>
      <c r="M41"/>
      <c r="N41" s="22"/>
      <c r="O41">
        <v>25</v>
      </c>
      <c r="P41">
        <v>-50</v>
      </c>
      <c r="Q41"/>
      <c r="R41"/>
      <c r="S41"/>
      <c r="T41"/>
      <c r="U41"/>
      <c r="V41"/>
      <c r="W41"/>
      <c r="X41"/>
      <c r="Y41"/>
      <c r="Z41"/>
      <c r="AA41"/>
      <c r="AB41">
        <v>494</v>
      </c>
      <c r="AC41">
        <f t="shared" si="5"/>
        <v>239</v>
      </c>
      <c r="AD41" s="1">
        <f t="shared" si="6"/>
        <v>0.93725490196078431</v>
      </c>
      <c r="AE41">
        <f t="shared" si="3"/>
        <v>424</v>
      </c>
      <c r="AF41">
        <f t="shared" si="4"/>
        <v>663</v>
      </c>
      <c r="AG41" s="7">
        <f t="shared" si="7"/>
        <v>3970.0598802395207</v>
      </c>
      <c r="AH41" s="7">
        <f t="shared" si="8"/>
        <v>2538.9221556886228</v>
      </c>
      <c r="AI41">
        <f>AE41-AE40</f>
        <v>0</v>
      </c>
      <c r="AJ41" s="83" t="e">
        <f>(AG41*Y$42)/(AI41*1000*12)</f>
        <v>#DIV/0!</v>
      </c>
      <c r="AK41" s="1">
        <f>AI41/AI40</f>
        <v>0</v>
      </c>
      <c r="AL41" s="111" t="e">
        <f>AJ41/(AK41*100)</f>
        <v>#DIV/0!</v>
      </c>
      <c r="AM41">
        <f>SUM(AM37:AM40)</f>
        <v>40.9</v>
      </c>
      <c r="AN41">
        <f>AO41/AM41</f>
        <v>490</v>
      </c>
      <c r="AO41">
        <f>SUM(AO37:AO40)</f>
        <v>20041</v>
      </c>
      <c r="AP41"/>
      <c r="AQ41"/>
      <c r="AR41">
        <v>0</v>
      </c>
      <c r="AS41">
        <v>0</v>
      </c>
      <c r="AT41">
        <f>AR41*AS41</f>
        <v>0</v>
      </c>
      <c r="AU41"/>
      <c r="AV41"/>
      <c r="AW41">
        <v>0</v>
      </c>
      <c r="AX41">
        <v>28</v>
      </c>
      <c r="AY41">
        <f>AW41*AX41</f>
        <v>0</v>
      </c>
      <c r="AZ41"/>
      <c r="BA41"/>
    </row>
    <row r="42" spans="1:53" s="10" customFormat="1" x14ac:dyDescent="0.2">
      <c r="A42" s="70" t="s">
        <v>2303</v>
      </c>
      <c r="B42" s="70">
        <v>1281</v>
      </c>
      <c r="C42" s="70"/>
      <c r="D42" s="70"/>
      <c r="E42" s="70"/>
      <c r="F42" s="70">
        <f t="shared" si="9"/>
        <v>0</v>
      </c>
      <c r="G42" s="70"/>
      <c r="H42" s="70"/>
      <c r="I42" s="70" t="s">
        <v>2028</v>
      </c>
      <c r="J42" s="70"/>
      <c r="K42" s="70"/>
      <c r="L42" s="70"/>
      <c r="M42"/>
      <c r="N42" s="22"/>
      <c r="O42">
        <v>30</v>
      </c>
      <c r="P42">
        <v>-60</v>
      </c>
      <c r="Q42"/>
      <c r="R42"/>
      <c r="S42"/>
      <c r="T42"/>
      <c r="U42"/>
      <c r="V42"/>
      <c r="W42"/>
      <c r="X42" s="89">
        <f>X36/Y42</f>
        <v>0.92814371257485029</v>
      </c>
      <c r="Y42">
        <f>SUM(X36:X38)</f>
        <v>167</v>
      </c>
      <c r="Z42" t="s">
        <v>719</v>
      </c>
      <c r="AA42">
        <f>SUM(Z36:Z39)+SUM(AA36:AA39)</f>
        <v>255</v>
      </c>
      <c r="AB42"/>
      <c r="AC42"/>
      <c r="AD42"/>
      <c r="AE42"/>
      <c r="AF42"/>
      <c r="AG42"/>
      <c r="AH42"/>
      <c r="AI42"/>
      <c r="AJ42"/>
      <c r="AK42" s="1"/>
      <c r="AL42"/>
      <c r="AM42">
        <f>AM41</f>
        <v>40.9</v>
      </c>
      <c r="AN42">
        <v>386</v>
      </c>
      <c r="AO42">
        <f>AM42*AN42</f>
        <v>15787.4</v>
      </c>
      <c r="AP42">
        <f>AN42/AN41-1</f>
        <v>-0.21224489795918366</v>
      </c>
      <c r="AQ42"/>
      <c r="AR42">
        <v>0</v>
      </c>
      <c r="AS42">
        <v>0</v>
      </c>
      <c r="AT42">
        <f>AR42*AS42</f>
        <v>0</v>
      </c>
      <c r="AU42"/>
      <c r="AV42"/>
      <c r="AW42">
        <v>0</v>
      </c>
      <c r="AX42">
        <v>26.5</v>
      </c>
      <c r="AY42">
        <f>AW42*AX42</f>
        <v>0</v>
      </c>
      <c r="AZ42"/>
      <c r="BA42"/>
    </row>
    <row r="43" spans="1:53" s="70" customFormat="1" x14ac:dyDescent="0.2">
      <c r="A43" s="70" t="s">
        <v>2113</v>
      </c>
      <c r="B43" s="70">
        <v>1231</v>
      </c>
      <c r="C43" s="70" t="s">
        <v>2050</v>
      </c>
      <c r="F43" s="70">
        <f t="shared" si="9"/>
        <v>0</v>
      </c>
      <c r="G43" s="70" t="s">
        <v>2099</v>
      </c>
      <c r="I43" s="70" t="s">
        <v>2028</v>
      </c>
      <c r="M43" t="s">
        <v>2178</v>
      </c>
      <c r="N43" s="22"/>
      <c r="O43">
        <v>35</v>
      </c>
      <c r="P43">
        <v>-70</v>
      </c>
      <c r="Q43"/>
      <c r="R43"/>
      <c r="S43" t="s">
        <v>2128</v>
      </c>
      <c r="T43">
        <v>0</v>
      </c>
      <c r="U43"/>
      <c r="V43"/>
      <c r="W43"/>
      <c r="X43"/>
      <c r="Y43"/>
      <c r="Z43" t="s">
        <v>2188</v>
      </c>
      <c r="AA43">
        <f>SUM(AA37:AA41)</f>
        <v>70</v>
      </c>
      <c r="AB43"/>
      <c r="AC43"/>
      <c r="AD43"/>
      <c r="AE43"/>
      <c r="AF43"/>
      <c r="AG43"/>
      <c r="AH43"/>
      <c r="AI43"/>
      <c r="AJ43"/>
      <c r="AK43" s="1"/>
      <c r="AL43"/>
      <c r="AM43"/>
      <c r="AN43"/>
      <c r="AO43"/>
      <c r="AP43"/>
      <c r="AQ43"/>
      <c r="AR43">
        <f>SUM(AR39:AR42)</f>
        <v>0</v>
      </c>
      <c r="AS43" t="e">
        <f>AT43/AR43</f>
        <v>#DIV/0!</v>
      </c>
      <c r="AT43">
        <f>SUM(AT39:AT42)</f>
        <v>0</v>
      </c>
      <c r="AU43"/>
      <c r="AV43"/>
      <c r="AW43">
        <v>0</v>
      </c>
      <c r="AX43">
        <v>35</v>
      </c>
      <c r="AY43">
        <f>AW43*AX43</f>
        <v>0</v>
      </c>
      <c r="AZ43"/>
      <c r="BA43"/>
    </row>
    <row r="44" spans="1:53" s="70" customFormat="1" x14ac:dyDescent="0.2">
      <c r="A44" s="70" t="s">
        <v>2119</v>
      </c>
      <c r="B44" s="70">
        <v>1194</v>
      </c>
      <c r="F44" s="70">
        <f t="shared" si="9"/>
        <v>0</v>
      </c>
      <c r="G44" s="70" t="s">
        <v>2028</v>
      </c>
      <c r="I44" s="70" t="s">
        <v>2028</v>
      </c>
      <c r="M44"/>
      <c r="N44" s="22"/>
      <c r="O44">
        <v>40</v>
      </c>
      <c r="P44">
        <v>-80</v>
      </c>
      <c r="Q44"/>
      <c r="R44"/>
      <c r="S44" t="s">
        <v>2129</v>
      </c>
      <c r="T44">
        <v>3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1"/>
      <c r="AL44"/>
      <c r="AM44" t="s">
        <v>2076</v>
      </c>
      <c r="AN44"/>
      <c r="AO44"/>
      <c r="AP44"/>
      <c r="AQ44"/>
      <c r="AR44">
        <f>AR43</f>
        <v>0</v>
      </c>
      <c r="AS44">
        <v>24000</v>
      </c>
      <c r="AT44">
        <f>AR44*AS44</f>
        <v>0</v>
      </c>
      <c r="AU44" t="e">
        <f>AS44/AS43-1</f>
        <v>#DIV/0!</v>
      </c>
      <c r="AV44"/>
      <c r="AW44">
        <f>SUM(AW40:AW43)</f>
        <v>0</v>
      </c>
      <c r="AX44" t="e">
        <f>AY44/AW44</f>
        <v>#DIV/0!</v>
      </c>
      <c r="AY44">
        <f>SUM(AY40:AY43)</f>
        <v>0</v>
      </c>
      <c r="AZ44"/>
      <c r="BA44"/>
    </row>
    <row r="45" spans="1:53" s="70" customFormat="1" x14ac:dyDescent="0.2">
      <c r="A45" s="70" t="s">
        <v>2243</v>
      </c>
      <c r="B45" s="70">
        <v>1127</v>
      </c>
      <c r="F45" s="70">
        <f t="shared" si="9"/>
        <v>0</v>
      </c>
      <c r="I45" s="70" t="s">
        <v>2028</v>
      </c>
      <c r="M45"/>
      <c r="N45" s="22"/>
      <c r="O45">
        <v>45</v>
      </c>
      <c r="P45">
        <v>-90</v>
      </c>
      <c r="Q45"/>
      <c r="R45"/>
      <c r="S45" t="s">
        <v>2135</v>
      </c>
      <c r="T45" t="s">
        <v>2136</v>
      </c>
      <c r="U45"/>
      <c r="V45"/>
      <c r="W45"/>
      <c r="X45"/>
      <c r="Y45"/>
      <c r="Z45" t="s">
        <v>2265</v>
      </c>
      <c r="AA45"/>
      <c r="AB45"/>
      <c r="AC45"/>
      <c r="AD45"/>
      <c r="AE45"/>
      <c r="AF45"/>
      <c r="AG45"/>
      <c r="AH45"/>
      <c r="AI45"/>
      <c r="AJ45"/>
      <c r="AK45" s="1"/>
      <c r="AL45"/>
      <c r="AM45">
        <v>0</v>
      </c>
      <c r="AN45">
        <v>0.13800000000000001</v>
      </c>
      <c r="AO45">
        <f>AM45*AN45</f>
        <v>0</v>
      </c>
      <c r="AP45"/>
      <c r="AQ45"/>
      <c r="AR45"/>
      <c r="AS45"/>
      <c r="AT45"/>
      <c r="AU45"/>
      <c r="AV45"/>
      <c r="AW45">
        <f>AX39-AW44</f>
        <v>603</v>
      </c>
      <c r="AX45">
        <v>35</v>
      </c>
      <c r="AY45">
        <f>AW45*AX45</f>
        <v>21105</v>
      </c>
      <c r="AZ45" t="e">
        <f>AX45/AX44-1</f>
        <v>#DIV/0!</v>
      </c>
      <c r="BA45"/>
    </row>
    <row r="46" spans="1:53" s="70" customFormat="1" x14ac:dyDescent="0.2">
      <c r="A46" s="70" t="s">
        <v>2238</v>
      </c>
      <c r="B46" s="70">
        <v>1025</v>
      </c>
      <c r="F46" s="70">
        <f t="shared" si="9"/>
        <v>0</v>
      </c>
      <c r="I46" s="70" t="s">
        <v>2028</v>
      </c>
      <c r="M46"/>
      <c r="N46" s="22"/>
      <c r="O46">
        <v>50</v>
      </c>
      <c r="P46">
        <v>-100</v>
      </c>
      <c r="Q46"/>
      <c r="R46"/>
      <c r="S46"/>
      <c r="T46"/>
      <c r="U46"/>
      <c r="V46"/>
      <c r="W46"/>
      <c r="X46"/>
      <c r="Y46"/>
      <c r="Z46" t="s">
        <v>2140</v>
      </c>
      <c r="AA46">
        <v>29000</v>
      </c>
      <c r="AB46" t="s">
        <v>2266</v>
      </c>
      <c r="AC46" t="s">
        <v>2267</v>
      </c>
      <c r="AD46"/>
      <c r="AE46" s="1"/>
      <c r="AF46"/>
      <c r="AG46"/>
      <c r="AH46"/>
      <c r="AI46"/>
      <c r="AJ46"/>
      <c r="AK46" s="1"/>
      <c r="AL46"/>
      <c r="AM46">
        <v>0</v>
      </c>
      <c r="AN46">
        <v>0.36</v>
      </c>
      <c r="AO46">
        <f>AM46*AN46</f>
        <v>0</v>
      </c>
      <c r="AP46"/>
      <c r="AQ46"/>
      <c r="AR46" t="s">
        <v>2019</v>
      </c>
      <c r="AS46">
        <v>180</v>
      </c>
      <c r="AT46"/>
      <c r="AU46"/>
      <c r="AV46"/>
      <c r="AW46"/>
      <c r="AX46"/>
      <c r="AY46"/>
      <c r="AZ46"/>
      <c r="BA46"/>
    </row>
    <row r="47" spans="1:53" s="70" customFormat="1" x14ac:dyDescent="0.2">
      <c r="A47" s="70" t="s">
        <v>2088</v>
      </c>
      <c r="B47" s="70">
        <v>1005</v>
      </c>
      <c r="F47" s="70">
        <f t="shared" si="9"/>
        <v>0</v>
      </c>
      <c r="G47" s="70" t="s">
        <v>2100</v>
      </c>
      <c r="H47" s="70" t="s">
        <v>2028</v>
      </c>
      <c r="I47" s="70" t="s">
        <v>2028</v>
      </c>
      <c r="J47" s="70" t="s">
        <v>2028</v>
      </c>
      <c r="K47" s="70" t="s">
        <v>2028</v>
      </c>
      <c r="L47" s="70" t="s">
        <v>2028</v>
      </c>
      <c r="M47"/>
      <c r="N47" s="22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s="1"/>
      <c r="AF47"/>
      <c r="AG47"/>
      <c r="AH47"/>
      <c r="AI47"/>
      <c r="AJ47"/>
      <c r="AK47" s="1"/>
      <c r="AL47"/>
      <c r="AM47">
        <v>0</v>
      </c>
      <c r="AN47">
        <v>0</v>
      </c>
      <c r="AO47">
        <f>AM47*AN47</f>
        <v>0</v>
      </c>
      <c r="AP47"/>
      <c r="AQ47"/>
      <c r="AR47">
        <v>0</v>
      </c>
      <c r="AS47">
        <v>1.27</v>
      </c>
      <c r="AT47">
        <f>AR47*AS47</f>
        <v>0</v>
      </c>
      <c r="AU47"/>
      <c r="AV47"/>
      <c r="AW47" t="s">
        <v>2437</v>
      </c>
      <c r="AX47">
        <v>140</v>
      </c>
      <c r="AY47"/>
      <c r="AZ47"/>
      <c r="BA47"/>
    </row>
    <row r="48" spans="1:53" s="70" customFormat="1" x14ac:dyDescent="0.2">
      <c r="A48" s="70" t="s">
        <v>2179</v>
      </c>
      <c r="B48" s="70">
        <v>827</v>
      </c>
      <c r="F48" s="70">
        <f t="shared" si="9"/>
        <v>0</v>
      </c>
      <c r="I48" s="70" t="s">
        <v>2028</v>
      </c>
      <c r="M48"/>
      <c r="N48" s="22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s="1"/>
      <c r="AF48"/>
      <c r="AG48"/>
      <c r="AH48"/>
      <c r="AI48"/>
      <c r="AJ48"/>
      <c r="AK48" s="1"/>
      <c r="AL48"/>
      <c r="AM48">
        <v>0</v>
      </c>
      <c r="AN48">
        <v>0</v>
      </c>
      <c r="AO48">
        <f>AM48*AN48</f>
        <v>0</v>
      </c>
      <c r="AP48"/>
      <c r="AQ48"/>
      <c r="AR48">
        <v>0</v>
      </c>
      <c r="AS48">
        <v>1.04</v>
      </c>
      <c r="AT48">
        <f>AR48*AS48</f>
        <v>0</v>
      </c>
      <c r="AU48"/>
      <c r="AV48"/>
      <c r="AW48">
        <v>0</v>
      </c>
      <c r="AX48">
        <v>18.3</v>
      </c>
      <c r="AY48">
        <f>AW48*AX48</f>
        <v>0</v>
      </c>
      <c r="AZ48"/>
      <c r="BA48"/>
    </row>
    <row r="49" spans="1:52" x14ac:dyDescent="0.2">
      <c r="A49" t="s">
        <v>2012</v>
      </c>
      <c r="B49">
        <v>812</v>
      </c>
      <c r="C49" s="5" t="s">
        <v>2050</v>
      </c>
      <c r="D49">
        <v>95</v>
      </c>
      <c r="E49" t="s">
        <v>2259</v>
      </c>
      <c r="F49" t="s">
        <v>2259</v>
      </c>
      <c r="H49" t="s">
        <v>2000</v>
      </c>
      <c r="I49" t="s">
        <v>2000</v>
      </c>
      <c r="J49" t="s">
        <v>2000</v>
      </c>
      <c r="K49" t="s">
        <v>2028</v>
      </c>
      <c r="L49" t="s">
        <v>2000</v>
      </c>
      <c r="M49" t="s">
        <v>2164</v>
      </c>
      <c r="N49" s="22">
        <v>4.0099999999999997E-2</v>
      </c>
      <c r="AM49">
        <f>SUM(AM45:AM48)</f>
        <v>0</v>
      </c>
      <c r="AN49" t="e">
        <f>AO49/AM49</f>
        <v>#DIV/0!</v>
      </c>
      <c r="AO49">
        <f>SUM(AO45:AO48)</f>
        <v>0</v>
      </c>
      <c r="AR49">
        <v>0</v>
      </c>
      <c r="AS49">
        <v>1.1000000000000001</v>
      </c>
      <c r="AT49">
        <f>AR49*AS49</f>
        <v>0</v>
      </c>
      <c r="AW49">
        <v>0</v>
      </c>
      <c r="AX49">
        <v>9.89</v>
      </c>
      <c r="AY49">
        <f>AW49*AX49</f>
        <v>0</v>
      </c>
    </row>
    <row r="50" spans="1:52" x14ac:dyDescent="0.2">
      <c r="A50" s="5" t="s">
        <v>2149</v>
      </c>
      <c r="B50" s="5">
        <v>805</v>
      </c>
      <c r="C50" s="5" t="s">
        <v>2050</v>
      </c>
      <c r="D50" s="5"/>
      <c r="E50" s="5"/>
      <c r="F50" s="5" t="s">
        <v>2208</v>
      </c>
      <c r="G50" s="5" t="s">
        <v>2099</v>
      </c>
      <c r="H50" s="5" t="s">
        <v>2000</v>
      </c>
      <c r="I50" s="5"/>
      <c r="J50" s="5"/>
      <c r="K50" s="5"/>
      <c r="L50" s="5"/>
      <c r="M50" t="s">
        <v>2069</v>
      </c>
      <c r="N50" s="22">
        <v>0.15570000000000001</v>
      </c>
      <c r="U50" t="s">
        <v>2029</v>
      </c>
      <c r="V50">
        <v>1.3</v>
      </c>
      <c r="AM50">
        <f>AM49</f>
        <v>0</v>
      </c>
      <c r="AN50">
        <v>0.36</v>
      </c>
      <c r="AO50">
        <f>AM50*AN50</f>
        <v>0</v>
      </c>
      <c r="AP50" t="e">
        <f>AN50/AN49-1</f>
        <v>#DIV/0!</v>
      </c>
      <c r="AR50">
        <v>0</v>
      </c>
      <c r="AS50">
        <v>1.07</v>
      </c>
      <c r="AT50">
        <f>AR50*AS50</f>
        <v>0</v>
      </c>
      <c r="AW50">
        <v>0</v>
      </c>
      <c r="AX50">
        <v>9.84</v>
      </c>
      <c r="AY50">
        <f>AW50*AX50</f>
        <v>0</v>
      </c>
    </row>
    <row r="51" spans="1:52" s="70" customFormat="1" x14ac:dyDescent="0.2">
      <c r="A51" s="70" t="s">
        <v>2094</v>
      </c>
      <c r="B51" s="70">
        <v>771</v>
      </c>
      <c r="F51" s="70">
        <f>D51*(B51/100+1)</f>
        <v>0</v>
      </c>
      <c r="G51" s="70" t="s">
        <v>2028</v>
      </c>
      <c r="H51" s="70" t="s">
        <v>2028</v>
      </c>
      <c r="I51" s="70" t="s">
        <v>2028</v>
      </c>
      <c r="K51" s="70" t="s">
        <v>2028</v>
      </c>
      <c r="L51" s="70" t="s">
        <v>2028</v>
      </c>
      <c r="M51"/>
      <c r="N51" s="22"/>
      <c r="O51"/>
      <c r="P51"/>
      <c r="Q51"/>
      <c r="R51"/>
      <c r="S51"/>
      <c r="T51"/>
      <c r="U51" t="s">
        <v>2036</v>
      </c>
      <c r="V51">
        <v>0.8</v>
      </c>
      <c r="W51"/>
      <c r="X51"/>
      <c r="Y51"/>
      <c r="Z51"/>
      <c r="AA51">
        <f>AA43/AB37</f>
        <v>0.2857142857142857</v>
      </c>
      <c r="AB51"/>
      <c r="AC51"/>
      <c r="AD51"/>
      <c r="AE51"/>
      <c r="AF51"/>
      <c r="AG51"/>
      <c r="AH51"/>
      <c r="AI51"/>
      <c r="AJ51"/>
      <c r="AK51" s="1"/>
      <c r="AL51"/>
      <c r="AR51">
        <f>SUM(AR47:AR50)</f>
        <v>0</v>
      </c>
      <c r="AS51" t="e">
        <f>AT51/AR51</f>
        <v>#DIV/0!</v>
      </c>
      <c r="AT51">
        <f>SUM(AT47:AT50)</f>
        <v>0</v>
      </c>
      <c r="AU51"/>
      <c r="AW51">
        <v>0</v>
      </c>
      <c r="AX51">
        <v>8.9</v>
      </c>
      <c r="AY51">
        <f>AW51*AX51</f>
        <v>0</v>
      </c>
      <c r="AZ51"/>
    </row>
    <row r="52" spans="1:52" s="70" customFormat="1" x14ac:dyDescent="0.2">
      <c r="A52" t="s">
        <v>2031</v>
      </c>
      <c r="B52">
        <v>757</v>
      </c>
      <c r="C52" t="s">
        <v>2050</v>
      </c>
      <c r="D52">
        <v>106</v>
      </c>
      <c r="E52"/>
      <c r="F52" t="s">
        <v>2259</v>
      </c>
      <c r="G52" t="s">
        <v>2028</v>
      </c>
      <c r="H52" t="s">
        <v>2000</v>
      </c>
      <c r="I52" t="s">
        <v>2000</v>
      </c>
      <c r="J52" t="s">
        <v>2028</v>
      </c>
      <c r="K52" t="s">
        <v>2028</v>
      </c>
      <c r="L52" t="s">
        <v>2028</v>
      </c>
      <c r="M52" t="s">
        <v>2061</v>
      </c>
      <c r="N52" s="22">
        <v>7.3999999999999996E-2</v>
      </c>
      <c r="O52"/>
      <c r="P52"/>
      <c r="Q52"/>
      <c r="R52"/>
      <c r="S52"/>
      <c r="T52"/>
      <c r="U52"/>
      <c r="V52"/>
      <c r="W52"/>
      <c r="X52"/>
      <c r="Y52" t="s">
        <v>2235</v>
      </c>
      <c r="Z52" t="s">
        <v>463</v>
      </c>
      <c r="AA52"/>
      <c r="AB52"/>
      <c r="AC52"/>
      <c r="AD52"/>
      <c r="AE52"/>
      <c r="AF52"/>
      <c r="AG52"/>
      <c r="AH52"/>
      <c r="AI52"/>
      <c r="AJ52"/>
      <c r="AK52" s="1"/>
      <c r="AL52"/>
      <c r="AM52" t="s">
        <v>2074</v>
      </c>
      <c r="AN52"/>
      <c r="AO52"/>
      <c r="AP52"/>
      <c r="AR52">
        <f>AR51</f>
        <v>0</v>
      </c>
      <c r="AS52">
        <v>0.95</v>
      </c>
      <c r="AT52">
        <f>AR52*AS52</f>
        <v>0</v>
      </c>
      <c r="AU52" t="e">
        <f>AS52/AS51-1</f>
        <v>#DIV/0!</v>
      </c>
      <c r="AW52">
        <f>SUM(AW48:AW51)</f>
        <v>0</v>
      </c>
      <c r="AX52" t="e">
        <f>AY52/AW52</f>
        <v>#DIV/0!</v>
      </c>
      <c r="AY52">
        <f>SUM(AY48:AY51)</f>
        <v>0</v>
      </c>
      <c r="AZ52"/>
    </row>
    <row r="53" spans="1:52" x14ac:dyDescent="0.2">
      <c r="A53" s="5" t="s">
        <v>2032</v>
      </c>
      <c r="B53" s="5">
        <v>748</v>
      </c>
      <c r="C53" s="5" t="s">
        <v>2050</v>
      </c>
      <c r="D53" s="5"/>
      <c r="E53" s="5" t="s">
        <v>2099</v>
      </c>
      <c r="F53" s="5" t="s">
        <v>2208</v>
      </c>
      <c r="G53" s="5" t="s">
        <v>2100</v>
      </c>
      <c r="H53" s="5" t="s">
        <v>2000</v>
      </c>
      <c r="I53" s="5" t="s">
        <v>2028</v>
      </c>
      <c r="J53" s="5" t="s">
        <v>2000</v>
      </c>
      <c r="K53" s="5" t="s">
        <v>2000</v>
      </c>
      <c r="L53" s="5" t="s">
        <v>2000</v>
      </c>
      <c r="O53" s="5" t="s">
        <v>2041</v>
      </c>
      <c r="P53" s="5" t="s">
        <v>2036</v>
      </c>
      <c r="Q53" s="5" t="s">
        <v>2089</v>
      </c>
      <c r="R53">
        <v>12.02</v>
      </c>
      <c r="S53">
        <v>1144</v>
      </c>
      <c r="T53">
        <v>0.5</v>
      </c>
      <c r="V53">
        <v>140</v>
      </c>
      <c r="W53">
        <v>15.01</v>
      </c>
      <c r="X53">
        <v>0.7</v>
      </c>
      <c r="Y53">
        <v>25.5</v>
      </c>
      <c r="Z53">
        <v>14.31</v>
      </c>
      <c r="AA53">
        <v>380</v>
      </c>
      <c r="AM53">
        <v>0</v>
      </c>
      <c r="AN53">
        <v>0.13800000000000001</v>
      </c>
      <c r="AO53">
        <f>AM53*AN53</f>
        <v>0</v>
      </c>
      <c r="AW53">
        <f>AW52</f>
        <v>0</v>
      </c>
      <c r="AX53">
        <v>12.08</v>
      </c>
      <c r="AY53">
        <f>AW53*AX53</f>
        <v>0</v>
      </c>
      <c r="AZ53" t="e">
        <f>AX53/AX52-1</f>
        <v>#DIV/0!</v>
      </c>
    </row>
    <row r="54" spans="1:52" x14ac:dyDescent="0.2">
      <c r="A54" s="5" t="s">
        <v>2145</v>
      </c>
      <c r="B54" s="5">
        <v>735</v>
      </c>
      <c r="C54" s="5" t="s">
        <v>2050</v>
      </c>
      <c r="D54" s="5"/>
      <c r="E54" s="5"/>
      <c r="F54" s="5" t="s">
        <v>2208</v>
      </c>
      <c r="G54" s="5" t="s">
        <v>2099</v>
      </c>
      <c r="H54" s="5" t="s">
        <v>2000</v>
      </c>
      <c r="I54" s="5"/>
      <c r="J54" s="5"/>
      <c r="K54" s="5"/>
      <c r="L54" s="5"/>
      <c r="M54" t="s">
        <v>2069</v>
      </c>
      <c r="N54" s="22">
        <v>1.15E-2</v>
      </c>
      <c r="O54">
        <v>0.64</v>
      </c>
      <c r="P54">
        <v>38</v>
      </c>
      <c r="Q54">
        <v>1310</v>
      </c>
      <c r="R54">
        <v>12.4</v>
      </c>
      <c r="S54">
        <v>1322</v>
      </c>
      <c r="T54">
        <v>0.56999999999999995</v>
      </c>
      <c r="U54">
        <v>1276</v>
      </c>
      <c r="V54">
        <v>186</v>
      </c>
      <c r="W54">
        <v>17.34</v>
      </c>
      <c r="X54">
        <v>0.9</v>
      </c>
      <c r="Y54">
        <v>27</v>
      </c>
      <c r="Z54">
        <v>15.68</v>
      </c>
      <c r="AA54">
        <v>420</v>
      </c>
      <c r="AM54">
        <v>0</v>
      </c>
      <c r="AN54">
        <v>0.36</v>
      </c>
      <c r="AO54">
        <f>AM54*AN54</f>
        <v>0</v>
      </c>
      <c r="AR54" t="s">
        <v>2013</v>
      </c>
    </row>
    <row r="55" spans="1:52" x14ac:dyDescent="0.2">
      <c r="A55" t="s">
        <v>2086</v>
      </c>
      <c r="B55">
        <v>719</v>
      </c>
      <c r="C55" t="s">
        <v>2050</v>
      </c>
      <c r="D55">
        <v>80</v>
      </c>
      <c r="E55" t="s">
        <v>2285</v>
      </c>
      <c r="F55" t="s">
        <v>2208</v>
      </c>
      <c r="G55" t="s">
        <v>2099</v>
      </c>
      <c r="H55" t="s">
        <v>2000</v>
      </c>
      <c r="I55" t="s">
        <v>2000</v>
      </c>
      <c r="J55" t="s">
        <v>2000</v>
      </c>
      <c r="K55" t="s">
        <v>2000</v>
      </c>
      <c r="L55" t="s">
        <v>2000</v>
      </c>
      <c r="M55" t="s">
        <v>2287</v>
      </c>
      <c r="N55" s="22">
        <v>4.5100000000000001E-2</v>
      </c>
      <c r="O55">
        <v>0.71</v>
      </c>
      <c r="P55">
        <v>45</v>
      </c>
      <c r="Q55">
        <v>1670</v>
      </c>
      <c r="R55">
        <v>12.78</v>
      </c>
      <c r="S55">
        <v>1500</v>
      </c>
      <c r="T55">
        <v>0.64</v>
      </c>
      <c r="U55">
        <v>1314</v>
      </c>
      <c r="V55">
        <v>232</v>
      </c>
      <c r="W55">
        <v>19.670000000000002</v>
      </c>
      <c r="X55">
        <v>1.1000000000000001</v>
      </c>
      <c r="Y55">
        <v>28.5</v>
      </c>
      <c r="Z55">
        <v>17.05</v>
      </c>
      <c r="AA55">
        <v>460</v>
      </c>
      <c r="AM55">
        <v>0</v>
      </c>
      <c r="AN55">
        <v>0.47</v>
      </c>
      <c r="AO55">
        <f>AM55*AN55</f>
        <v>0</v>
      </c>
      <c r="AR55">
        <v>0</v>
      </c>
      <c r="AS55">
        <v>0.13800000000000001</v>
      </c>
      <c r="AT55">
        <f>AR55*AS55</f>
        <v>0</v>
      </c>
      <c r="AW55" t="s">
        <v>2292</v>
      </c>
    </row>
    <row r="56" spans="1:52" x14ac:dyDescent="0.2">
      <c r="A56" s="4" t="s">
        <v>2167</v>
      </c>
      <c r="B56" s="4">
        <v>710</v>
      </c>
      <c r="C56" s="4"/>
      <c r="D56" s="4"/>
      <c r="E56" s="4"/>
      <c r="F56" s="4">
        <f>D56*(B56/100+1)</f>
        <v>0</v>
      </c>
      <c r="G56" s="4"/>
      <c r="H56" s="4"/>
      <c r="I56" s="4" t="s">
        <v>2028</v>
      </c>
      <c r="J56" s="4"/>
      <c r="K56" s="4"/>
      <c r="L56" s="4"/>
      <c r="M56" t="s">
        <v>2069</v>
      </c>
      <c r="N56" s="22">
        <v>0.21529999999999999</v>
      </c>
      <c r="O56">
        <v>0.78</v>
      </c>
      <c r="P56">
        <v>52</v>
      </c>
      <c r="Q56">
        <v>2030</v>
      </c>
      <c r="R56">
        <v>13.16</v>
      </c>
      <c r="S56">
        <v>1678</v>
      </c>
      <c r="U56">
        <v>1352</v>
      </c>
      <c r="V56">
        <v>278</v>
      </c>
      <c r="W56">
        <v>22</v>
      </c>
      <c r="AA56">
        <v>500</v>
      </c>
      <c r="AE56" t="s">
        <v>2212</v>
      </c>
      <c r="AF56" t="s">
        <v>2213</v>
      </c>
      <c r="AM56">
        <v>0</v>
      </c>
      <c r="AN56">
        <v>0.49</v>
      </c>
      <c r="AO56">
        <f>AM56*AN56</f>
        <v>0</v>
      </c>
      <c r="AR56">
        <v>0</v>
      </c>
      <c r="AS56">
        <v>0.36</v>
      </c>
      <c r="AT56">
        <f>AR56*AS56</f>
        <v>0</v>
      </c>
      <c r="AW56">
        <v>0</v>
      </c>
      <c r="AX56">
        <v>0.13800000000000001</v>
      </c>
      <c r="AY56">
        <f>AW56*AX56</f>
        <v>0</v>
      </c>
    </row>
    <row r="57" spans="1:52" x14ac:dyDescent="0.2">
      <c r="A57" s="4" t="s">
        <v>2038</v>
      </c>
      <c r="B57" s="4">
        <v>709</v>
      </c>
      <c r="C57" s="4"/>
      <c r="D57" s="4"/>
      <c r="E57" s="4"/>
      <c r="F57" s="4">
        <f>D57*(B57/100+1)</f>
        <v>0</v>
      </c>
      <c r="G57" s="4" t="s">
        <v>2099</v>
      </c>
      <c r="H57" s="4" t="s">
        <v>2028</v>
      </c>
      <c r="I57" s="4" t="s">
        <v>2028</v>
      </c>
      <c r="J57" s="4" t="s">
        <v>2000</v>
      </c>
      <c r="K57" s="4" t="s">
        <v>2000</v>
      </c>
      <c r="L57" s="4" t="s">
        <v>2000</v>
      </c>
      <c r="M57" s="4" t="s">
        <v>2283</v>
      </c>
      <c r="N57" s="93">
        <v>1.6299999999999999E-2</v>
      </c>
      <c r="O57">
        <v>0.85</v>
      </c>
      <c r="R57">
        <v>13.54</v>
      </c>
      <c r="S57">
        <v>1856</v>
      </c>
      <c r="U57">
        <v>1390</v>
      </c>
      <c r="V57">
        <v>324</v>
      </c>
      <c r="W57">
        <v>24.33</v>
      </c>
      <c r="AA57">
        <v>540</v>
      </c>
      <c r="AD57" t="s">
        <v>2214</v>
      </c>
      <c r="AF57">
        <v>1600</v>
      </c>
      <c r="AM57">
        <f>SUM(AM53:AM56)</f>
        <v>0</v>
      </c>
      <c r="AN57" t="e">
        <f>AO57/AM57</f>
        <v>#DIV/0!</v>
      </c>
      <c r="AO57">
        <f>SUM(AO53:AO56)</f>
        <v>0</v>
      </c>
      <c r="AR57">
        <v>0</v>
      </c>
      <c r="AS57">
        <v>2300</v>
      </c>
      <c r="AT57">
        <f>AR57*AS57</f>
        <v>0</v>
      </c>
      <c r="AW57">
        <v>0</v>
      </c>
      <c r="AX57">
        <v>0.36</v>
      </c>
      <c r="AY57">
        <f>AW57*AX57</f>
        <v>0</v>
      </c>
    </row>
    <row r="58" spans="1:52" x14ac:dyDescent="0.2">
      <c r="A58" s="70" t="s">
        <v>2172</v>
      </c>
      <c r="B58" s="70">
        <v>702</v>
      </c>
      <c r="C58" s="70"/>
      <c r="D58" s="70"/>
      <c r="E58" s="70"/>
      <c r="F58" s="70">
        <f>D58*(B58/100+1)</f>
        <v>0</v>
      </c>
      <c r="G58" s="70"/>
      <c r="H58" s="70"/>
      <c r="I58" s="70" t="s">
        <v>2028</v>
      </c>
      <c r="J58" s="70"/>
      <c r="K58" s="70"/>
      <c r="L58" s="70"/>
      <c r="U58">
        <v>1428</v>
      </c>
      <c r="V58">
        <v>370</v>
      </c>
      <c r="AD58" t="s">
        <v>2215</v>
      </c>
      <c r="AE58">
        <v>2200</v>
      </c>
      <c r="AM58">
        <f>AM57</f>
        <v>0</v>
      </c>
      <c r="AN58">
        <v>0.34</v>
      </c>
      <c r="AO58">
        <f>AM58*AN58</f>
        <v>0</v>
      </c>
      <c r="AP58" t="e">
        <f>AN58/AN57-1</f>
        <v>#DIV/0!</v>
      </c>
      <c r="AR58">
        <v>3.77</v>
      </c>
      <c r="AS58">
        <v>2700</v>
      </c>
      <c r="AT58">
        <f>AR58*AS58</f>
        <v>10179</v>
      </c>
      <c r="AW58">
        <v>0</v>
      </c>
      <c r="AX58">
        <v>0.47</v>
      </c>
      <c r="AY58">
        <f>AW58*AX58</f>
        <v>0</v>
      </c>
    </row>
    <row r="59" spans="1:52" x14ac:dyDescent="0.2">
      <c r="A59" t="s">
        <v>2091</v>
      </c>
      <c r="B59">
        <v>634</v>
      </c>
      <c r="C59" t="s">
        <v>2134</v>
      </c>
      <c r="D59">
        <v>71</v>
      </c>
      <c r="E59" t="s">
        <v>2259</v>
      </c>
      <c r="F59" t="s">
        <v>2208</v>
      </c>
      <c r="G59" t="s">
        <v>2099</v>
      </c>
      <c r="H59" t="s">
        <v>2000</v>
      </c>
      <c r="I59" t="s">
        <v>2000</v>
      </c>
      <c r="J59" t="s">
        <v>2000</v>
      </c>
      <c r="K59" t="s">
        <v>2028</v>
      </c>
      <c r="L59" t="s">
        <v>2000</v>
      </c>
      <c r="M59" t="s">
        <v>2292</v>
      </c>
      <c r="N59" s="22">
        <v>4.5999999999999999E-2</v>
      </c>
      <c r="AD59" t="s">
        <v>2233</v>
      </c>
      <c r="AF59">
        <v>500</v>
      </c>
      <c r="AR59">
        <f>SUM(AR55:AR58)</f>
        <v>3.77</v>
      </c>
      <c r="AS59">
        <f>AT59/AR59</f>
        <v>2700</v>
      </c>
      <c r="AT59">
        <f>SUM(AT55:AT58)</f>
        <v>10179</v>
      </c>
      <c r="AW59">
        <v>0</v>
      </c>
      <c r="AX59">
        <v>480</v>
      </c>
      <c r="AY59">
        <f>AW59*AX59</f>
        <v>0</v>
      </c>
    </row>
    <row r="60" spans="1:52" x14ac:dyDescent="0.2">
      <c r="A60" t="s">
        <v>2089</v>
      </c>
      <c r="B60">
        <v>619</v>
      </c>
      <c r="C60" t="s">
        <v>2050</v>
      </c>
      <c r="D60">
        <v>79</v>
      </c>
      <c r="E60" t="s">
        <v>2285</v>
      </c>
      <c r="F60" t="s">
        <v>2208</v>
      </c>
      <c r="G60" t="s">
        <v>2099</v>
      </c>
      <c r="H60" t="s">
        <v>2000</v>
      </c>
      <c r="I60" t="s">
        <v>2000</v>
      </c>
      <c r="J60" t="s">
        <v>2000</v>
      </c>
      <c r="K60" t="s">
        <v>2000</v>
      </c>
      <c r="L60" t="s">
        <v>2000</v>
      </c>
      <c r="M60" t="s">
        <v>2069</v>
      </c>
      <c r="N60" s="22">
        <v>9.0499999999999997E-2</v>
      </c>
      <c r="AD60" t="s">
        <v>2234</v>
      </c>
      <c r="AF60">
        <v>300</v>
      </c>
      <c r="AR60">
        <f>AR59</f>
        <v>3.77</v>
      </c>
      <c r="AS60">
        <v>0.38</v>
      </c>
      <c r="AT60">
        <f>AR60*AS60</f>
        <v>1.4326000000000001</v>
      </c>
      <c r="AU60">
        <f>AS60/AS59-1</f>
        <v>-0.99985925925925923</v>
      </c>
      <c r="AW60">
        <f>SUM(AW56:AW59)</f>
        <v>0</v>
      </c>
      <c r="AX60" t="e">
        <f>AY60/AW60</f>
        <v>#DIV/0!</v>
      </c>
      <c r="AY60">
        <f>SUM(AY56:AY59)</f>
        <v>0</v>
      </c>
    </row>
    <row r="61" spans="1:52" x14ac:dyDescent="0.2">
      <c r="A61" s="70" t="s">
        <v>2118</v>
      </c>
      <c r="B61" s="70">
        <v>595</v>
      </c>
      <c r="C61" s="70"/>
      <c r="D61" s="70"/>
      <c r="E61" s="70"/>
      <c r="F61" s="70">
        <f>D61*(B61/100+1)</f>
        <v>0</v>
      </c>
      <c r="G61" s="70" t="s">
        <v>2099</v>
      </c>
      <c r="H61" s="70"/>
      <c r="I61" s="70" t="s">
        <v>2028</v>
      </c>
      <c r="J61" s="70"/>
      <c r="K61" s="70"/>
      <c r="L61" s="70"/>
      <c r="M61" t="s">
        <v>2177</v>
      </c>
      <c r="AD61" t="s">
        <v>2236</v>
      </c>
      <c r="AE61">
        <v>180</v>
      </c>
      <c r="AW61">
        <f>AW60</f>
        <v>0</v>
      </c>
      <c r="AX61">
        <v>0.38</v>
      </c>
      <c r="AY61">
        <f>AW61*AX61</f>
        <v>0</v>
      </c>
      <c r="AZ61" t="e">
        <f>AX61/AX60-1</f>
        <v>#DIV/0!</v>
      </c>
    </row>
    <row r="62" spans="1:52" x14ac:dyDescent="0.2">
      <c r="A62" s="70" t="s">
        <v>2166</v>
      </c>
      <c r="B62" s="70">
        <v>588</v>
      </c>
      <c r="C62" s="70"/>
      <c r="D62" s="70"/>
      <c r="E62" s="70"/>
      <c r="F62" s="70">
        <v>0</v>
      </c>
      <c r="G62" s="70"/>
      <c r="H62" s="70"/>
      <c r="I62" s="70" t="s">
        <v>2028</v>
      </c>
      <c r="J62" s="70"/>
      <c r="K62" s="70"/>
      <c r="L62" s="70"/>
      <c r="Q62" s="70" t="s">
        <v>1996</v>
      </c>
      <c r="R62" s="70" t="s">
        <v>2151</v>
      </c>
      <c r="S62" s="70" t="s">
        <v>2152</v>
      </c>
      <c r="T62" s="70" t="s">
        <v>2153</v>
      </c>
      <c r="U62" s="70" t="s">
        <v>2154</v>
      </c>
      <c r="V62" s="70" t="s">
        <v>2155</v>
      </c>
      <c r="W62" s="70" t="s">
        <v>2156</v>
      </c>
      <c r="X62" s="70" t="s">
        <v>2157</v>
      </c>
      <c r="Y62" s="70" t="s">
        <v>2158</v>
      </c>
      <c r="Z62" s="70" t="s">
        <v>2159</v>
      </c>
      <c r="AA62" s="70" t="s">
        <v>1350</v>
      </c>
      <c r="AB62" s="70" t="s">
        <v>1299</v>
      </c>
      <c r="AD62" s="70" t="s">
        <v>2235</v>
      </c>
      <c r="AE62">
        <v>415</v>
      </c>
      <c r="AM62" t="s">
        <v>2344</v>
      </c>
      <c r="AN62">
        <v>1319</v>
      </c>
      <c r="AO62">
        <f>AN62*AN68</f>
        <v>30337</v>
      </c>
      <c r="AR62" t="s">
        <v>2037</v>
      </c>
      <c r="AS62" s="29">
        <v>1.8</v>
      </c>
    </row>
    <row r="63" spans="1:52" x14ac:dyDescent="0.2">
      <c r="A63" t="s">
        <v>1988</v>
      </c>
      <c r="B63">
        <v>587</v>
      </c>
      <c r="C63" t="s">
        <v>2050</v>
      </c>
      <c r="D63">
        <v>113</v>
      </c>
      <c r="E63" t="s">
        <v>2285</v>
      </c>
      <c r="F63" t="s">
        <v>2208</v>
      </c>
      <c r="G63" t="s">
        <v>2099</v>
      </c>
      <c r="H63" t="s">
        <v>2000</v>
      </c>
      <c r="I63" t="s">
        <v>2000</v>
      </c>
      <c r="J63" t="s">
        <v>2000</v>
      </c>
      <c r="K63" t="s">
        <v>2000</v>
      </c>
      <c r="L63" t="s">
        <v>2000</v>
      </c>
      <c r="M63" t="s">
        <v>2164</v>
      </c>
      <c r="N63" s="22">
        <v>3.1E-2</v>
      </c>
      <c r="O63" s="70" t="s">
        <v>2019</v>
      </c>
      <c r="P63">
        <f t="shared" ref="P63:P80" si="10">(T63-S63)/7</f>
        <v>1.5000000000000013E-2</v>
      </c>
      <c r="Q63">
        <v>0</v>
      </c>
      <c r="R63">
        <v>0.78</v>
      </c>
      <c r="S63">
        <v>0.56999999999999995</v>
      </c>
      <c r="T63">
        <f t="shared" ref="T63:T80" si="11">SUM(R63:S63)/2</f>
        <v>0.67500000000000004</v>
      </c>
      <c r="U63">
        <f t="shared" ref="U63:U80" si="12">T63+P63</f>
        <v>0.69000000000000006</v>
      </c>
      <c r="V63">
        <f t="shared" ref="V63:Z72" si="13">U63+$P63</f>
        <v>0.70500000000000007</v>
      </c>
      <c r="W63">
        <f t="shared" si="13"/>
        <v>0.72000000000000008</v>
      </c>
      <c r="X63">
        <f t="shared" si="13"/>
        <v>0.7350000000000001</v>
      </c>
      <c r="Y63">
        <f t="shared" si="13"/>
        <v>0.75000000000000011</v>
      </c>
      <c r="Z63">
        <f t="shared" si="13"/>
        <v>0.76500000000000012</v>
      </c>
      <c r="AA63" s="30">
        <f t="shared" ref="AA63:AA80" si="14">R63/T63</f>
        <v>1.1555555555555554</v>
      </c>
      <c r="AB63" s="78">
        <v>44213</v>
      </c>
      <c r="AD63" t="s">
        <v>2237</v>
      </c>
      <c r="AF63">
        <v>2700</v>
      </c>
      <c r="AM63">
        <v>0</v>
      </c>
      <c r="AN63">
        <v>14</v>
      </c>
      <c r="AO63">
        <f>AM63*AN63</f>
        <v>0</v>
      </c>
      <c r="AR63">
        <v>0</v>
      </c>
      <c r="AS63">
        <v>430</v>
      </c>
      <c r="AT63">
        <f>AR63*AS63</f>
        <v>0</v>
      </c>
      <c r="AW63" t="s">
        <v>2095</v>
      </c>
    </row>
    <row r="64" spans="1:52" x14ac:dyDescent="0.2">
      <c r="A64" s="5" t="s">
        <v>2168</v>
      </c>
      <c r="B64" s="5">
        <v>586</v>
      </c>
      <c r="C64" s="5"/>
      <c r="D64" s="5"/>
      <c r="E64" s="5"/>
      <c r="F64" s="5" t="s">
        <v>2208</v>
      </c>
      <c r="G64" s="5" t="s">
        <v>2099</v>
      </c>
      <c r="H64" s="5" t="s">
        <v>2000</v>
      </c>
      <c r="I64" s="5" t="s">
        <v>2028</v>
      </c>
      <c r="J64" s="5"/>
      <c r="K64" s="5"/>
      <c r="L64" s="5"/>
      <c r="M64" s="5" t="s">
        <v>2177</v>
      </c>
      <c r="N64" s="91"/>
      <c r="O64" s="70" t="s">
        <v>2076</v>
      </c>
      <c r="P64">
        <f t="shared" si="10"/>
        <v>0</v>
      </c>
      <c r="Q64">
        <v>0.93</v>
      </c>
      <c r="R64">
        <v>0</v>
      </c>
      <c r="S64">
        <v>0</v>
      </c>
      <c r="T64">
        <f t="shared" si="11"/>
        <v>0</v>
      </c>
      <c r="U64">
        <f t="shared" si="12"/>
        <v>0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0</v>
      </c>
      <c r="AA64" s="30" t="e">
        <f t="shared" si="14"/>
        <v>#DIV/0!</v>
      </c>
      <c r="AB64" s="78">
        <v>44213</v>
      </c>
      <c r="AM64">
        <v>0</v>
      </c>
      <c r="AN64">
        <v>14</v>
      </c>
      <c r="AO64">
        <f>AM64*AN64</f>
        <v>0</v>
      </c>
      <c r="AR64">
        <v>0</v>
      </c>
      <c r="AS64">
        <v>240</v>
      </c>
      <c r="AT64">
        <f>AR64*AS64</f>
        <v>0</v>
      </c>
      <c r="AW64">
        <v>0</v>
      </c>
      <c r="AX64">
        <v>0.13800000000000001</v>
      </c>
      <c r="AY64">
        <f>AW64*AX64</f>
        <v>0</v>
      </c>
    </row>
    <row r="65" spans="1:52" x14ac:dyDescent="0.2">
      <c r="A65" s="70" t="s">
        <v>2165</v>
      </c>
      <c r="B65" s="70">
        <v>560</v>
      </c>
      <c r="C65" s="70"/>
      <c r="D65" s="70"/>
      <c r="E65" s="70"/>
      <c r="F65" s="70">
        <f>D65*(B65/100+1)</f>
        <v>0</v>
      </c>
      <c r="G65" s="70" t="s">
        <v>2028</v>
      </c>
      <c r="H65" s="70"/>
      <c r="I65" s="70" t="s">
        <v>2028</v>
      </c>
      <c r="J65" s="70"/>
      <c r="K65" s="70"/>
      <c r="L65" s="70"/>
      <c r="O65" s="5" t="s">
        <v>2145</v>
      </c>
      <c r="P65" s="5">
        <f t="shared" si="10"/>
        <v>2.9214285714285717</v>
      </c>
      <c r="Q65" s="5">
        <v>113</v>
      </c>
      <c r="R65" s="5">
        <v>111</v>
      </c>
      <c r="S65" s="5">
        <v>70.099999999999994</v>
      </c>
      <c r="T65" s="5">
        <f t="shared" si="11"/>
        <v>90.55</v>
      </c>
      <c r="U65" s="5">
        <f t="shared" si="12"/>
        <v>93.471428571428575</v>
      </c>
      <c r="V65" s="5">
        <f t="shared" si="13"/>
        <v>96.392857142857153</v>
      </c>
      <c r="W65" s="5">
        <f t="shared" si="13"/>
        <v>99.314285714285731</v>
      </c>
      <c r="X65" s="5">
        <f t="shared" si="13"/>
        <v>102.23571428571431</v>
      </c>
      <c r="Y65" s="5">
        <f t="shared" si="13"/>
        <v>105.15714285714289</v>
      </c>
      <c r="Z65" s="5">
        <f t="shared" si="13"/>
        <v>108.07857142857146</v>
      </c>
      <c r="AA65" s="5">
        <f t="shared" si="14"/>
        <v>1.2258420762009941</v>
      </c>
      <c r="AB65" s="80">
        <v>44213</v>
      </c>
      <c r="AD65" t="s">
        <v>2216</v>
      </c>
      <c r="AE65">
        <f>SUM(AE57:AE64)-SUM(AF57:AF64)</f>
        <v>-2305</v>
      </c>
      <c r="AM65">
        <v>0</v>
      </c>
      <c r="AN65">
        <v>11</v>
      </c>
      <c r="AO65">
        <f>AM65*AN65</f>
        <v>0</v>
      </c>
      <c r="AR65">
        <v>0</v>
      </c>
      <c r="AS65">
        <v>300</v>
      </c>
      <c r="AT65">
        <f>AR65*AS65</f>
        <v>0</v>
      </c>
      <c r="AW65">
        <v>0</v>
      </c>
      <c r="AX65">
        <v>0.36</v>
      </c>
      <c r="AY65">
        <f>AW65*AX65</f>
        <v>0</v>
      </c>
    </row>
    <row r="66" spans="1:52" x14ac:dyDescent="0.2">
      <c r="A66" s="70" t="s">
        <v>2293</v>
      </c>
      <c r="B66" s="70">
        <v>539</v>
      </c>
      <c r="C66" s="70"/>
      <c r="D66" s="70"/>
      <c r="E66" s="70"/>
      <c r="F66" s="70">
        <f>D66*(B66/100+1)</f>
        <v>0</v>
      </c>
      <c r="G66" s="70"/>
      <c r="H66" s="70"/>
      <c r="I66" s="70" t="s">
        <v>2028</v>
      </c>
      <c r="J66" s="70"/>
      <c r="K66" s="70"/>
      <c r="L66" s="70"/>
      <c r="O66" s="5" t="s">
        <v>2149</v>
      </c>
      <c r="P66" s="5">
        <f t="shared" si="10"/>
        <v>1.1171428571428577</v>
      </c>
      <c r="Q66" s="5">
        <v>48.6</v>
      </c>
      <c r="R66" s="5">
        <v>46.77</v>
      </c>
      <c r="S66" s="5">
        <v>31.13</v>
      </c>
      <c r="T66" s="5">
        <f t="shared" si="11"/>
        <v>38.950000000000003</v>
      </c>
      <c r="U66" s="5">
        <f t="shared" si="12"/>
        <v>40.067142857142862</v>
      </c>
      <c r="V66" s="5">
        <f t="shared" si="13"/>
        <v>41.184285714285721</v>
      </c>
      <c r="W66" s="5">
        <f t="shared" si="13"/>
        <v>42.30142857142858</v>
      </c>
      <c r="X66" s="5">
        <f t="shared" si="13"/>
        <v>43.41857142857144</v>
      </c>
      <c r="Y66" s="5">
        <f t="shared" si="13"/>
        <v>44.535714285714299</v>
      </c>
      <c r="Z66" s="5">
        <f t="shared" si="13"/>
        <v>45.652857142857158</v>
      </c>
      <c r="AA66" s="5">
        <f t="shared" si="14"/>
        <v>1.2007702182284981</v>
      </c>
      <c r="AB66" s="80">
        <v>44213</v>
      </c>
      <c r="AM66">
        <v>0</v>
      </c>
      <c r="AN66">
        <v>0.49</v>
      </c>
      <c r="AO66">
        <f>AM66*AN66</f>
        <v>0</v>
      </c>
      <c r="AR66">
        <v>0</v>
      </c>
      <c r="AS66">
        <v>0.49</v>
      </c>
      <c r="AT66">
        <f>AR66*AS66</f>
        <v>0</v>
      </c>
      <c r="AW66">
        <v>0</v>
      </c>
      <c r="AX66">
        <v>0.47</v>
      </c>
      <c r="AY66">
        <f>AW66*AX66</f>
        <v>0</v>
      </c>
    </row>
    <row r="67" spans="1:52" x14ac:dyDescent="0.2">
      <c r="A67" s="70" t="s">
        <v>2297</v>
      </c>
      <c r="B67" s="70">
        <v>536</v>
      </c>
      <c r="C67" s="70"/>
      <c r="D67" s="70"/>
      <c r="E67" s="70"/>
      <c r="F67" s="70">
        <f>D67*(B67/100+1)</f>
        <v>0</v>
      </c>
      <c r="G67" s="70"/>
      <c r="H67" s="70"/>
      <c r="I67" s="70" t="s">
        <v>2028</v>
      </c>
      <c r="J67" s="70"/>
      <c r="K67" s="70"/>
      <c r="L67" s="70"/>
      <c r="O67" s="5" t="s">
        <v>1992</v>
      </c>
      <c r="P67" s="5">
        <f t="shared" si="10"/>
        <v>7.8571428571428559E-3</v>
      </c>
      <c r="Q67" s="5">
        <v>38500</v>
      </c>
      <c r="R67" s="5">
        <v>0.36</v>
      </c>
      <c r="S67" s="5">
        <v>0.25</v>
      </c>
      <c r="T67" s="5">
        <f t="shared" si="11"/>
        <v>0.30499999999999999</v>
      </c>
      <c r="U67" s="5">
        <f t="shared" si="12"/>
        <v>0.31285714285714283</v>
      </c>
      <c r="V67" s="5">
        <f t="shared" si="13"/>
        <v>0.32071428571428567</v>
      </c>
      <c r="W67" s="5">
        <f t="shared" si="13"/>
        <v>0.32857142857142851</v>
      </c>
      <c r="X67" s="5">
        <f t="shared" si="13"/>
        <v>0.33642857142857135</v>
      </c>
      <c r="Y67" s="5">
        <f t="shared" si="13"/>
        <v>0.34428571428571419</v>
      </c>
      <c r="Z67" s="5">
        <f t="shared" si="13"/>
        <v>0.35214285714285704</v>
      </c>
      <c r="AA67" s="5">
        <f t="shared" si="14"/>
        <v>1.180327868852459</v>
      </c>
      <c r="AB67" s="80">
        <v>44213</v>
      </c>
      <c r="AM67">
        <f>SUM(AM63:AM66)</f>
        <v>0</v>
      </c>
      <c r="AN67" t="e">
        <f>AO67/AM67</f>
        <v>#DIV/0!</v>
      </c>
      <c r="AO67">
        <f>SUM(AO63:AO66)</f>
        <v>0</v>
      </c>
      <c r="AR67">
        <f>SUM(AR63:AR66)</f>
        <v>0</v>
      </c>
      <c r="AS67" t="e">
        <f>AT67/AR67</f>
        <v>#DIV/0!</v>
      </c>
      <c r="AT67">
        <f>SUM(AT63:AT66)</f>
        <v>0</v>
      </c>
      <c r="AW67">
        <v>0</v>
      </c>
      <c r="AX67">
        <v>0.49</v>
      </c>
      <c r="AY67">
        <f>AW67*AX67</f>
        <v>0</v>
      </c>
    </row>
    <row r="68" spans="1:52" x14ac:dyDescent="0.2">
      <c r="A68" s="70" t="s">
        <v>2037</v>
      </c>
      <c r="B68" s="70">
        <v>534</v>
      </c>
      <c r="C68" s="70"/>
      <c r="D68" s="70"/>
      <c r="E68" s="70"/>
      <c r="F68" s="70">
        <f>D68*(B68/100+1)</f>
        <v>0</v>
      </c>
      <c r="G68" s="70"/>
      <c r="H68" s="70" t="s">
        <v>2028</v>
      </c>
      <c r="I68" s="70" t="s">
        <v>2028</v>
      </c>
      <c r="J68" s="70" t="s">
        <v>2000</v>
      </c>
      <c r="K68" s="70" t="s">
        <v>2028</v>
      </c>
      <c r="L68" s="70" t="s">
        <v>2000</v>
      </c>
      <c r="O68" s="70" t="s">
        <v>2014</v>
      </c>
      <c r="P68">
        <f t="shared" si="10"/>
        <v>8.357142857142856E-2</v>
      </c>
      <c r="Q68">
        <v>4.08</v>
      </c>
      <c r="R68">
        <v>4.01</v>
      </c>
      <c r="S68">
        <v>2.84</v>
      </c>
      <c r="T68">
        <f t="shared" si="11"/>
        <v>3.4249999999999998</v>
      </c>
      <c r="U68">
        <f t="shared" si="12"/>
        <v>3.5085714285714285</v>
      </c>
      <c r="V68">
        <f t="shared" si="13"/>
        <v>3.5921428571428571</v>
      </c>
      <c r="W68">
        <f t="shared" si="13"/>
        <v>3.6757142857142857</v>
      </c>
      <c r="X68">
        <f t="shared" si="13"/>
        <v>3.7592857142857143</v>
      </c>
      <c r="Y68">
        <f t="shared" si="13"/>
        <v>3.842857142857143</v>
      </c>
      <c r="Z68">
        <f t="shared" si="13"/>
        <v>3.9264285714285716</v>
      </c>
      <c r="AA68" s="30">
        <f t="shared" si="14"/>
        <v>1.1708029197080292</v>
      </c>
      <c r="AB68" s="78">
        <v>44221</v>
      </c>
      <c r="AM68">
        <f>AM67</f>
        <v>0</v>
      </c>
      <c r="AN68">
        <v>23</v>
      </c>
      <c r="AO68">
        <f>AM68*AN68</f>
        <v>0</v>
      </c>
      <c r="AP68" t="e">
        <f>AN68/AN67-1</f>
        <v>#DIV/0!</v>
      </c>
      <c r="AR68">
        <f>AR67</f>
        <v>0</v>
      </c>
      <c r="AS68">
        <v>200</v>
      </c>
      <c r="AT68">
        <f>AR68*AS68</f>
        <v>0</v>
      </c>
      <c r="AU68" t="e">
        <f>AS68/AS67-1</f>
        <v>#DIV/0!</v>
      </c>
      <c r="AW68">
        <f>SUM(AW64:AW67)</f>
        <v>0</v>
      </c>
      <c r="AX68" t="e">
        <f>AY68/AW68</f>
        <v>#DIV/0!</v>
      </c>
      <c r="AY68">
        <f>SUM(AY64:AY67)</f>
        <v>0</v>
      </c>
    </row>
    <row r="69" spans="1:52" x14ac:dyDescent="0.2">
      <c r="A69" s="70" t="s">
        <v>2057</v>
      </c>
      <c r="B69" s="70">
        <v>533</v>
      </c>
      <c r="C69" s="70"/>
      <c r="D69" s="70"/>
      <c r="E69" s="70"/>
      <c r="F69" s="70">
        <f>D69*(B69/100+1)</f>
        <v>0</v>
      </c>
      <c r="G69" s="70"/>
      <c r="H69" s="70" t="s">
        <v>2028</v>
      </c>
      <c r="I69" s="70" t="s">
        <v>2028</v>
      </c>
      <c r="J69" s="70"/>
      <c r="K69" s="70" t="s">
        <v>2028</v>
      </c>
      <c r="L69" s="70" t="s">
        <v>2028</v>
      </c>
      <c r="O69" s="5" t="s">
        <v>2141</v>
      </c>
      <c r="P69" s="5">
        <f t="shared" si="10"/>
        <v>1.4999999999999998E-2</v>
      </c>
      <c r="Q69" s="5">
        <v>0.77</v>
      </c>
      <c r="R69" s="5">
        <v>0.75</v>
      </c>
      <c r="S69" s="5">
        <v>0.54</v>
      </c>
      <c r="T69" s="5">
        <f t="shared" si="11"/>
        <v>0.64500000000000002</v>
      </c>
      <c r="U69" s="5">
        <f t="shared" si="12"/>
        <v>0.66</v>
      </c>
      <c r="V69" s="5">
        <f t="shared" si="13"/>
        <v>0.67500000000000004</v>
      </c>
      <c r="W69" s="5">
        <f t="shared" si="13"/>
        <v>0.69000000000000006</v>
      </c>
      <c r="X69" s="5">
        <f t="shared" si="13"/>
        <v>0.70500000000000007</v>
      </c>
      <c r="Y69" s="5">
        <f t="shared" si="13"/>
        <v>0.72000000000000008</v>
      </c>
      <c r="Z69" s="5">
        <f t="shared" si="13"/>
        <v>0.7350000000000001</v>
      </c>
      <c r="AA69" s="5">
        <f t="shared" si="14"/>
        <v>1.1627906976744187</v>
      </c>
      <c r="AB69" s="80">
        <v>44213</v>
      </c>
      <c r="AF69">
        <v>1.61</v>
      </c>
      <c r="AG69" t="s">
        <v>2042</v>
      </c>
      <c r="AW69">
        <f>AW68</f>
        <v>0</v>
      </c>
      <c r="AX69">
        <v>0.38</v>
      </c>
      <c r="AY69">
        <f>AW69*AX69</f>
        <v>0</v>
      </c>
      <c r="AZ69" t="e">
        <f>AX69/AX68-1</f>
        <v>#DIV/0!</v>
      </c>
    </row>
    <row r="70" spans="1:52" x14ac:dyDescent="0.2">
      <c r="A70" t="s">
        <v>2021</v>
      </c>
      <c r="B70">
        <v>530</v>
      </c>
      <c r="D70">
        <v>108</v>
      </c>
      <c r="E70" t="s">
        <v>2259</v>
      </c>
      <c r="F70" t="s">
        <v>2259</v>
      </c>
      <c r="G70" t="s">
        <v>2099</v>
      </c>
      <c r="H70" t="s">
        <v>2028</v>
      </c>
      <c r="I70" t="s">
        <v>2000</v>
      </c>
      <c r="J70" t="s">
        <v>2028</v>
      </c>
      <c r="K70" t="s">
        <v>2028</v>
      </c>
      <c r="L70" t="s">
        <v>2028</v>
      </c>
      <c r="O70" s="70" t="s">
        <v>2020</v>
      </c>
      <c r="P70" s="70">
        <f t="shared" si="10"/>
        <v>1.142857142857143E-2</v>
      </c>
      <c r="Q70" s="70">
        <v>0.64</v>
      </c>
      <c r="R70" s="70">
        <v>0.57999999999999996</v>
      </c>
      <c r="S70" s="70">
        <v>0.42</v>
      </c>
      <c r="T70" s="70">
        <f t="shared" si="11"/>
        <v>0.5</v>
      </c>
      <c r="U70" s="70">
        <f t="shared" si="12"/>
        <v>0.51142857142857145</v>
      </c>
      <c r="V70" s="70">
        <f t="shared" si="13"/>
        <v>0.52285714285714291</v>
      </c>
      <c r="W70" s="70">
        <f t="shared" si="13"/>
        <v>0.53428571428571436</v>
      </c>
      <c r="X70" s="70">
        <f t="shared" si="13"/>
        <v>0.54571428571428582</v>
      </c>
      <c r="Y70" s="70">
        <f t="shared" si="13"/>
        <v>0.55714285714285727</v>
      </c>
      <c r="Z70" s="70">
        <f t="shared" si="13"/>
        <v>0.56857142857142873</v>
      </c>
      <c r="AA70" s="70">
        <f t="shared" si="14"/>
        <v>1.1599999999999999</v>
      </c>
      <c r="AB70" s="79">
        <v>44221</v>
      </c>
      <c r="AC70" s="70" t="s">
        <v>2208</v>
      </c>
      <c r="AF70">
        <v>2.5</v>
      </c>
      <c r="AG70" t="s">
        <v>2360</v>
      </c>
      <c r="AM70" t="s">
        <v>2356</v>
      </c>
      <c r="AR70" t="s">
        <v>2389</v>
      </c>
    </row>
    <row r="71" spans="1:52" x14ac:dyDescent="0.2">
      <c r="A71" s="70" t="s">
        <v>2300</v>
      </c>
      <c r="B71" s="70">
        <v>495</v>
      </c>
      <c r="C71" s="70"/>
      <c r="D71" s="70"/>
      <c r="E71" s="70"/>
      <c r="F71" s="70">
        <f>D71*(B71/100+1)</f>
        <v>0</v>
      </c>
      <c r="G71" s="70"/>
      <c r="H71" s="70"/>
      <c r="I71" s="70" t="s">
        <v>2028</v>
      </c>
      <c r="J71" s="70"/>
      <c r="K71" s="70"/>
      <c r="L71" s="70"/>
      <c r="O71" s="70" t="s">
        <v>2089</v>
      </c>
      <c r="P71" s="70">
        <f t="shared" si="10"/>
        <v>31.785714285714285</v>
      </c>
      <c r="Q71" s="70">
        <v>1856</v>
      </c>
      <c r="R71" s="70">
        <v>1678</v>
      </c>
      <c r="S71" s="70">
        <v>1233</v>
      </c>
      <c r="T71" s="70">
        <f t="shared" si="11"/>
        <v>1455.5</v>
      </c>
      <c r="U71" s="70">
        <f t="shared" si="12"/>
        <v>1487.2857142857142</v>
      </c>
      <c r="V71" s="70">
        <f t="shared" si="13"/>
        <v>1519.0714285714284</v>
      </c>
      <c r="W71" s="70">
        <f t="shared" si="13"/>
        <v>1550.8571428571427</v>
      </c>
      <c r="X71" s="70">
        <f t="shared" si="13"/>
        <v>1582.6428571428569</v>
      </c>
      <c r="Y71" s="70">
        <f t="shared" si="13"/>
        <v>1614.4285714285711</v>
      </c>
      <c r="Z71" s="70">
        <f t="shared" si="13"/>
        <v>1646.2142857142853</v>
      </c>
      <c r="AA71" s="70">
        <f t="shared" si="14"/>
        <v>1.1528684300927516</v>
      </c>
      <c r="AB71" s="79">
        <v>44213</v>
      </c>
      <c r="AC71" s="70" t="s">
        <v>2208</v>
      </c>
      <c r="AM71">
        <v>0</v>
      </c>
      <c r="AN71">
        <v>5000</v>
      </c>
      <c r="AO71">
        <f>AM71*AN71</f>
        <v>0</v>
      </c>
      <c r="AR71">
        <v>0</v>
      </c>
      <c r="AS71">
        <v>64</v>
      </c>
      <c r="AT71">
        <f>AR71*AS71</f>
        <v>0</v>
      </c>
      <c r="AW71" t="s">
        <v>2346</v>
      </c>
    </row>
    <row r="72" spans="1:52" x14ac:dyDescent="0.2">
      <c r="A72" s="30" t="s">
        <v>2036</v>
      </c>
      <c r="B72" s="30">
        <v>487</v>
      </c>
      <c r="C72" s="30" t="s">
        <v>2050</v>
      </c>
      <c r="D72" s="30">
        <v>65</v>
      </c>
      <c r="E72" s="30" t="s">
        <v>2285</v>
      </c>
      <c r="F72" s="92" t="s">
        <v>2208</v>
      </c>
      <c r="G72" s="30" t="s">
        <v>2099</v>
      </c>
      <c r="H72" s="30" t="s">
        <v>2000</v>
      </c>
      <c r="I72" s="30" t="s">
        <v>2000</v>
      </c>
      <c r="J72" s="30" t="s">
        <v>2000</v>
      </c>
      <c r="K72" s="30" t="s">
        <v>2000</v>
      </c>
      <c r="L72" s="30" t="s">
        <v>2000</v>
      </c>
      <c r="O72" s="70" t="s">
        <v>2068</v>
      </c>
      <c r="P72" s="70">
        <f t="shared" si="10"/>
        <v>0.23428571428571413</v>
      </c>
      <c r="Q72" s="70">
        <v>14.02</v>
      </c>
      <c r="R72" s="70">
        <v>12.75</v>
      </c>
      <c r="S72" s="70">
        <v>9.4700000000000006</v>
      </c>
      <c r="T72" s="70">
        <f t="shared" si="11"/>
        <v>11.11</v>
      </c>
      <c r="U72" s="70">
        <f t="shared" si="12"/>
        <v>11.344285714285714</v>
      </c>
      <c r="V72" s="70">
        <f t="shared" si="13"/>
        <v>11.578571428571429</v>
      </c>
      <c r="W72" s="70">
        <f t="shared" si="13"/>
        <v>11.812857142857144</v>
      </c>
      <c r="X72" s="70">
        <f t="shared" si="13"/>
        <v>12.047142857142859</v>
      </c>
      <c r="Y72" s="70">
        <f t="shared" si="13"/>
        <v>12.281428571428574</v>
      </c>
      <c r="Z72" s="70">
        <f t="shared" si="13"/>
        <v>12.515714285714289</v>
      </c>
      <c r="AA72" s="70">
        <f t="shared" si="14"/>
        <v>1.1476147614761476</v>
      </c>
      <c r="AB72" s="79">
        <v>44213</v>
      </c>
      <c r="AC72" s="70" t="s">
        <v>2208</v>
      </c>
      <c r="AE72" t="s">
        <v>1448</v>
      </c>
      <c r="AF72">
        <f>1/(AF69/AF70)</f>
        <v>1.5527950310559007</v>
      </c>
      <c r="AM72">
        <v>0</v>
      </c>
      <c r="AN72">
        <v>4600</v>
      </c>
      <c r="AO72">
        <f>AM72*AN72</f>
        <v>0</v>
      </c>
      <c r="AR72">
        <v>0</v>
      </c>
      <c r="AS72">
        <v>65</v>
      </c>
      <c r="AT72">
        <f>AR72*AS72</f>
        <v>0</v>
      </c>
      <c r="AW72">
        <v>99</v>
      </c>
      <c r="AX72">
        <v>205</v>
      </c>
      <c r="AY72">
        <f>AW72*AX72</f>
        <v>20295</v>
      </c>
    </row>
    <row r="73" spans="1:52" x14ac:dyDescent="0.2">
      <c r="A73" t="s">
        <v>2018</v>
      </c>
      <c r="B73">
        <v>486</v>
      </c>
      <c r="E73" t="s">
        <v>2099</v>
      </c>
      <c r="F73" t="s">
        <v>2285</v>
      </c>
      <c r="H73" t="s">
        <v>2028</v>
      </c>
      <c r="I73" t="s">
        <v>2000</v>
      </c>
      <c r="J73" t="s">
        <v>2000</v>
      </c>
      <c r="K73" t="s">
        <v>2028</v>
      </c>
      <c r="L73" t="s">
        <v>2000</v>
      </c>
      <c r="M73" t="s">
        <v>2061</v>
      </c>
      <c r="N73" s="22">
        <v>3.6799999999999999E-2</v>
      </c>
      <c r="O73" s="70" t="s">
        <v>1988</v>
      </c>
      <c r="P73" s="70">
        <f t="shared" si="10"/>
        <v>6.4285714285714267E-3</v>
      </c>
      <c r="Q73" s="70">
        <v>0.39</v>
      </c>
      <c r="R73" s="70">
        <v>0.38</v>
      </c>
      <c r="S73" s="70">
        <v>0.28999999999999998</v>
      </c>
      <c r="T73" s="70">
        <f t="shared" si="11"/>
        <v>0.33499999999999996</v>
      </c>
      <c r="U73" s="70">
        <f t="shared" si="12"/>
        <v>0.34142857142857141</v>
      </c>
      <c r="V73" s="70">
        <f t="shared" ref="V73:Z80" si="15">U73+$P73</f>
        <v>0.34785714285714286</v>
      </c>
      <c r="W73" s="70">
        <f t="shared" si="15"/>
        <v>0.35428571428571431</v>
      </c>
      <c r="X73" s="70">
        <f t="shared" si="15"/>
        <v>0.36071428571428577</v>
      </c>
      <c r="Y73" s="70">
        <f t="shared" si="15"/>
        <v>0.36714285714285722</v>
      </c>
      <c r="Z73" s="70">
        <f t="shared" si="15"/>
        <v>0.37357142857142867</v>
      </c>
      <c r="AA73" s="70">
        <f t="shared" si="14"/>
        <v>1.1343283582089554</v>
      </c>
      <c r="AB73" s="79">
        <v>44221</v>
      </c>
      <c r="AC73" s="70" t="s">
        <v>2208</v>
      </c>
      <c r="AE73" t="s">
        <v>2361</v>
      </c>
      <c r="AF73">
        <v>240</v>
      </c>
      <c r="AM73">
        <v>0</v>
      </c>
      <c r="AN73">
        <v>0.47</v>
      </c>
      <c r="AO73">
        <f>AM73*AN73</f>
        <v>0</v>
      </c>
      <c r="AR73">
        <v>0</v>
      </c>
      <c r="AS73">
        <v>0.47</v>
      </c>
      <c r="AT73">
        <f>AR73*AS73</f>
        <v>0</v>
      </c>
      <c r="AW73">
        <v>0</v>
      </c>
      <c r="AX73">
        <v>65</v>
      </c>
      <c r="AY73">
        <f>AW73*AX73</f>
        <v>0</v>
      </c>
    </row>
    <row r="74" spans="1:52" x14ac:dyDescent="0.2">
      <c r="A74" s="70" t="s">
        <v>2294</v>
      </c>
      <c r="B74" s="70">
        <v>482</v>
      </c>
      <c r="C74" s="70"/>
      <c r="D74" s="70"/>
      <c r="E74" s="70"/>
      <c r="F74" s="70">
        <f>D74*(B74/100+1)</f>
        <v>0</v>
      </c>
      <c r="G74" s="70"/>
      <c r="H74" s="70"/>
      <c r="I74" s="70" t="s">
        <v>2028</v>
      </c>
      <c r="J74" s="70"/>
      <c r="K74" s="70"/>
      <c r="L74" s="70"/>
      <c r="O74" s="70" t="s">
        <v>2033</v>
      </c>
      <c r="P74">
        <f t="shared" si="10"/>
        <v>0.54214285714285693</v>
      </c>
      <c r="Q74">
        <v>24.33</v>
      </c>
      <c r="R74">
        <v>22</v>
      </c>
      <c r="S74">
        <v>14.41</v>
      </c>
      <c r="T74">
        <f t="shared" si="11"/>
        <v>18.204999999999998</v>
      </c>
      <c r="U74">
        <f t="shared" si="12"/>
        <v>18.747142857142855</v>
      </c>
      <c r="V74">
        <f t="shared" si="15"/>
        <v>19.289285714285711</v>
      </c>
      <c r="W74">
        <f t="shared" si="15"/>
        <v>19.831428571428567</v>
      </c>
      <c r="X74">
        <f t="shared" si="15"/>
        <v>20.373571428571424</v>
      </c>
      <c r="Y74">
        <f t="shared" si="15"/>
        <v>20.91571428571428</v>
      </c>
      <c r="Z74">
        <f t="shared" si="15"/>
        <v>21.457857142857137</v>
      </c>
      <c r="AA74" s="30">
        <f t="shared" si="14"/>
        <v>1.2084592145015107</v>
      </c>
      <c r="AB74" s="78">
        <v>44221</v>
      </c>
      <c r="AE74" t="s">
        <v>2362</v>
      </c>
      <c r="AF74">
        <f>AF73*(AF72)</f>
        <v>372.67080745341616</v>
      </c>
      <c r="AM74">
        <v>0</v>
      </c>
      <c r="AN74">
        <v>0.49</v>
      </c>
      <c r="AO74">
        <f>AM74*AN74</f>
        <v>0</v>
      </c>
      <c r="AR74">
        <v>0</v>
      </c>
      <c r="AS74">
        <v>0.49</v>
      </c>
      <c r="AT74">
        <f>AR74*AS74</f>
        <v>0</v>
      </c>
      <c r="AW74">
        <v>0</v>
      </c>
      <c r="AX74">
        <v>0.47</v>
      </c>
      <c r="AY74">
        <f>AW74*AX74</f>
        <v>0</v>
      </c>
    </row>
    <row r="75" spans="1:52" x14ac:dyDescent="0.2">
      <c r="A75" t="s">
        <v>2070</v>
      </c>
      <c r="B75">
        <v>472</v>
      </c>
      <c r="C75" t="s">
        <v>2134</v>
      </c>
      <c r="E75" t="s">
        <v>2260</v>
      </c>
      <c r="F75" t="s">
        <v>2285</v>
      </c>
      <c r="G75" t="s">
        <v>2099</v>
      </c>
      <c r="I75" t="s">
        <v>2000</v>
      </c>
      <c r="L75" t="s">
        <v>2000</v>
      </c>
      <c r="M75" t="s">
        <v>2164</v>
      </c>
      <c r="N75" s="22">
        <v>2.0199999999999999E-2</v>
      </c>
      <c r="O75" s="70" t="s">
        <v>2069</v>
      </c>
      <c r="P75">
        <f t="shared" si="10"/>
        <v>3.4999999999999955E-2</v>
      </c>
      <c r="Q75">
        <v>2.42</v>
      </c>
      <c r="R75">
        <v>2.2599999999999998</v>
      </c>
      <c r="S75">
        <v>1.77</v>
      </c>
      <c r="T75">
        <f t="shared" si="11"/>
        <v>2.0149999999999997</v>
      </c>
      <c r="U75">
        <f t="shared" si="12"/>
        <v>2.0499999999999998</v>
      </c>
      <c r="V75">
        <f t="shared" si="15"/>
        <v>2.085</v>
      </c>
      <c r="W75">
        <f t="shared" si="15"/>
        <v>2.12</v>
      </c>
      <c r="X75">
        <f t="shared" si="15"/>
        <v>2.1550000000000002</v>
      </c>
      <c r="Y75">
        <f t="shared" si="15"/>
        <v>2.1900000000000004</v>
      </c>
      <c r="Z75">
        <f t="shared" si="15"/>
        <v>2.2250000000000005</v>
      </c>
      <c r="AA75" s="30">
        <f t="shared" si="14"/>
        <v>1.121588089330025</v>
      </c>
      <c r="AB75" s="78">
        <v>44221</v>
      </c>
      <c r="AM75">
        <f>SUM(AM71:AM74)</f>
        <v>0</v>
      </c>
      <c r="AN75" t="e">
        <f>AO75/AM75</f>
        <v>#DIV/0!</v>
      </c>
      <c r="AO75">
        <f>SUM(AO71:AO74)</f>
        <v>0</v>
      </c>
      <c r="AR75">
        <f>SUM(AR71:AR74)</f>
        <v>0</v>
      </c>
      <c r="AS75" t="e">
        <f>AT75/AR75</f>
        <v>#DIV/0!</v>
      </c>
      <c r="AT75">
        <f>SUM(AT71:AT74)</f>
        <v>0</v>
      </c>
      <c r="AW75">
        <v>0</v>
      </c>
      <c r="AX75">
        <v>0.49</v>
      </c>
      <c r="AY75">
        <f>AW75*AX75</f>
        <v>0</v>
      </c>
    </row>
    <row r="76" spans="1:52" x14ac:dyDescent="0.2">
      <c r="A76" t="s">
        <v>2014</v>
      </c>
      <c r="B76">
        <v>466</v>
      </c>
      <c r="C76" t="s">
        <v>2050</v>
      </c>
      <c r="E76" t="s">
        <v>2208</v>
      </c>
      <c r="F76" t="s">
        <v>2285</v>
      </c>
      <c r="G76" t="s">
        <v>2099</v>
      </c>
      <c r="H76" t="s">
        <v>2000</v>
      </c>
      <c r="I76" t="s">
        <v>2000</v>
      </c>
      <c r="J76" t="s">
        <v>2000</v>
      </c>
      <c r="K76" t="s">
        <v>2000</v>
      </c>
      <c r="L76" t="s">
        <v>2000</v>
      </c>
      <c r="M76" t="s">
        <v>2069</v>
      </c>
      <c r="N76" s="22">
        <v>6.2E-2</v>
      </c>
      <c r="O76" s="5" t="s">
        <v>2146</v>
      </c>
      <c r="P76" s="5">
        <f t="shared" si="10"/>
        <v>6.8571428571428575E-2</v>
      </c>
      <c r="Q76" s="5">
        <v>4.8600000000000003</v>
      </c>
      <c r="R76" s="5">
        <v>4.7699999999999996</v>
      </c>
      <c r="S76" s="5">
        <v>3.81</v>
      </c>
      <c r="T76" s="5">
        <f t="shared" si="11"/>
        <v>4.29</v>
      </c>
      <c r="U76" s="5">
        <f t="shared" si="12"/>
        <v>4.3585714285714285</v>
      </c>
      <c r="V76" s="5">
        <f t="shared" si="15"/>
        <v>4.427142857142857</v>
      </c>
      <c r="W76" s="5">
        <f t="shared" si="15"/>
        <v>4.4957142857142856</v>
      </c>
      <c r="X76" s="5">
        <f t="shared" si="15"/>
        <v>4.5642857142857141</v>
      </c>
      <c r="Y76" s="5">
        <f t="shared" si="15"/>
        <v>4.6328571428571426</v>
      </c>
      <c r="Z76" s="5">
        <f t="shared" si="15"/>
        <v>4.7014285714285711</v>
      </c>
      <c r="AA76" s="5">
        <f t="shared" si="14"/>
        <v>1.1118881118881119</v>
      </c>
      <c r="AB76" s="80">
        <v>44213</v>
      </c>
      <c r="AM76">
        <f>AM75</f>
        <v>0</v>
      </c>
      <c r="AN76">
        <v>2000</v>
      </c>
      <c r="AO76">
        <f>AM76*AN76</f>
        <v>0</v>
      </c>
      <c r="AP76" t="e">
        <f>AN76/AN75-1</f>
        <v>#DIV/0!</v>
      </c>
      <c r="AR76">
        <f>AR75</f>
        <v>0</v>
      </c>
      <c r="AS76">
        <v>3752</v>
      </c>
      <c r="AT76">
        <f>AR76*AS76</f>
        <v>0</v>
      </c>
      <c r="AU76" t="e">
        <f>AS76/AS75-1</f>
        <v>#DIV/0!</v>
      </c>
      <c r="AW76">
        <f>SUM(AW72:AW75)</f>
        <v>99</v>
      </c>
      <c r="AX76">
        <f>AY76/AW76</f>
        <v>205</v>
      </c>
      <c r="AY76">
        <f>SUM(AY72:AY75)</f>
        <v>20295</v>
      </c>
    </row>
    <row r="77" spans="1:52" x14ac:dyDescent="0.2">
      <c r="A77" s="5" t="s">
        <v>2146</v>
      </c>
      <c r="B77" s="5">
        <v>456</v>
      </c>
      <c r="C77" s="5" t="s">
        <v>2050</v>
      </c>
      <c r="D77" s="5"/>
      <c r="E77" s="5"/>
      <c r="F77" s="5" t="s">
        <v>2285</v>
      </c>
      <c r="G77" s="5" t="s">
        <v>2099</v>
      </c>
      <c r="H77" s="5" t="s">
        <v>2000</v>
      </c>
      <c r="I77" s="5"/>
      <c r="J77" s="5" t="s">
        <v>2291</v>
      </c>
      <c r="K77" s="5"/>
      <c r="L77" s="5"/>
      <c r="M77" t="s">
        <v>2069</v>
      </c>
      <c r="N77" s="22">
        <v>3.9600000000000003E-2</v>
      </c>
      <c r="O77" t="s">
        <v>2036</v>
      </c>
      <c r="P77">
        <f t="shared" si="10"/>
        <v>1642.8571428571429</v>
      </c>
      <c r="Q77">
        <v>0</v>
      </c>
      <c r="R77">
        <v>45000</v>
      </c>
      <c r="S77">
        <v>22000</v>
      </c>
      <c r="T77">
        <f t="shared" si="11"/>
        <v>33500</v>
      </c>
      <c r="U77">
        <f t="shared" si="12"/>
        <v>35142.857142857145</v>
      </c>
      <c r="V77">
        <f t="shared" si="15"/>
        <v>36785.71428571429</v>
      </c>
      <c r="W77">
        <f t="shared" si="15"/>
        <v>38428.571428571435</v>
      </c>
      <c r="X77">
        <f t="shared" si="15"/>
        <v>40071.42857142858</v>
      </c>
      <c r="Y77">
        <f t="shared" si="15"/>
        <v>41714.285714285725</v>
      </c>
      <c r="Z77">
        <f t="shared" si="15"/>
        <v>43357.14285714287</v>
      </c>
      <c r="AA77">
        <f t="shared" si="14"/>
        <v>1.3432835820895523</v>
      </c>
      <c r="AB77" s="78">
        <v>44228</v>
      </c>
      <c r="AW77">
        <f>AW76</f>
        <v>99</v>
      </c>
      <c r="AX77">
        <v>3752</v>
      </c>
      <c r="AY77">
        <f>AW77*AX77</f>
        <v>371448</v>
      </c>
      <c r="AZ77">
        <f>AX77/AX76-1</f>
        <v>17.302439024390242</v>
      </c>
    </row>
    <row r="78" spans="1:52" x14ac:dyDescent="0.2">
      <c r="A78" s="70" t="s">
        <v>2083</v>
      </c>
      <c r="B78" s="70">
        <v>453</v>
      </c>
      <c r="C78" s="70"/>
      <c r="D78" s="70"/>
      <c r="E78" s="70"/>
      <c r="F78" s="70">
        <f>D78*(B78/100+1)</f>
        <v>0</v>
      </c>
      <c r="G78" s="70" t="s">
        <v>2100</v>
      </c>
      <c r="H78" s="70"/>
      <c r="I78" s="70" t="s">
        <v>2028</v>
      </c>
      <c r="J78" s="70"/>
      <c r="K78" s="70"/>
      <c r="L78" s="70" t="s">
        <v>2000</v>
      </c>
      <c r="O78" s="70" t="s">
        <v>2039</v>
      </c>
      <c r="P78" s="70">
        <f t="shared" si="10"/>
        <v>9.4285714285714288</v>
      </c>
      <c r="Q78" s="70">
        <v>370</v>
      </c>
      <c r="R78" s="70">
        <v>324</v>
      </c>
      <c r="S78" s="70">
        <v>192</v>
      </c>
      <c r="T78" s="70">
        <f t="shared" si="11"/>
        <v>258</v>
      </c>
      <c r="U78" s="70">
        <f t="shared" si="12"/>
        <v>267.42857142857144</v>
      </c>
      <c r="V78" s="70">
        <f t="shared" si="15"/>
        <v>276.85714285714289</v>
      </c>
      <c r="W78" s="70">
        <f t="shared" si="15"/>
        <v>286.28571428571433</v>
      </c>
      <c r="X78" s="70">
        <f t="shared" si="15"/>
        <v>295.71428571428578</v>
      </c>
      <c r="Y78" s="70">
        <f t="shared" si="15"/>
        <v>305.14285714285722</v>
      </c>
      <c r="Z78" s="70">
        <f t="shared" si="15"/>
        <v>314.57142857142867</v>
      </c>
      <c r="AA78" s="70">
        <f t="shared" si="14"/>
        <v>1.2558139534883721</v>
      </c>
      <c r="AB78" s="79">
        <v>44228</v>
      </c>
      <c r="AC78" t="s">
        <v>2208</v>
      </c>
      <c r="AM78" t="s">
        <v>2394</v>
      </c>
      <c r="AN78">
        <v>325</v>
      </c>
      <c r="AR78" t="s">
        <v>2395</v>
      </c>
      <c r="AS78">
        <v>7.7</v>
      </c>
    </row>
    <row r="79" spans="1:52" x14ac:dyDescent="0.2">
      <c r="A79" s="6" t="s">
        <v>2305</v>
      </c>
      <c r="B79" s="6">
        <v>436</v>
      </c>
      <c r="C79" s="6"/>
      <c r="D79" s="6"/>
      <c r="E79" s="6"/>
      <c r="F79" s="6">
        <f>D79*(B79/100+1)</f>
        <v>0</v>
      </c>
      <c r="G79" s="6"/>
      <c r="H79" s="6"/>
      <c r="I79" s="6" t="s">
        <v>2028</v>
      </c>
      <c r="J79" s="6"/>
      <c r="K79" s="6"/>
      <c r="L79" s="6"/>
      <c r="O79" s="70" t="s">
        <v>2087</v>
      </c>
      <c r="P79" s="70">
        <f t="shared" si="10"/>
        <v>3.9285714285714292E-2</v>
      </c>
      <c r="Q79" s="70">
        <v>1.1000000000000001</v>
      </c>
      <c r="R79" s="70">
        <v>0.9</v>
      </c>
      <c r="S79" s="70">
        <v>0.35</v>
      </c>
      <c r="T79" s="70">
        <f t="shared" si="11"/>
        <v>0.625</v>
      </c>
      <c r="U79" s="70">
        <f t="shared" si="12"/>
        <v>0.66428571428571426</v>
      </c>
      <c r="V79" s="70">
        <f t="shared" si="15"/>
        <v>0.70357142857142851</v>
      </c>
      <c r="W79" s="70">
        <f t="shared" si="15"/>
        <v>0.74285714285714277</v>
      </c>
      <c r="X79" s="70">
        <f t="shared" si="15"/>
        <v>0.78214285714285703</v>
      </c>
      <c r="Y79" s="70">
        <f t="shared" si="15"/>
        <v>0.82142857142857129</v>
      </c>
      <c r="Z79" s="70">
        <f t="shared" si="15"/>
        <v>0.86071428571428554</v>
      </c>
      <c r="AA79" s="70">
        <f t="shared" si="14"/>
        <v>1.44</v>
      </c>
      <c r="AB79" s="70"/>
      <c r="AC79" s="70" t="s">
        <v>2208</v>
      </c>
      <c r="AM79">
        <v>0</v>
      </c>
      <c r="AN79">
        <v>250</v>
      </c>
      <c r="AO79">
        <f>AM79*AN79</f>
        <v>0</v>
      </c>
      <c r="AR79">
        <v>7.7</v>
      </c>
      <c r="AS79">
        <v>11000</v>
      </c>
      <c r="AT79">
        <f>AR79*AS79</f>
        <v>84700</v>
      </c>
      <c r="AW79" t="s">
        <v>2396</v>
      </c>
      <c r="AX79">
        <v>325</v>
      </c>
    </row>
    <row r="80" spans="1:52" x14ac:dyDescent="0.2">
      <c r="A80" s="70" t="s">
        <v>2170</v>
      </c>
      <c r="B80" s="70">
        <v>432</v>
      </c>
      <c r="C80" s="70"/>
      <c r="D80" s="70"/>
      <c r="E80" s="70"/>
      <c r="F80" s="70">
        <f>D80*(B80/100+1)</f>
        <v>0</v>
      </c>
      <c r="G80" s="70" t="s">
        <v>2099</v>
      </c>
      <c r="H80" s="70"/>
      <c r="I80" s="70" t="s">
        <v>2028</v>
      </c>
      <c r="J80" s="70"/>
      <c r="K80" s="70" t="s">
        <v>2000</v>
      </c>
      <c r="L80" s="70"/>
      <c r="O80" s="70" t="s">
        <v>2022</v>
      </c>
      <c r="P80">
        <f t="shared" si="10"/>
        <v>3.3571428571428585E-2</v>
      </c>
      <c r="Q80">
        <v>2.0299999999999998</v>
      </c>
      <c r="R80">
        <v>1.85</v>
      </c>
      <c r="S80">
        <v>1.38</v>
      </c>
      <c r="T80">
        <f t="shared" si="11"/>
        <v>1.615</v>
      </c>
      <c r="U80">
        <f t="shared" si="12"/>
        <v>1.6485714285714286</v>
      </c>
      <c r="V80">
        <f t="shared" si="15"/>
        <v>1.6821428571428572</v>
      </c>
      <c r="W80">
        <f t="shared" si="15"/>
        <v>1.7157142857142857</v>
      </c>
      <c r="X80">
        <f t="shared" si="15"/>
        <v>1.7492857142857143</v>
      </c>
      <c r="Y80">
        <f t="shared" si="15"/>
        <v>1.7828571428571429</v>
      </c>
      <c r="Z80">
        <f t="shared" si="15"/>
        <v>1.8164285714285715</v>
      </c>
      <c r="AA80" s="30">
        <f t="shared" si="14"/>
        <v>1.1455108359133128</v>
      </c>
      <c r="AB80" s="78">
        <v>44221</v>
      </c>
      <c r="AG80">
        <v>14</v>
      </c>
      <c r="AM80">
        <v>0</v>
      </c>
      <c r="AN80">
        <v>4600</v>
      </c>
      <c r="AO80">
        <f>AM80*AN80</f>
        <v>0</v>
      </c>
      <c r="AR80">
        <v>0</v>
      </c>
      <c r="AS80">
        <v>4600</v>
      </c>
      <c r="AT80">
        <f>AR80*AS80</f>
        <v>0</v>
      </c>
      <c r="AW80">
        <v>0</v>
      </c>
      <c r="AX80">
        <v>230</v>
      </c>
      <c r="AY80">
        <f>AW80*AX80</f>
        <v>0</v>
      </c>
    </row>
    <row r="81" spans="1:55" x14ac:dyDescent="0.2">
      <c r="A81" s="70" t="s">
        <v>2171</v>
      </c>
      <c r="B81" s="70">
        <v>414</v>
      </c>
      <c r="C81" s="70"/>
      <c r="D81" s="70"/>
      <c r="E81" s="70"/>
      <c r="F81" s="70">
        <f>D81*(B81/100+1)</f>
        <v>0</v>
      </c>
      <c r="G81" s="70"/>
      <c r="H81" s="70"/>
      <c r="I81" s="70" t="s">
        <v>2028</v>
      </c>
      <c r="J81" s="70"/>
      <c r="K81" s="70"/>
      <c r="L81" s="70"/>
      <c r="AE81" t="s">
        <v>2381</v>
      </c>
      <c r="AF81">
        <v>0</v>
      </c>
      <c r="AM81">
        <v>0</v>
      </c>
      <c r="AN81">
        <v>0.47</v>
      </c>
      <c r="AO81">
        <f>AM81*AN81</f>
        <v>0</v>
      </c>
      <c r="AR81">
        <v>0</v>
      </c>
      <c r="AS81">
        <v>0.47</v>
      </c>
      <c r="AT81">
        <f>AR81*AS81</f>
        <v>0</v>
      </c>
      <c r="AW81">
        <v>0</v>
      </c>
      <c r="AX81">
        <v>420</v>
      </c>
      <c r="AY81">
        <f>AW81*AX81</f>
        <v>0</v>
      </c>
    </row>
    <row r="82" spans="1:55" x14ac:dyDescent="0.2">
      <c r="A82" s="70" t="s">
        <v>2194</v>
      </c>
      <c r="B82" s="70">
        <v>399</v>
      </c>
      <c r="C82" s="70"/>
      <c r="D82" s="70"/>
      <c r="E82" s="70"/>
      <c r="F82" s="70">
        <f>D82*(B82/100+1)</f>
        <v>0</v>
      </c>
      <c r="G82" s="70"/>
      <c r="H82" s="70"/>
      <c r="I82" s="70" t="s">
        <v>2028</v>
      </c>
      <c r="J82" s="70"/>
      <c r="K82" s="70"/>
      <c r="L82" s="70"/>
      <c r="AE82" t="s">
        <v>2067</v>
      </c>
      <c r="AF82">
        <v>1.1000000000000001</v>
      </c>
      <c r="AM82">
        <v>0</v>
      </c>
      <c r="AN82">
        <v>0.49</v>
      </c>
      <c r="AO82">
        <f>AM82*AN82</f>
        <v>0</v>
      </c>
      <c r="AR82">
        <v>0</v>
      </c>
      <c r="AS82">
        <v>0.49</v>
      </c>
      <c r="AT82">
        <f>AR82*AS82</f>
        <v>0</v>
      </c>
      <c r="AW82">
        <v>0</v>
      </c>
      <c r="AX82">
        <v>0.47</v>
      </c>
      <c r="AY82">
        <f>AW82*AX82</f>
        <v>0</v>
      </c>
    </row>
    <row r="83" spans="1:55" x14ac:dyDescent="0.2">
      <c r="A83" t="s">
        <v>2022</v>
      </c>
      <c r="B83">
        <v>367</v>
      </c>
      <c r="C83" t="s">
        <v>2050</v>
      </c>
      <c r="E83" t="s">
        <v>2285</v>
      </c>
      <c r="F83" t="s">
        <v>2285</v>
      </c>
      <c r="G83" t="s">
        <v>2099</v>
      </c>
      <c r="H83" t="s">
        <v>2000</v>
      </c>
      <c r="I83" t="s">
        <v>2000</v>
      </c>
      <c r="J83" t="s">
        <v>2000</v>
      </c>
      <c r="K83" t="s">
        <v>2000</v>
      </c>
      <c r="L83" t="s">
        <v>2000</v>
      </c>
      <c r="M83" t="s">
        <v>2061</v>
      </c>
      <c r="N83" s="22">
        <v>2.58E-2</v>
      </c>
      <c r="AE83" t="s">
        <v>2027</v>
      </c>
      <c r="AF83">
        <v>35.6</v>
      </c>
      <c r="AM83">
        <f>SUM(AM79:AM82)</f>
        <v>0</v>
      </c>
      <c r="AN83" t="e">
        <f>AO83/AM83</f>
        <v>#DIV/0!</v>
      </c>
      <c r="AO83">
        <f>SUM(AO79:AO82)</f>
        <v>0</v>
      </c>
      <c r="AR83">
        <f>SUM(AR79:AR82)</f>
        <v>7.7</v>
      </c>
      <c r="AS83">
        <f>AT83/AR83</f>
        <v>11000</v>
      </c>
      <c r="AT83">
        <f>SUM(AT79:AT82)</f>
        <v>84700</v>
      </c>
      <c r="AW83">
        <v>0</v>
      </c>
      <c r="AX83">
        <v>0.49</v>
      </c>
      <c r="AY83">
        <f>AW83*AX83</f>
        <v>0</v>
      </c>
    </row>
    <row r="84" spans="1:55" x14ac:dyDescent="0.2">
      <c r="A84" s="5" t="s">
        <v>2143</v>
      </c>
      <c r="B84" s="5">
        <v>341</v>
      </c>
      <c r="C84" s="5" t="s">
        <v>2050</v>
      </c>
      <c r="D84" s="5"/>
      <c r="E84" s="5"/>
      <c r="F84" s="5">
        <f t="shared" ref="F84:F90" si="16">D84*(B84/100+1)</f>
        <v>0</v>
      </c>
      <c r="G84" s="5"/>
      <c r="H84" s="5" t="s">
        <v>2000</v>
      </c>
      <c r="I84" s="5"/>
      <c r="J84" s="5"/>
      <c r="K84" s="5"/>
      <c r="L84" s="5"/>
      <c r="AE84" t="s">
        <v>2069</v>
      </c>
      <c r="AF84">
        <v>0</v>
      </c>
      <c r="AM84">
        <f>AM83</f>
        <v>0</v>
      </c>
      <c r="AN84">
        <v>3752</v>
      </c>
      <c r="AO84">
        <f>AM84*AN84</f>
        <v>0</v>
      </c>
      <c r="AP84" t="e">
        <f>AN84/AN83-1</f>
        <v>#DIV/0!</v>
      </c>
      <c r="AR84">
        <f>AS78-AR83</f>
        <v>0</v>
      </c>
      <c r="AS84">
        <v>7300</v>
      </c>
      <c r="AT84">
        <f>AR84*AS84</f>
        <v>0</v>
      </c>
      <c r="AU84">
        <f>AS84/AS83-1</f>
        <v>-0.33636363636363631</v>
      </c>
      <c r="AW84">
        <f>SUM(AW80:AW83)</f>
        <v>0</v>
      </c>
      <c r="AX84" t="e">
        <f>AY84/AW84</f>
        <v>#DIV/0!</v>
      </c>
      <c r="AY84">
        <f>SUM(AY80:AY83)</f>
        <v>0</v>
      </c>
    </row>
    <row r="85" spans="1:55" x14ac:dyDescent="0.2">
      <c r="A85" s="70" t="s">
        <v>2093</v>
      </c>
      <c r="B85" s="70">
        <v>340</v>
      </c>
      <c r="C85" s="70"/>
      <c r="D85" s="70"/>
      <c r="E85" s="70"/>
      <c r="F85" s="70">
        <f t="shared" si="16"/>
        <v>0</v>
      </c>
      <c r="G85" s="70"/>
      <c r="H85" s="70" t="s">
        <v>2028</v>
      </c>
      <c r="I85" s="70" t="s">
        <v>2028</v>
      </c>
      <c r="J85" s="70"/>
      <c r="K85" s="70" t="s">
        <v>2028</v>
      </c>
      <c r="L85" s="70" t="s">
        <v>2028</v>
      </c>
      <c r="AE85" t="s">
        <v>2382</v>
      </c>
      <c r="AF85">
        <v>0</v>
      </c>
      <c r="AW85">
        <f>AW84</f>
        <v>0</v>
      </c>
      <c r="AX85">
        <v>3752</v>
      </c>
      <c r="AY85">
        <f>AW85*AX85</f>
        <v>0</v>
      </c>
      <c r="AZ85" t="e">
        <f>AX85/AX84-1</f>
        <v>#DIV/0!</v>
      </c>
    </row>
    <row r="86" spans="1:55" x14ac:dyDescent="0.2">
      <c r="A86" s="70" t="s">
        <v>2193</v>
      </c>
      <c r="B86" s="70">
        <v>332</v>
      </c>
      <c r="C86" s="70"/>
      <c r="D86" s="70"/>
      <c r="E86" s="70"/>
      <c r="F86" s="70">
        <f t="shared" si="16"/>
        <v>0</v>
      </c>
      <c r="G86" s="70"/>
      <c r="H86" s="70"/>
      <c r="I86" s="70" t="s">
        <v>2028</v>
      </c>
      <c r="J86" s="70"/>
      <c r="K86" s="70"/>
      <c r="L86" s="70"/>
      <c r="AE86" t="s">
        <v>2287</v>
      </c>
      <c r="AF86">
        <v>46.9</v>
      </c>
      <c r="AR86" t="s">
        <v>2405</v>
      </c>
      <c r="AS86">
        <v>192</v>
      </c>
    </row>
    <row r="87" spans="1:55" x14ac:dyDescent="0.2">
      <c r="A87" s="5" t="s">
        <v>2141</v>
      </c>
      <c r="B87" s="5">
        <v>331</v>
      </c>
      <c r="C87" s="5" t="s">
        <v>2050</v>
      </c>
      <c r="D87" s="5"/>
      <c r="E87" s="5"/>
      <c r="F87" s="5">
        <f t="shared" si="16"/>
        <v>0</v>
      </c>
      <c r="G87" s="5" t="s">
        <v>2099</v>
      </c>
      <c r="H87" s="5" t="s">
        <v>2000</v>
      </c>
      <c r="I87" s="5" t="s">
        <v>2028</v>
      </c>
      <c r="J87" s="5"/>
      <c r="K87" s="5"/>
      <c r="L87" s="5"/>
      <c r="M87" s="5" t="s">
        <v>2283</v>
      </c>
      <c r="N87" s="91">
        <v>0.1</v>
      </c>
      <c r="AE87" t="s">
        <v>2321</v>
      </c>
      <c r="AF87">
        <v>0</v>
      </c>
      <c r="AR87">
        <v>0</v>
      </c>
      <c r="AS87">
        <v>23</v>
      </c>
      <c r="AT87">
        <f>AR87*AS87</f>
        <v>0</v>
      </c>
      <c r="AW87" t="s">
        <v>2410</v>
      </c>
      <c r="AX87">
        <v>216</v>
      </c>
    </row>
    <row r="88" spans="1:55" x14ac:dyDescent="0.2">
      <c r="A88" s="4" t="s">
        <v>2130</v>
      </c>
      <c r="B88" s="4">
        <v>325</v>
      </c>
      <c r="C88" s="4"/>
      <c r="D88" s="4"/>
      <c r="E88" s="4"/>
      <c r="F88" s="4">
        <f t="shared" si="16"/>
        <v>0</v>
      </c>
      <c r="G88" s="4"/>
      <c r="H88" s="4"/>
      <c r="I88" s="4" t="s">
        <v>2028</v>
      </c>
      <c r="J88" s="4"/>
      <c r="K88" s="4"/>
      <c r="L88" s="4"/>
      <c r="M88" s="4" t="s">
        <v>2283</v>
      </c>
      <c r="N88" s="93">
        <v>0.2</v>
      </c>
      <c r="AE88" t="s">
        <v>2375</v>
      </c>
      <c r="AF88">
        <v>491</v>
      </c>
      <c r="AR88">
        <v>0</v>
      </c>
      <c r="AS88">
        <v>4600</v>
      </c>
      <c r="AT88">
        <f>AR88*AS88</f>
        <v>0</v>
      </c>
      <c r="AW88">
        <v>0</v>
      </c>
      <c r="AX88">
        <v>320</v>
      </c>
      <c r="AY88">
        <f>AW88*AX88</f>
        <v>0</v>
      </c>
    </row>
    <row r="89" spans="1:55" x14ac:dyDescent="0.2">
      <c r="A89" s="70" t="s">
        <v>2203</v>
      </c>
      <c r="B89" s="70">
        <v>322</v>
      </c>
      <c r="C89" s="70"/>
      <c r="D89" s="70"/>
      <c r="E89" s="70"/>
      <c r="F89" s="70">
        <f t="shared" si="16"/>
        <v>0</v>
      </c>
      <c r="G89" s="70"/>
      <c r="H89" s="70"/>
      <c r="I89" s="70" t="s">
        <v>2028</v>
      </c>
      <c r="J89" s="70"/>
      <c r="K89" s="70"/>
      <c r="L89" s="70"/>
      <c r="AE89" t="s">
        <v>2379</v>
      </c>
      <c r="AF89">
        <v>3</v>
      </c>
      <c r="AR89">
        <v>0</v>
      </c>
      <c r="AS89">
        <v>0.47</v>
      </c>
      <c r="AT89">
        <f>AR89*AS89</f>
        <v>0</v>
      </c>
      <c r="AW89">
        <v>0</v>
      </c>
      <c r="AX89">
        <v>390</v>
      </c>
      <c r="AY89">
        <f>AW89*AX89</f>
        <v>0</v>
      </c>
    </row>
    <row r="90" spans="1:55" x14ac:dyDescent="0.2">
      <c r="A90" s="5" t="s">
        <v>2148</v>
      </c>
      <c r="B90" s="5">
        <v>321</v>
      </c>
      <c r="C90" s="5"/>
      <c r="D90" s="5"/>
      <c r="E90" s="5"/>
      <c r="F90" s="5">
        <f t="shared" si="16"/>
        <v>0</v>
      </c>
      <c r="G90" s="5"/>
      <c r="H90" s="5" t="s">
        <v>2000</v>
      </c>
      <c r="I90" s="5"/>
      <c r="J90" s="5"/>
      <c r="K90" s="5"/>
      <c r="L90" s="5"/>
      <c r="M90" t="s">
        <v>2026</v>
      </c>
      <c r="N90" s="22">
        <v>4.4999999999999998E-2</v>
      </c>
      <c r="AE90" t="s">
        <v>2026</v>
      </c>
      <c r="AF90">
        <v>0</v>
      </c>
      <c r="AM90">
        <v>21</v>
      </c>
      <c r="AN90">
        <v>22</v>
      </c>
      <c r="AR90">
        <v>0</v>
      </c>
      <c r="AS90">
        <v>0.49</v>
      </c>
      <c r="AT90">
        <f>AR90*AS90</f>
        <v>0</v>
      </c>
      <c r="AW90">
        <v>0</v>
      </c>
      <c r="AX90">
        <v>370</v>
      </c>
      <c r="AY90">
        <f>AW90*AX90</f>
        <v>0</v>
      </c>
      <c r="BC90">
        <v>12</v>
      </c>
    </row>
    <row r="91" spans="1:55" x14ac:dyDescent="0.2">
      <c r="A91" t="s">
        <v>2013</v>
      </c>
      <c r="B91">
        <v>317</v>
      </c>
      <c r="F91" t="s">
        <v>2259</v>
      </c>
      <c r="H91" t="s">
        <v>2028</v>
      </c>
      <c r="I91" t="s">
        <v>2000</v>
      </c>
      <c r="J91" t="s">
        <v>2000</v>
      </c>
      <c r="K91" t="s">
        <v>2028</v>
      </c>
      <c r="L91" t="s">
        <v>2000</v>
      </c>
      <c r="M91" t="s">
        <v>2061</v>
      </c>
      <c r="N91" s="22">
        <v>1.9800000000000002E-2</v>
      </c>
      <c r="AE91" t="s">
        <v>2389</v>
      </c>
      <c r="AF91">
        <v>0</v>
      </c>
      <c r="AM91">
        <v>79</v>
      </c>
      <c r="AN91">
        <v>86</v>
      </c>
      <c r="AR91">
        <f>SUM(AR87:AR90)</f>
        <v>0</v>
      </c>
      <c r="AS91" t="e">
        <f>AT91/AR91</f>
        <v>#DIV/0!</v>
      </c>
      <c r="AT91">
        <f>SUM(AT87:AT90)</f>
        <v>0</v>
      </c>
      <c r="AW91">
        <v>0</v>
      </c>
      <c r="AX91">
        <v>0.49</v>
      </c>
      <c r="AY91">
        <f>AW91*AX91</f>
        <v>0</v>
      </c>
      <c r="BC91">
        <v>34</v>
      </c>
    </row>
    <row r="92" spans="1:55" x14ac:dyDescent="0.2">
      <c r="A92" t="s">
        <v>2071</v>
      </c>
      <c r="B92">
        <v>316</v>
      </c>
      <c r="C92" t="s">
        <v>2050</v>
      </c>
      <c r="F92" t="s">
        <v>2259</v>
      </c>
      <c r="G92" t="s">
        <v>2028</v>
      </c>
      <c r="I92" t="s">
        <v>2000</v>
      </c>
      <c r="L92" t="s">
        <v>2000</v>
      </c>
      <c r="AE92" t="s">
        <v>2283</v>
      </c>
      <c r="AF92">
        <v>0</v>
      </c>
      <c r="AM92" s="1">
        <f>AN91/AM91/100*365</f>
        <v>3.9734177215189872</v>
      </c>
      <c r="AN92" s="1">
        <f>AN90/AM90/100*365</f>
        <v>3.8238095238095244</v>
      </c>
      <c r="AO92" s="29">
        <f>AM92+AN92</f>
        <v>7.7972272453285116</v>
      </c>
      <c r="AR92">
        <f>AR91</f>
        <v>0</v>
      </c>
      <c r="AS92">
        <v>3752</v>
      </c>
      <c r="AT92">
        <f>AR92*AS92</f>
        <v>0</v>
      </c>
      <c r="AU92" t="e">
        <f>AS92/AS91-1</f>
        <v>#DIV/0!</v>
      </c>
      <c r="AW92">
        <f>SUM(AW88:AW91)</f>
        <v>0</v>
      </c>
      <c r="AX92" t="e">
        <f>AY92/AW92</f>
        <v>#DIV/0!</v>
      </c>
      <c r="AY92">
        <f>SUM(AY88:AY91)</f>
        <v>0</v>
      </c>
      <c r="BC92">
        <v>22</v>
      </c>
    </row>
    <row r="93" spans="1:55" x14ac:dyDescent="0.2">
      <c r="A93" s="6" t="s">
        <v>2306</v>
      </c>
      <c r="B93" s="6">
        <v>305</v>
      </c>
      <c r="C93" s="6"/>
      <c r="D93" s="6"/>
      <c r="E93" s="6"/>
      <c r="F93" s="6">
        <f t="shared" ref="F93:F129" si="17">D93*(B93/100+1)</f>
        <v>0</v>
      </c>
      <c r="G93" s="6"/>
      <c r="H93" s="6"/>
      <c r="I93" s="6" t="s">
        <v>2028</v>
      </c>
      <c r="J93" s="6"/>
      <c r="K93" s="6"/>
      <c r="L93" s="6"/>
      <c r="AE93" t="s">
        <v>2391</v>
      </c>
      <c r="AF93">
        <v>0</v>
      </c>
      <c r="AW93">
        <f>AX87-AW92</f>
        <v>216</v>
      </c>
      <c r="AX93">
        <v>286</v>
      </c>
      <c r="AY93">
        <f>AW93*AX93</f>
        <v>61776</v>
      </c>
      <c r="AZ93" t="e">
        <f>AX93/AX92-1</f>
        <v>#DIV/0!</v>
      </c>
      <c r="BC93">
        <f>BC90+BC91+BC92</f>
        <v>68</v>
      </c>
    </row>
    <row r="94" spans="1:55" x14ac:dyDescent="0.2">
      <c r="A94" s="70" t="s">
        <v>2211</v>
      </c>
      <c r="B94" s="70">
        <v>296</v>
      </c>
      <c r="C94" s="70"/>
      <c r="D94" s="70"/>
      <c r="E94" s="70"/>
      <c r="F94" s="70">
        <f t="shared" si="17"/>
        <v>0</v>
      </c>
      <c r="G94" s="70"/>
      <c r="H94" s="70"/>
      <c r="I94" s="70" t="s">
        <v>2028</v>
      </c>
      <c r="J94" s="70"/>
      <c r="K94" s="70"/>
      <c r="L94" s="70"/>
      <c r="AE94" t="s">
        <v>2346</v>
      </c>
      <c r="AF94">
        <v>7.8</v>
      </c>
      <c r="AM94" t="s">
        <v>2438</v>
      </c>
      <c r="AN94">
        <v>20.21</v>
      </c>
      <c r="AR94" t="s">
        <v>2411</v>
      </c>
      <c r="AS94">
        <v>90</v>
      </c>
    </row>
    <row r="95" spans="1:55" ht="15" x14ac:dyDescent="0.2">
      <c r="A95" t="s">
        <v>2016</v>
      </c>
      <c r="B95">
        <v>295</v>
      </c>
      <c r="F95">
        <f t="shared" si="17"/>
        <v>0</v>
      </c>
      <c r="H95" t="s">
        <v>2000</v>
      </c>
      <c r="I95" t="s">
        <v>2000</v>
      </c>
      <c r="J95" t="s">
        <v>2000</v>
      </c>
      <c r="K95" t="s">
        <v>2028</v>
      </c>
      <c r="L95" t="s">
        <v>2000</v>
      </c>
      <c r="X95" s="107">
        <v>5.9551613244842404E+18</v>
      </c>
      <c r="AE95" t="s">
        <v>2404</v>
      </c>
      <c r="AF95">
        <v>0</v>
      </c>
      <c r="AM95">
        <v>0</v>
      </c>
      <c r="AN95" t="e">
        <f>AO95/AM95</f>
        <v>#DIV/0!</v>
      </c>
      <c r="AO95">
        <v>12000</v>
      </c>
      <c r="AR95">
        <v>0</v>
      </c>
      <c r="AS95">
        <v>2800</v>
      </c>
      <c r="AT95">
        <f>AR95*AS95</f>
        <v>0</v>
      </c>
      <c r="AW95" t="s">
        <v>2415</v>
      </c>
      <c r="AX95">
        <v>20.21</v>
      </c>
    </row>
    <row r="96" spans="1:55" x14ac:dyDescent="0.2">
      <c r="A96" s="70" t="s">
        <v>2169</v>
      </c>
      <c r="B96" s="70">
        <v>294</v>
      </c>
      <c r="C96" s="70"/>
      <c r="D96" s="70"/>
      <c r="E96" s="70"/>
      <c r="F96" s="70">
        <f t="shared" si="17"/>
        <v>0</v>
      </c>
      <c r="G96" s="70" t="s">
        <v>2028</v>
      </c>
      <c r="H96" s="70"/>
      <c r="I96" s="70" t="s">
        <v>2028</v>
      </c>
      <c r="J96" s="70"/>
      <c r="K96" s="70"/>
      <c r="L96" s="70"/>
      <c r="AM96">
        <v>0</v>
      </c>
      <c r="AN96" t="e">
        <f>AO96/AM96</f>
        <v>#DIV/0!</v>
      </c>
      <c r="AO96">
        <v>0</v>
      </c>
      <c r="AR96">
        <v>0</v>
      </c>
      <c r="AS96">
        <v>2700</v>
      </c>
      <c r="AT96">
        <f>AR96*AS96</f>
        <v>0</v>
      </c>
      <c r="AW96">
        <v>0</v>
      </c>
      <c r="AX96">
        <v>350</v>
      </c>
      <c r="AY96">
        <f>AW96*AX96</f>
        <v>0</v>
      </c>
    </row>
    <row r="97" spans="1:52" x14ac:dyDescent="0.2">
      <c r="A97" s="70" t="s">
        <v>2197</v>
      </c>
      <c r="B97" s="70">
        <v>283</v>
      </c>
      <c r="C97" s="70"/>
      <c r="D97" s="70"/>
      <c r="E97" s="70"/>
      <c r="F97" s="70">
        <f t="shared" si="17"/>
        <v>0</v>
      </c>
      <c r="G97" s="70"/>
      <c r="H97" s="70"/>
      <c r="I97" s="70" t="s">
        <v>2028</v>
      </c>
      <c r="J97" s="70"/>
      <c r="K97" s="70"/>
      <c r="L97" s="70"/>
      <c r="AM97">
        <v>0</v>
      </c>
      <c r="AN97" t="e">
        <f>AO97/AM97</f>
        <v>#DIV/0!</v>
      </c>
      <c r="AO97">
        <v>0</v>
      </c>
      <c r="AR97">
        <v>0</v>
      </c>
      <c r="AS97">
        <v>2600</v>
      </c>
      <c r="AT97">
        <f>AR97*AS97</f>
        <v>0</v>
      </c>
      <c r="AW97">
        <v>0</v>
      </c>
      <c r="AX97">
        <v>4600</v>
      </c>
      <c r="AY97">
        <f>AW97*AX97</f>
        <v>0</v>
      </c>
    </row>
    <row r="98" spans="1:52" x14ac:dyDescent="0.2">
      <c r="A98" s="5" t="s">
        <v>2103</v>
      </c>
      <c r="B98" s="5">
        <v>283</v>
      </c>
      <c r="C98" s="5"/>
      <c r="D98" s="5"/>
      <c r="E98" s="5"/>
      <c r="F98" s="5">
        <f t="shared" si="17"/>
        <v>0</v>
      </c>
      <c r="G98" s="5"/>
      <c r="H98" s="5" t="s">
        <v>2000</v>
      </c>
      <c r="I98" s="5" t="s">
        <v>2028</v>
      </c>
      <c r="J98" s="5"/>
      <c r="K98" s="5"/>
      <c r="L98" s="5"/>
      <c r="M98" s="5" t="s">
        <v>2061</v>
      </c>
      <c r="N98" s="91">
        <v>1.9800000000000002E-2</v>
      </c>
      <c r="AM98">
        <v>0</v>
      </c>
      <c r="AN98" t="e">
        <f>AO98/AM98</f>
        <v>#DIV/0!</v>
      </c>
      <c r="AO98">
        <v>0</v>
      </c>
      <c r="AR98">
        <v>0</v>
      </c>
      <c r="AS98">
        <v>3100</v>
      </c>
      <c r="AT98">
        <f>AR98*AS98</f>
        <v>0</v>
      </c>
      <c r="AW98">
        <v>0</v>
      </c>
      <c r="AX98">
        <v>0.47</v>
      </c>
      <c r="AY98">
        <f>AW98*AX98</f>
        <v>0</v>
      </c>
    </row>
    <row r="99" spans="1:52" x14ac:dyDescent="0.2">
      <c r="A99" t="s">
        <v>1990</v>
      </c>
      <c r="B99">
        <v>280</v>
      </c>
      <c r="F99">
        <f t="shared" si="17"/>
        <v>0</v>
      </c>
      <c r="H99" t="s">
        <v>2000</v>
      </c>
      <c r="I99" t="s">
        <v>2000</v>
      </c>
      <c r="J99" t="s">
        <v>2000</v>
      </c>
      <c r="K99" t="s">
        <v>2028</v>
      </c>
      <c r="L99" t="s">
        <v>2000</v>
      </c>
      <c r="M99" t="s">
        <v>2283</v>
      </c>
      <c r="N99" s="22">
        <v>0.1</v>
      </c>
      <c r="AM99">
        <f>SUM(AM95:AM98)</f>
        <v>0</v>
      </c>
      <c r="AN99" t="e">
        <f>AO99/AM99</f>
        <v>#DIV/0!</v>
      </c>
      <c r="AO99">
        <f>SUM(AO95:AO98)</f>
        <v>12000</v>
      </c>
      <c r="AR99">
        <f>SUM(AR95:AR98)</f>
        <v>0</v>
      </c>
      <c r="AS99" t="e">
        <f>AT99/AR99</f>
        <v>#DIV/0!</v>
      </c>
      <c r="AT99">
        <f>SUM(AT95:AT98)</f>
        <v>0</v>
      </c>
      <c r="AW99">
        <v>0</v>
      </c>
      <c r="AX99">
        <v>0.49</v>
      </c>
      <c r="AY99">
        <f>AW99*AX99</f>
        <v>0</v>
      </c>
    </row>
    <row r="100" spans="1:52" x14ac:dyDescent="0.2">
      <c r="A100" s="70" t="s">
        <v>2298</v>
      </c>
      <c r="B100" s="70">
        <v>279</v>
      </c>
      <c r="C100" s="70"/>
      <c r="D100" s="70"/>
      <c r="E100" s="70"/>
      <c r="F100" s="70">
        <f t="shared" si="17"/>
        <v>0</v>
      </c>
      <c r="G100" s="70"/>
      <c r="H100" s="70"/>
      <c r="I100" s="70" t="s">
        <v>2028</v>
      </c>
      <c r="J100" s="70"/>
      <c r="K100" s="70"/>
      <c r="L100" s="70"/>
      <c r="AE100" t="s">
        <v>719</v>
      </c>
      <c r="AF100">
        <f>SUM(AF81:AF99)</f>
        <v>585.4</v>
      </c>
      <c r="AM100">
        <f>AN94</f>
        <v>20.21</v>
      </c>
      <c r="AN100">
        <v>2200</v>
      </c>
      <c r="AO100">
        <f>AM100*AN100</f>
        <v>44462</v>
      </c>
      <c r="AP100" t="e">
        <f>AN100/AN99-1</f>
        <v>#DIV/0!</v>
      </c>
      <c r="AR100">
        <f>AS94-AR99</f>
        <v>90</v>
      </c>
      <c r="AS100">
        <v>3100</v>
      </c>
      <c r="AT100">
        <f>AR100*AS100</f>
        <v>279000</v>
      </c>
      <c r="AU100" t="e">
        <f>AS100/AS99-1</f>
        <v>#DIV/0!</v>
      </c>
      <c r="AW100">
        <f>SUM(AW96:AW99)</f>
        <v>0</v>
      </c>
      <c r="AX100" t="e">
        <f>AY100/AW100</f>
        <v>#DIV/0!</v>
      </c>
      <c r="AY100">
        <f>SUM(AY96:AY99)</f>
        <v>0</v>
      </c>
    </row>
    <row r="101" spans="1:52" x14ac:dyDescent="0.2">
      <c r="A101" t="s">
        <v>2075</v>
      </c>
      <c r="B101">
        <v>259</v>
      </c>
      <c r="F101">
        <f t="shared" si="17"/>
        <v>0</v>
      </c>
      <c r="I101" t="s">
        <v>2000</v>
      </c>
      <c r="L101" t="s">
        <v>2028</v>
      </c>
      <c r="AW101">
        <f>AX95</f>
        <v>20.21</v>
      </c>
      <c r="AX101">
        <v>2200</v>
      </c>
      <c r="AY101">
        <f>AW101*AX101</f>
        <v>44462</v>
      </c>
      <c r="AZ101" t="e">
        <f>AX101/AX100-1</f>
        <v>#DIV/0!</v>
      </c>
    </row>
    <row r="102" spans="1:52" x14ac:dyDescent="0.2">
      <c r="A102" s="70" t="s">
        <v>2195</v>
      </c>
      <c r="B102" s="70">
        <v>255</v>
      </c>
      <c r="C102" s="70"/>
      <c r="D102" s="70"/>
      <c r="E102" s="70"/>
      <c r="F102" s="70">
        <f t="shared" si="17"/>
        <v>0</v>
      </c>
      <c r="G102" s="70"/>
      <c r="H102" s="70"/>
      <c r="I102" s="70" t="s">
        <v>2028</v>
      </c>
      <c r="J102" s="70"/>
      <c r="K102" s="70"/>
      <c r="L102" s="70"/>
      <c r="AM102" t="s">
        <v>2425</v>
      </c>
      <c r="AN102">
        <v>20.21</v>
      </c>
      <c r="AR102" t="s">
        <v>2419</v>
      </c>
      <c r="AS102">
        <v>195.4</v>
      </c>
    </row>
    <row r="103" spans="1:52" ht="15" x14ac:dyDescent="0.2">
      <c r="A103" s="70" t="s">
        <v>2295</v>
      </c>
      <c r="B103" s="70">
        <v>247</v>
      </c>
      <c r="C103" s="70"/>
      <c r="D103" s="70"/>
      <c r="E103" s="70"/>
      <c r="F103" s="70">
        <f t="shared" si="17"/>
        <v>0</v>
      </c>
      <c r="G103" s="70"/>
      <c r="H103" s="70"/>
      <c r="I103" s="70" t="s">
        <v>2028</v>
      </c>
      <c r="J103" s="70"/>
      <c r="K103" s="70"/>
      <c r="L103" s="70"/>
      <c r="AH103" s="108"/>
      <c r="AM103">
        <v>0</v>
      </c>
      <c r="AN103">
        <v>400</v>
      </c>
      <c r="AO103">
        <f>AM103*AN103</f>
        <v>0</v>
      </c>
      <c r="AR103">
        <v>194.7</v>
      </c>
      <c r="AS103">
        <v>2300</v>
      </c>
      <c r="AT103">
        <f>AR103*AS103</f>
        <v>447810</v>
      </c>
      <c r="AW103" t="s">
        <v>2424</v>
      </c>
      <c r="AX103">
        <v>20.21</v>
      </c>
    </row>
    <row r="104" spans="1:52" x14ac:dyDescent="0.2">
      <c r="A104" s="5" t="s">
        <v>2253</v>
      </c>
      <c r="B104" s="5">
        <v>216</v>
      </c>
      <c r="C104" s="5"/>
      <c r="D104" s="5"/>
      <c r="E104" s="5"/>
      <c r="F104" s="5">
        <f t="shared" si="17"/>
        <v>0</v>
      </c>
      <c r="G104" s="5"/>
      <c r="H104" s="5" t="s">
        <v>2000</v>
      </c>
      <c r="I104" s="5" t="s">
        <v>2028</v>
      </c>
      <c r="J104" s="5"/>
      <c r="K104" s="5"/>
      <c r="L104" s="5"/>
      <c r="M104" s="5" t="s">
        <v>2026</v>
      </c>
      <c r="N104" s="91">
        <v>0.04</v>
      </c>
      <c r="AM104">
        <v>0</v>
      </c>
      <c r="AN104">
        <v>2050</v>
      </c>
      <c r="AO104">
        <f>AM104*AN104</f>
        <v>0</v>
      </c>
      <c r="AR104">
        <v>0</v>
      </c>
      <c r="AS104">
        <v>0</v>
      </c>
      <c r="AT104">
        <f t="shared" ref="AT104:AT106" si="18">AR104*AS104</f>
        <v>0</v>
      </c>
      <c r="AW104">
        <v>0</v>
      </c>
      <c r="AX104">
        <v>106</v>
      </c>
      <c r="AY104">
        <f>AW104*AX104</f>
        <v>0</v>
      </c>
    </row>
    <row r="105" spans="1:52" x14ac:dyDescent="0.2">
      <c r="A105" t="s">
        <v>2280</v>
      </c>
      <c r="B105">
        <v>213</v>
      </c>
      <c r="F105">
        <f t="shared" si="17"/>
        <v>0</v>
      </c>
      <c r="I105" t="s">
        <v>2000</v>
      </c>
      <c r="AM105">
        <v>0</v>
      </c>
      <c r="AN105">
        <v>0.47</v>
      </c>
      <c r="AO105">
        <f>AM105*AN105</f>
        <v>0</v>
      </c>
      <c r="AR105">
        <v>0</v>
      </c>
      <c r="AS105">
        <v>0</v>
      </c>
      <c r="AT105">
        <f t="shared" si="18"/>
        <v>0</v>
      </c>
      <c r="AW105">
        <v>0</v>
      </c>
      <c r="AX105">
        <v>2050</v>
      </c>
      <c r="AY105">
        <f>AW105*AX105</f>
        <v>0</v>
      </c>
    </row>
    <row r="106" spans="1:52" x14ac:dyDescent="0.2">
      <c r="A106" s="70" t="s">
        <v>2202</v>
      </c>
      <c r="B106" s="70">
        <v>204</v>
      </c>
      <c r="C106" s="70"/>
      <c r="D106" s="70"/>
      <c r="E106" s="70"/>
      <c r="F106" s="70">
        <f t="shared" si="17"/>
        <v>0</v>
      </c>
      <c r="G106" s="70"/>
      <c r="H106" s="70"/>
      <c r="I106" s="70" t="s">
        <v>2028</v>
      </c>
      <c r="J106" s="70"/>
      <c r="K106" s="70"/>
      <c r="L106" s="70"/>
      <c r="AM106">
        <v>0</v>
      </c>
      <c r="AN106">
        <v>0.49</v>
      </c>
      <c r="AO106">
        <f>AM106*AN106</f>
        <v>0</v>
      </c>
      <c r="AR106">
        <v>0</v>
      </c>
      <c r="AS106">
        <v>0</v>
      </c>
      <c r="AT106">
        <f t="shared" si="18"/>
        <v>0</v>
      </c>
      <c r="AW106">
        <v>0</v>
      </c>
      <c r="AX106">
        <v>0.47</v>
      </c>
      <c r="AY106">
        <f>AW106*AX106</f>
        <v>0</v>
      </c>
    </row>
    <row r="107" spans="1:52" x14ac:dyDescent="0.2">
      <c r="A107" s="4" t="s">
        <v>1997</v>
      </c>
      <c r="B107" s="4">
        <v>198</v>
      </c>
      <c r="C107" s="4"/>
      <c r="D107" s="4"/>
      <c r="E107" s="4"/>
      <c r="F107" s="4">
        <f t="shared" si="17"/>
        <v>0</v>
      </c>
      <c r="G107" s="4"/>
      <c r="H107" s="4" t="s">
        <v>2028</v>
      </c>
      <c r="I107" s="4" t="s">
        <v>2028</v>
      </c>
      <c r="J107" s="4" t="s">
        <v>2000</v>
      </c>
      <c r="K107" s="4" t="s">
        <v>2028</v>
      </c>
      <c r="L107" s="4" t="s">
        <v>2000</v>
      </c>
      <c r="M107" s="4" t="s">
        <v>2283</v>
      </c>
      <c r="N107" s="22">
        <v>1.4E-2</v>
      </c>
      <c r="AM107">
        <f>SUM(AM103:AM106)</f>
        <v>0</v>
      </c>
      <c r="AN107" t="e">
        <f>AO107/AM107</f>
        <v>#DIV/0!</v>
      </c>
      <c r="AO107">
        <f>SUM(AO103:AO106)</f>
        <v>0</v>
      </c>
      <c r="AR107">
        <f>SUM(AR103:AR106)</f>
        <v>194.7</v>
      </c>
      <c r="AS107">
        <f>AT107/AR107</f>
        <v>2300</v>
      </c>
      <c r="AT107">
        <f>SUM(AT103:AT106)</f>
        <v>447810</v>
      </c>
      <c r="AW107">
        <v>0</v>
      </c>
      <c r="AX107">
        <v>0.49</v>
      </c>
      <c r="AY107">
        <f>AW107*AX107</f>
        <v>0</v>
      </c>
    </row>
    <row r="108" spans="1:52" x14ac:dyDescent="0.2">
      <c r="A108" s="70" t="s">
        <v>2175</v>
      </c>
      <c r="B108" s="70">
        <v>195</v>
      </c>
      <c r="C108" s="70"/>
      <c r="D108" s="70"/>
      <c r="E108" s="70"/>
      <c r="F108" s="70">
        <f t="shared" si="17"/>
        <v>0</v>
      </c>
      <c r="G108" s="70"/>
      <c r="H108" s="70"/>
      <c r="I108" s="70" t="s">
        <v>2028</v>
      </c>
      <c r="J108" s="70"/>
      <c r="K108" s="70"/>
      <c r="L108" s="70"/>
      <c r="AM108">
        <f>AN102</f>
        <v>20.21</v>
      </c>
      <c r="AN108">
        <v>2200</v>
      </c>
      <c r="AO108">
        <f>AM108*AN108</f>
        <v>44462</v>
      </c>
      <c r="AP108" t="e">
        <f>AN108/AN107-1</f>
        <v>#DIV/0!</v>
      </c>
      <c r="AR108">
        <f>AS102-AR107</f>
        <v>0.70000000000001705</v>
      </c>
      <c r="AS108">
        <v>2300</v>
      </c>
      <c r="AT108">
        <f>AR108*AS108</f>
        <v>1610.0000000000391</v>
      </c>
      <c r="AU108">
        <f>AS108/AS107-1</f>
        <v>0</v>
      </c>
      <c r="AW108">
        <f>SUM(AW104:AW107)</f>
        <v>0</v>
      </c>
      <c r="AX108" t="e">
        <f>AY108/AW108</f>
        <v>#DIV/0!</v>
      </c>
      <c r="AY108">
        <f>SUM(AY104:AY107)</f>
        <v>0</v>
      </c>
    </row>
    <row r="109" spans="1:52" x14ac:dyDescent="0.2">
      <c r="A109" s="70" t="s">
        <v>2240</v>
      </c>
      <c r="B109" s="70">
        <v>192</v>
      </c>
      <c r="C109" s="70"/>
      <c r="D109" s="70"/>
      <c r="E109" s="70"/>
      <c r="F109" s="70">
        <f t="shared" si="17"/>
        <v>0</v>
      </c>
      <c r="G109" s="70"/>
      <c r="H109" s="70"/>
      <c r="I109" s="70" t="s">
        <v>2028</v>
      </c>
      <c r="J109" s="70"/>
      <c r="K109" s="70"/>
      <c r="L109" s="70"/>
      <c r="AW109">
        <f>AX103</f>
        <v>20.21</v>
      </c>
      <c r="AX109">
        <v>2200</v>
      </c>
      <c r="AY109">
        <f>AW109*AX109</f>
        <v>44462</v>
      </c>
      <c r="AZ109" t="e">
        <f>AX109/AX108-1</f>
        <v>#DIV/0!</v>
      </c>
    </row>
    <row r="110" spans="1:52" x14ac:dyDescent="0.2">
      <c r="A110" s="70" t="s">
        <v>2109</v>
      </c>
      <c r="B110" s="70">
        <v>189</v>
      </c>
      <c r="C110" s="70"/>
      <c r="D110" s="70"/>
      <c r="E110" s="70"/>
      <c r="F110" s="70">
        <f t="shared" si="17"/>
        <v>0</v>
      </c>
      <c r="G110" s="70"/>
      <c r="H110" s="70"/>
      <c r="I110" s="70" t="s">
        <v>2028</v>
      </c>
      <c r="J110" s="70"/>
      <c r="K110" s="70"/>
      <c r="L110" s="70"/>
      <c r="AM110" t="s">
        <v>2458</v>
      </c>
      <c r="AN110">
        <v>123.4</v>
      </c>
    </row>
    <row r="111" spans="1:52" x14ac:dyDescent="0.2">
      <c r="A111" s="70" t="s">
        <v>2251</v>
      </c>
      <c r="B111" s="70">
        <v>186</v>
      </c>
      <c r="C111" s="70"/>
      <c r="D111" s="70"/>
      <c r="E111" s="70"/>
      <c r="F111" s="70">
        <f t="shared" si="17"/>
        <v>0</v>
      </c>
      <c r="G111" s="70"/>
      <c r="H111" s="70"/>
      <c r="I111" s="70" t="s">
        <v>2028</v>
      </c>
      <c r="J111" s="70"/>
      <c r="K111" s="70"/>
      <c r="L111" s="70"/>
      <c r="AM111">
        <v>0</v>
      </c>
      <c r="AN111">
        <v>300</v>
      </c>
      <c r="AO111">
        <f>AM111*AN111</f>
        <v>0</v>
      </c>
    </row>
    <row r="112" spans="1:52" x14ac:dyDescent="0.2">
      <c r="A112" s="70" t="s">
        <v>2117</v>
      </c>
      <c r="B112" s="70">
        <v>180</v>
      </c>
      <c r="C112" s="70"/>
      <c r="D112" s="70"/>
      <c r="E112" s="70"/>
      <c r="F112" s="70">
        <f t="shared" si="17"/>
        <v>0</v>
      </c>
      <c r="G112" s="70"/>
      <c r="H112" s="70"/>
      <c r="I112" s="70" t="s">
        <v>2028</v>
      </c>
      <c r="J112" s="70"/>
      <c r="K112" s="70"/>
      <c r="L112" s="70"/>
      <c r="AM112">
        <v>0</v>
      </c>
      <c r="AN112">
        <v>2050</v>
      </c>
      <c r="AO112">
        <f>AM112*AN112</f>
        <v>0</v>
      </c>
    </row>
    <row r="113" spans="1:42" x14ac:dyDescent="0.2">
      <c r="A113" s="5" t="s">
        <v>2142</v>
      </c>
      <c r="B113" s="5">
        <v>163</v>
      </c>
      <c r="C113" s="5"/>
      <c r="D113" s="5"/>
      <c r="E113" s="5"/>
      <c r="F113" s="5">
        <f t="shared" si="17"/>
        <v>0</v>
      </c>
      <c r="G113" s="5"/>
      <c r="H113" s="5" t="s">
        <v>2000</v>
      </c>
      <c r="I113" s="5"/>
      <c r="J113" s="5"/>
      <c r="K113" s="5"/>
      <c r="L113" s="5"/>
      <c r="AM113">
        <v>0</v>
      </c>
      <c r="AN113">
        <v>0.47</v>
      </c>
      <c r="AO113">
        <f>AM113*AN113</f>
        <v>0</v>
      </c>
    </row>
    <row r="114" spans="1:42" x14ac:dyDescent="0.2">
      <c r="A114" s="5" t="s">
        <v>2030</v>
      </c>
      <c r="B114" s="5">
        <v>161</v>
      </c>
      <c r="C114" s="5"/>
      <c r="D114" s="5"/>
      <c r="E114" s="5"/>
      <c r="F114" s="5">
        <f t="shared" si="17"/>
        <v>0</v>
      </c>
      <c r="G114" s="5"/>
      <c r="H114" s="5" t="s">
        <v>2000</v>
      </c>
      <c r="I114" s="5" t="s">
        <v>2028</v>
      </c>
      <c r="J114" s="5" t="s">
        <v>2028</v>
      </c>
      <c r="K114" s="5" t="s">
        <v>2028</v>
      </c>
      <c r="L114" s="5" t="s">
        <v>2000</v>
      </c>
      <c r="AM114">
        <v>0</v>
      </c>
      <c r="AN114">
        <v>0.49</v>
      </c>
      <c r="AO114">
        <f>AM114*AN114</f>
        <v>0</v>
      </c>
    </row>
    <row r="115" spans="1:42" x14ac:dyDescent="0.2">
      <c r="A115" s="70" t="s">
        <v>2241</v>
      </c>
      <c r="B115" s="70">
        <v>151</v>
      </c>
      <c r="C115" s="70"/>
      <c r="D115" s="70"/>
      <c r="E115" s="70"/>
      <c r="F115" s="70">
        <f t="shared" si="17"/>
        <v>0</v>
      </c>
      <c r="G115" s="70"/>
      <c r="H115" s="70"/>
      <c r="I115" s="70" t="s">
        <v>2028</v>
      </c>
      <c r="J115" s="70"/>
      <c r="K115" s="70"/>
      <c r="L115" s="70"/>
      <c r="AM115">
        <f>SUM(AM111:AM114)</f>
        <v>0</v>
      </c>
      <c r="AN115" t="e">
        <f>AO115/AM115</f>
        <v>#DIV/0!</v>
      </c>
      <c r="AO115">
        <f>SUM(AO111:AO114)</f>
        <v>0</v>
      </c>
    </row>
    <row r="116" spans="1:42" x14ac:dyDescent="0.2">
      <c r="A116" s="70" t="s">
        <v>2162</v>
      </c>
      <c r="B116" s="70">
        <v>148</v>
      </c>
      <c r="C116" s="70"/>
      <c r="D116" s="70"/>
      <c r="E116" s="70"/>
      <c r="F116" s="70">
        <f t="shared" si="17"/>
        <v>0</v>
      </c>
      <c r="G116" s="70"/>
      <c r="H116" s="70"/>
      <c r="I116" s="70" t="s">
        <v>2028</v>
      </c>
      <c r="J116" s="70"/>
      <c r="K116" s="70"/>
      <c r="L116" s="70"/>
      <c r="AM116">
        <f>AN110</f>
        <v>123.4</v>
      </c>
      <c r="AN116">
        <v>2200</v>
      </c>
      <c r="AO116">
        <f>AM116*AN116</f>
        <v>271480</v>
      </c>
      <c r="AP116" t="e">
        <f>AN116/AN115-1</f>
        <v>#DIV/0!</v>
      </c>
    </row>
    <row r="117" spans="1:42" x14ac:dyDescent="0.2">
      <c r="A117" s="5" t="s">
        <v>1991</v>
      </c>
      <c r="B117" s="5">
        <v>136</v>
      </c>
      <c r="C117" s="5"/>
      <c r="D117" s="5"/>
      <c r="E117" s="5"/>
      <c r="F117" s="5">
        <f t="shared" si="17"/>
        <v>0</v>
      </c>
      <c r="G117" s="5"/>
      <c r="H117" s="5" t="s">
        <v>2000</v>
      </c>
      <c r="I117" s="5" t="s">
        <v>2028</v>
      </c>
      <c r="J117" s="5" t="s">
        <v>2028</v>
      </c>
      <c r="K117" s="5" t="s">
        <v>2028</v>
      </c>
      <c r="L117" s="5" t="s">
        <v>2000</v>
      </c>
      <c r="M117" s="5" t="s">
        <v>2283</v>
      </c>
      <c r="N117" s="91">
        <v>0.05</v>
      </c>
    </row>
    <row r="118" spans="1:42" x14ac:dyDescent="0.2">
      <c r="A118" s="4" t="s">
        <v>2174</v>
      </c>
      <c r="B118" s="4">
        <v>120</v>
      </c>
      <c r="C118" s="4"/>
      <c r="D118" s="4"/>
      <c r="E118" s="4"/>
      <c r="F118" s="4">
        <f t="shared" si="17"/>
        <v>0</v>
      </c>
      <c r="G118" s="4"/>
      <c r="H118" s="4"/>
      <c r="I118" s="4" t="s">
        <v>2028</v>
      </c>
      <c r="J118" s="4"/>
      <c r="K118" s="4"/>
      <c r="L118" s="4"/>
      <c r="M118" t="s">
        <v>2287</v>
      </c>
      <c r="N118" s="22">
        <v>0.1399</v>
      </c>
    </row>
    <row r="119" spans="1:42" x14ac:dyDescent="0.2">
      <c r="A119" s="5" t="s">
        <v>2144</v>
      </c>
      <c r="B119" s="5">
        <v>112</v>
      </c>
      <c r="C119" s="5"/>
      <c r="D119" s="5"/>
      <c r="E119" s="5"/>
      <c r="F119" s="5">
        <f t="shared" si="17"/>
        <v>0</v>
      </c>
      <c r="G119" s="5"/>
      <c r="H119" s="5" t="s">
        <v>2000</v>
      </c>
      <c r="I119" s="5"/>
      <c r="J119" s="5"/>
      <c r="K119" s="5"/>
      <c r="L119" s="5"/>
    </row>
    <row r="120" spans="1:42" x14ac:dyDescent="0.2">
      <c r="A120" t="s">
        <v>1987</v>
      </c>
      <c r="B120">
        <v>103</v>
      </c>
      <c r="F120">
        <f t="shared" si="17"/>
        <v>0</v>
      </c>
      <c r="G120" t="s">
        <v>2099</v>
      </c>
      <c r="H120" t="s">
        <v>2000</v>
      </c>
      <c r="I120" t="s">
        <v>2000</v>
      </c>
      <c r="J120" t="s">
        <v>2000</v>
      </c>
      <c r="K120" t="s">
        <v>2000</v>
      </c>
      <c r="L120" t="s">
        <v>2000</v>
      </c>
      <c r="M120" t="s">
        <v>2061</v>
      </c>
      <c r="N120" s="22">
        <v>5.0999999999999997E-2</v>
      </c>
    </row>
    <row r="121" spans="1:42" x14ac:dyDescent="0.2">
      <c r="A121" s="70" t="s">
        <v>2115</v>
      </c>
      <c r="B121" s="70">
        <v>94</v>
      </c>
      <c r="C121" s="70"/>
      <c r="D121" s="70"/>
      <c r="E121" s="70"/>
      <c r="F121" s="70">
        <f t="shared" si="17"/>
        <v>0</v>
      </c>
      <c r="G121" s="70"/>
      <c r="H121" s="70"/>
      <c r="I121" s="70" t="s">
        <v>2028</v>
      </c>
      <c r="J121" s="70"/>
      <c r="K121" s="70"/>
      <c r="L121" s="70"/>
    </row>
    <row r="122" spans="1:42" x14ac:dyDescent="0.2">
      <c r="A122" t="s">
        <v>1998</v>
      </c>
      <c r="B122">
        <v>81</v>
      </c>
      <c r="F122">
        <f t="shared" si="17"/>
        <v>0</v>
      </c>
      <c r="H122" t="s">
        <v>2028</v>
      </c>
      <c r="I122" t="s">
        <v>2000</v>
      </c>
      <c r="J122" t="s">
        <v>2028</v>
      </c>
      <c r="K122" t="s">
        <v>2028</v>
      </c>
      <c r="L122" t="s">
        <v>2028</v>
      </c>
    </row>
    <row r="123" spans="1:42" x14ac:dyDescent="0.2">
      <c r="A123" t="s">
        <v>2073</v>
      </c>
      <c r="B123">
        <v>80</v>
      </c>
      <c r="F123">
        <f t="shared" si="17"/>
        <v>0</v>
      </c>
      <c r="I123" t="s">
        <v>2000</v>
      </c>
      <c r="L123" t="s">
        <v>2028</v>
      </c>
      <c r="M123" t="s">
        <v>2061</v>
      </c>
      <c r="N123" s="22">
        <v>1.54E-2</v>
      </c>
    </row>
    <row r="124" spans="1:42" x14ac:dyDescent="0.2">
      <c r="A124" s="70" t="s">
        <v>2192</v>
      </c>
      <c r="B124" s="70">
        <v>78</v>
      </c>
      <c r="C124" s="70"/>
      <c r="D124" s="70"/>
      <c r="E124" s="70"/>
      <c r="F124" s="70">
        <f t="shared" si="17"/>
        <v>0</v>
      </c>
      <c r="G124" s="70"/>
      <c r="H124" s="70"/>
      <c r="I124" s="70" t="s">
        <v>2028</v>
      </c>
      <c r="J124" s="70"/>
      <c r="K124" s="70"/>
      <c r="L124" s="70"/>
    </row>
    <row r="125" spans="1:42" x14ac:dyDescent="0.2">
      <c r="A125" s="70" t="s">
        <v>2242</v>
      </c>
      <c r="B125" s="70">
        <v>78</v>
      </c>
      <c r="C125" s="70"/>
      <c r="D125" s="70"/>
      <c r="E125" s="70"/>
      <c r="F125" s="70">
        <f t="shared" si="17"/>
        <v>0</v>
      </c>
      <c r="G125" s="70"/>
      <c r="H125" s="70"/>
      <c r="I125" s="70" t="s">
        <v>2028</v>
      </c>
      <c r="J125" s="70"/>
      <c r="K125" s="70"/>
      <c r="L125" s="70"/>
    </row>
    <row r="126" spans="1:42" x14ac:dyDescent="0.2">
      <c r="A126" s="70" t="s">
        <v>2196</v>
      </c>
      <c r="B126" s="70">
        <v>63</v>
      </c>
      <c r="C126" s="70"/>
      <c r="D126" s="70"/>
      <c r="E126" s="70"/>
      <c r="F126" s="70">
        <f t="shared" si="17"/>
        <v>0</v>
      </c>
      <c r="G126" s="70"/>
      <c r="H126" s="70"/>
      <c r="I126" s="70" t="s">
        <v>2028</v>
      </c>
      <c r="J126" s="70"/>
      <c r="K126" s="70"/>
      <c r="L126" s="70"/>
    </row>
    <row r="127" spans="1:42" x14ac:dyDescent="0.2">
      <c r="A127" s="70" t="s">
        <v>2092</v>
      </c>
      <c r="B127" s="70">
        <v>59</v>
      </c>
      <c r="C127" s="70"/>
      <c r="D127" s="70"/>
      <c r="E127" s="70"/>
      <c r="F127" s="70">
        <f t="shared" si="17"/>
        <v>0</v>
      </c>
      <c r="G127" s="70"/>
      <c r="H127" s="70" t="s">
        <v>2028</v>
      </c>
      <c r="I127" s="70" t="s">
        <v>2028</v>
      </c>
      <c r="J127" s="70" t="s">
        <v>2000</v>
      </c>
      <c r="K127" s="70" t="s">
        <v>2028</v>
      </c>
      <c r="L127" s="70" t="s">
        <v>2000</v>
      </c>
    </row>
    <row r="128" spans="1:42" x14ac:dyDescent="0.2">
      <c r="A128" s="6" t="s">
        <v>2248</v>
      </c>
      <c r="B128" s="6">
        <v>59</v>
      </c>
      <c r="C128" s="6"/>
      <c r="D128" s="6"/>
      <c r="E128" s="6"/>
      <c r="F128" s="6">
        <f t="shared" si="17"/>
        <v>0</v>
      </c>
      <c r="G128" s="6"/>
      <c r="H128" s="6"/>
      <c r="I128" s="6" t="s">
        <v>2028</v>
      </c>
      <c r="J128" s="6"/>
      <c r="K128" s="6"/>
      <c r="L128" s="6"/>
    </row>
    <row r="129" spans="1:14" x14ac:dyDescent="0.2">
      <c r="A129" t="s">
        <v>2017</v>
      </c>
      <c r="B129">
        <v>58</v>
      </c>
      <c r="F129">
        <f t="shared" si="17"/>
        <v>0</v>
      </c>
      <c r="H129" t="s">
        <v>2000</v>
      </c>
      <c r="I129" t="s">
        <v>2000</v>
      </c>
      <c r="J129" t="s">
        <v>2000</v>
      </c>
      <c r="K129" t="s">
        <v>2028</v>
      </c>
      <c r="L129" t="s">
        <v>2000</v>
      </c>
      <c r="M129" t="s">
        <v>2287</v>
      </c>
      <c r="N129" s="22">
        <v>3.5099999999999999E-2</v>
      </c>
    </row>
    <row r="130" spans="1:14" x14ac:dyDescent="0.2">
      <c r="A130" t="s">
        <v>2090</v>
      </c>
      <c r="B130">
        <v>52</v>
      </c>
      <c r="G130" t="s">
        <v>2100</v>
      </c>
      <c r="H130" t="s">
        <v>2000</v>
      </c>
      <c r="I130" t="s">
        <v>2000</v>
      </c>
      <c r="J130" t="s">
        <v>2000</v>
      </c>
      <c r="K130" t="s">
        <v>2000</v>
      </c>
      <c r="L130" t="s">
        <v>2000</v>
      </c>
    </row>
    <row r="131" spans="1:14" x14ac:dyDescent="0.2">
      <c r="A131" s="4" t="s">
        <v>2284</v>
      </c>
      <c r="B131" s="4">
        <v>48</v>
      </c>
      <c r="C131" s="4"/>
      <c r="D131" s="4"/>
      <c r="E131" s="4"/>
      <c r="F131" s="4">
        <f t="shared" ref="F131:F152" si="19">D131*(B131/100+1)</f>
        <v>0</v>
      </c>
      <c r="G131" s="4"/>
      <c r="H131" s="4"/>
      <c r="I131" s="4" t="s">
        <v>2028</v>
      </c>
      <c r="J131" s="4"/>
      <c r="K131" s="4"/>
      <c r="L131" s="4"/>
    </row>
    <row r="132" spans="1:14" x14ac:dyDescent="0.2">
      <c r="A132" s="70" t="s">
        <v>2078</v>
      </c>
      <c r="B132" s="70">
        <v>46</v>
      </c>
      <c r="C132" s="70"/>
      <c r="D132" s="70"/>
      <c r="E132" s="70"/>
      <c r="F132" s="70">
        <f t="shared" si="19"/>
        <v>0</v>
      </c>
      <c r="G132" s="70"/>
      <c r="H132" s="70"/>
      <c r="I132" s="70" t="s">
        <v>2028</v>
      </c>
      <c r="J132" s="70"/>
      <c r="K132" s="70"/>
      <c r="L132" s="70" t="s">
        <v>2028</v>
      </c>
    </row>
    <row r="133" spans="1:14" x14ac:dyDescent="0.2">
      <c r="A133" t="s">
        <v>2023</v>
      </c>
      <c r="B133">
        <v>46</v>
      </c>
      <c r="F133">
        <f t="shared" si="19"/>
        <v>0</v>
      </c>
      <c r="H133" t="s">
        <v>2000</v>
      </c>
      <c r="I133" t="s">
        <v>2000</v>
      </c>
      <c r="J133" t="s">
        <v>2028</v>
      </c>
      <c r="K133" t="s">
        <v>2028</v>
      </c>
      <c r="L133" t="s">
        <v>2000</v>
      </c>
    </row>
    <row r="134" spans="1:14" x14ac:dyDescent="0.2">
      <c r="A134" t="s">
        <v>1989</v>
      </c>
      <c r="B134">
        <v>44</v>
      </c>
      <c r="F134">
        <f t="shared" si="19"/>
        <v>0</v>
      </c>
      <c r="H134" t="s">
        <v>2000</v>
      </c>
      <c r="I134" t="s">
        <v>2000</v>
      </c>
      <c r="J134" t="s">
        <v>2000</v>
      </c>
      <c r="K134" t="s">
        <v>2028</v>
      </c>
      <c r="L134" t="s">
        <v>2000</v>
      </c>
      <c r="M134" t="s">
        <v>2283</v>
      </c>
      <c r="N134" s="22">
        <v>7.0000000000000007E-2</v>
      </c>
    </row>
    <row r="135" spans="1:14" x14ac:dyDescent="0.2">
      <c r="A135" s="70" t="s">
        <v>2200</v>
      </c>
      <c r="B135" s="70">
        <v>35</v>
      </c>
      <c r="C135" s="70"/>
      <c r="D135" s="70"/>
      <c r="E135" s="70"/>
      <c r="F135" s="70">
        <f t="shared" si="19"/>
        <v>0</v>
      </c>
      <c r="G135" s="70"/>
      <c r="H135" s="70"/>
      <c r="I135" s="70" t="s">
        <v>2028</v>
      </c>
      <c r="J135" s="70"/>
      <c r="K135" s="70"/>
      <c r="L135" s="70"/>
    </row>
    <row r="136" spans="1:14" x14ac:dyDescent="0.2">
      <c r="A136" t="s">
        <v>2072</v>
      </c>
      <c r="B136">
        <v>34</v>
      </c>
      <c r="F136">
        <f t="shared" si="19"/>
        <v>0</v>
      </c>
      <c r="I136" t="s">
        <v>2000</v>
      </c>
      <c r="L136" t="s">
        <v>2028</v>
      </c>
      <c r="M136" t="s">
        <v>2061</v>
      </c>
      <c r="N136" s="22">
        <v>2.47E-2</v>
      </c>
    </row>
    <row r="137" spans="1:14" x14ac:dyDescent="0.2">
      <c r="A137" s="70" t="s">
        <v>2309</v>
      </c>
      <c r="B137" s="70">
        <v>19</v>
      </c>
      <c r="C137" s="70"/>
      <c r="D137" s="70"/>
      <c r="E137" s="70"/>
      <c r="F137" s="70">
        <f t="shared" si="19"/>
        <v>0</v>
      </c>
      <c r="G137" s="70"/>
      <c r="H137" s="70"/>
      <c r="I137" s="70" t="s">
        <v>2028</v>
      </c>
      <c r="J137" s="70"/>
      <c r="K137" s="70"/>
      <c r="L137" s="70"/>
    </row>
    <row r="138" spans="1:14" x14ac:dyDescent="0.2">
      <c r="A138" t="s">
        <v>2011</v>
      </c>
      <c r="B138">
        <v>0</v>
      </c>
      <c r="F138">
        <f t="shared" si="19"/>
        <v>0</v>
      </c>
      <c r="H138" t="s">
        <v>2000</v>
      </c>
      <c r="I138" t="s">
        <v>2000</v>
      </c>
      <c r="J138" t="s">
        <v>2000</v>
      </c>
      <c r="K138" t="s">
        <v>2028</v>
      </c>
      <c r="L138" t="s">
        <v>2000</v>
      </c>
    </row>
    <row r="139" spans="1:14" x14ac:dyDescent="0.2">
      <c r="A139" s="70" t="s">
        <v>2025</v>
      </c>
      <c r="B139" s="70">
        <v>0</v>
      </c>
      <c r="C139" s="70"/>
      <c r="D139" s="70"/>
      <c r="E139" s="70"/>
      <c r="F139" s="70">
        <f t="shared" si="19"/>
        <v>0</v>
      </c>
      <c r="G139" s="70"/>
      <c r="H139" s="70" t="s">
        <v>2000</v>
      </c>
      <c r="I139" s="70" t="s">
        <v>2028</v>
      </c>
      <c r="J139" s="70" t="s">
        <v>2000</v>
      </c>
      <c r="K139" s="70" t="s">
        <v>2028</v>
      </c>
      <c r="L139" s="70" t="s">
        <v>2000</v>
      </c>
    </row>
    <row r="140" spans="1:14" x14ac:dyDescent="0.2">
      <c r="A140" t="s">
        <v>2029</v>
      </c>
      <c r="B140">
        <v>0</v>
      </c>
      <c r="F140">
        <f t="shared" si="19"/>
        <v>0</v>
      </c>
      <c r="H140" t="s">
        <v>2000</v>
      </c>
      <c r="I140" t="s">
        <v>2000</v>
      </c>
      <c r="J140" t="s">
        <v>2000</v>
      </c>
      <c r="K140" t="s">
        <v>2028</v>
      </c>
      <c r="L140" t="s">
        <v>2000</v>
      </c>
    </row>
    <row r="141" spans="1:14" x14ac:dyDescent="0.2">
      <c r="A141" t="s">
        <v>1999</v>
      </c>
      <c r="B141">
        <v>-25</v>
      </c>
      <c r="F141">
        <f t="shared" si="19"/>
        <v>0</v>
      </c>
      <c r="H141" t="s">
        <v>2000</v>
      </c>
      <c r="I141" t="s">
        <v>2000</v>
      </c>
      <c r="J141" t="s">
        <v>2000</v>
      </c>
      <c r="K141" t="s">
        <v>2028</v>
      </c>
      <c r="L141" t="s">
        <v>2028</v>
      </c>
    </row>
    <row r="142" spans="1:14" x14ac:dyDescent="0.2">
      <c r="A142" s="5" t="s">
        <v>2147</v>
      </c>
      <c r="B142" s="5">
        <v>-31</v>
      </c>
      <c r="C142" s="5"/>
      <c r="D142" s="5"/>
      <c r="E142" s="5"/>
      <c r="F142" s="5">
        <f t="shared" si="19"/>
        <v>0</v>
      </c>
      <c r="G142" s="5"/>
      <c r="H142" s="5" t="s">
        <v>2000</v>
      </c>
      <c r="I142" s="5" t="s">
        <v>2028</v>
      </c>
      <c r="J142" s="5"/>
      <c r="K142" s="5"/>
      <c r="L142" s="5"/>
    </row>
    <row r="143" spans="1:14" x14ac:dyDescent="0.2">
      <c r="A143" s="70" t="s">
        <v>2206</v>
      </c>
      <c r="B143" s="70">
        <v>-34</v>
      </c>
      <c r="C143" s="70"/>
      <c r="D143" s="70"/>
      <c r="E143" s="70"/>
      <c r="F143" s="70">
        <f t="shared" si="19"/>
        <v>0</v>
      </c>
      <c r="G143" s="70"/>
      <c r="H143" s="70"/>
      <c r="I143" s="70" t="s">
        <v>2028</v>
      </c>
      <c r="J143" s="70"/>
      <c r="K143" s="70"/>
      <c r="L143" s="70"/>
    </row>
    <row r="144" spans="1:14" x14ac:dyDescent="0.2">
      <c r="A144" s="70" t="s">
        <v>2110</v>
      </c>
      <c r="B144" s="70">
        <v>-39</v>
      </c>
      <c r="C144" s="70"/>
      <c r="D144" s="70"/>
      <c r="E144" s="70"/>
      <c r="F144" s="70">
        <f t="shared" si="19"/>
        <v>0</v>
      </c>
      <c r="G144" s="70"/>
      <c r="H144" s="70"/>
      <c r="I144" s="70" t="s">
        <v>2028</v>
      </c>
      <c r="J144" s="70"/>
      <c r="K144" s="70"/>
      <c r="L144" s="70"/>
    </row>
    <row r="145" spans="1:12" x14ac:dyDescent="0.2">
      <c r="A145" s="70" t="s">
        <v>2250</v>
      </c>
      <c r="B145" s="70">
        <v>-49</v>
      </c>
      <c r="C145" s="70"/>
      <c r="D145" s="70"/>
      <c r="E145" s="70"/>
      <c r="F145" s="70">
        <f t="shared" si="19"/>
        <v>0</v>
      </c>
      <c r="G145" s="70"/>
      <c r="H145" s="70"/>
      <c r="I145" s="70" t="s">
        <v>2028</v>
      </c>
      <c r="J145" s="70"/>
      <c r="K145" s="70"/>
      <c r="L145" s="70"/>
    </row>
    <row r="146" spans="1:12" x14ac:dyDescent="0.2">
      <c r="A146" s="70" t="s">
        <v>2173</v>
      </c>
      <c r="B146" s="70">
        <v>-55</v>
      </c>
      <c r="C146" s="70"/>
      <c r="D146" s="70"/>
      <c r="E146" s="70"/>
      <c r="F146" s="70">
        <f t="shared" si="19"/>
        <v>0</v>
      </c>
      <c r="G146" s="70"/>
      <c r="H146" s="70"/>
      <c r="I146" s="70" t="s">
        <v>2028</v>
      </c>
      <c r="J146" s="70"/>
      <c r="K146" s="70"/>
      <c r="L146" s="70"/>
    </row>
    <row r="147" spans="1:12" x14ac:dyDescent="0.2">
      <c r="A147" s="70" t="s">
        <v>2081</v>
      </c>
      <c r="B147" s="70">
        <v>-66</v>
      </c>
      <c r="C147" s="70"/>
      <c r="D147" s="70"/>
      <c r="E147" s="70"/>
      <c r="F147" s="70">
        <f t="shared" si="19"/>
        <v>0</v>
      </c>
      <c r="G147" s="70"/>
      <c r="H147" s="70"/>
      <c r="I147" s="70" t="s">
        <v>2028</v>
      </c>
      <c r="J147" s="70"/>
      <c r="K147" s="70"/>
      <c r="L147" s="70" t="s">
        <v>2028</v>
      </c>
    </row>
    <row r="148" spans="1:12" x14ac:dyDescent="0.2">
      <c r="A148" s="70" t="s">
        <v>2258</v>
      </c>
      <c r="B148" s="70">
        <v>-70</v>
      </c>
      <c r="C148" s="70"/>
      <c r="D148" s="70"/>
      <c r="E148" s="70"/>
      <c r="F148" s="70">
        <f t="shared" si="19"/>
        <v>0</v>
      </c>
      <c r="G148" s="70"/>
      <c r="H148" s="70"/>
      <c r="I148" s="70" t="s">
        <v>2028</v>
      </c>
      <c r="J148" s="70"/>
      <c r="K148" s="70"/>
      <c r="L148" s="70"/>
    </row>
    <row r="149" spans="1:12" x14ac:dyDescent="0.2">
      <c r="A149" s="70" t="s">
        <v>2114</v>
      </c>
      <c r="B149" s="70">
        <v>-77</v>
      </c>
      <c r="C149" s="70"/>
      <c r="D149" s="70"/>
      <c r="E149" s="70"/>
      <c r="F149" s="70">
        <f t="shared" si="19"/>
        <v>0</v>
      </c>
      <c r="G149" s="70"/>
      <c r="H149" s="70"/>
      <c r="I149" s="70" t="s">
        <v>2028</v>
      </c>
      <c r="J149" s="70"/>
      <c r="K149" s="70"/>
      <c r="L149" s="70"/>
    </row>
    <row r="150" spans="1:12" x14ac:dyDescent="0.2">
      <c r="A150" s="70" t="s">
        <v>2111</v>
      </c>
      <c r="B150" s="70">
        <v>-84</v>
      </c>
      <c r="C150" s="70"/>
      <c r="D150" s="70"/>
      <c r="E150" s="70"/>
      <c r="F150" s="70">
        <f t="shared" si="19"/>
        <v>0</v>
      </c>
      <c r="G150" s="70"/>
      <c r="H150" s="70"/>
      <c r="I150" s="70" t="s">
        <v>2028</v>
      </c>
      <c r="J150" s="70"/>
      <c r="K150" s="70"/>
      <c r="L150" s="70"/>
    </row>
    <row r="151" spans="1:12" x14ac:dyDescent="0.2">
      <c r="A151" s="70" t="s">
        <v>2247</v>
      </c>
      <c r="B151" s="70">
        <v>-86</v>
      </c>
      <c r="C151" s="70"/>
      <c r="D151" s="70"/>
      <c r="E151" s="70"/>
      <c r="F151" s="70">
        <f t="shared" si="19"/>
        <v>0</v>
      </c>
      <c r="G151" s="70"/>
      <c r="H151" s="70"/>
      <c r="I151" s="70" t="s">
        <v>2028</v>
      </c>
      <c r="J151" s="70"/>
      <c r="K151" s="70"/>
      <c r="L151" s="70"/>
    </row>
    <row r="152" spans="1:12" x14ac:dyDescent="0.2">
      <c r="A152" s="70" t="s">
        <v>1995</v>
      </c>
      <c r="B152" s="70">
        <v>-96</v>
      </c>
      <c r="C152" s="70"/>
      <c r="D152" s="70"/>
      <c r="E152" s="70"/>
      <c r="F152" s="70">
        <f t="shared" si="19"/>
        <v>0</v>
      </c>
      <c r="G152" s="70"/>
      <c r="H152" s="70" t="s">
        <v>2028</v>
      </c>
      <c r="I152" s="70" t="s">
        <v>2028</v>
      </c>
      <c r="J152" s="70" t="s">
        <v>2000</v>
      </c>
      <c r="K152" s="70" t="s">
        <v>2028</v>
      </c>
      <c r="L152" s="70" t="s">
        <v>2028</v>
      </c>
    </row>
  </sheetData>
  <autoFilter ref="A1:M152" xr:uid="{CE99FADB-1724-4D9F-A9A8-6064BEBBDCE7}"/>
  <sortState xmlns:xlrd2="http://schemas.microsoft.com/office/spreadsheetml/2017/richdata2" ref="A2:N152">
    <sortCondition descending="1" ref="B2:B15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1935</v>
      </c>
      <c r="I1" s="44" t="s">
        <v>1936</v>
      </c>
      <c r="J1" s="44" t="s">
        <v>1937</v>
      </c>
      <c r="K1" s="45" t="s">
        <v>1938</v>
      </c>
      <c r="L1" s="44" t="s">
        <v>1939</v>
      </c>
      <c r="M1" s="44" t="s">
        <v>1940</v>
      </c>
      <c r="N1" s="44" t="s">
        <v>1941</v>
      </c>
      <c r="O1" s="44" t="s">
        <v>1942</v>
      </c>
      <c r="P1" s="44" t="s">
        <v>1943</v>
      </c>
      <c r="Q1" s="45" t="s">
        <v>1944</v>
      </c>
      <c r="R1" s="44" t="s">
        <v>1945</v>
      </c>
      <c r="S1" s="45" t="s">
        <v>1946</v>
      </c>
      <c r="T1" s="44" t="s">
        <v>1947</v>
      </c>
      <c r="U1" s="44" t="s">
        <v>1948</v>
      </c>
      <c r="V1" s="44" t="s">
        <v>1949</v>
      </c>
      <c r="W1" s="44" t="s">
        <v>1950</v>
      </c>
      <c r="X1" s="44" t="s">
        <v>1951</v>
      </c>
      <c r="Y1" s="44" t="s">
        <v>1952</v>
      </c>
      <c r="Z1" s="45" t="s">
        <v>1953</v>
      </c>
      <c r="AA1" s="45" t="s">
        <v>1954</v>
      </c>
      <c r="AB1" s="44" t="s">
        <v>1955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I57"/>
  <sheetViews>
    <sheetView topLeftCell="A30" workbookViewId="0">
      <selection activeCell="C47" sqref="C47"/>
    </sheetView>
  </sheetViews>
  <sheetFormatPr defaultRowHeight="14.25" x14ac:dyDescent="0.2"/>
  <cols>
    <col min="1" max="1" width="11.875" bestFit="1" customWidth="1"/>
    <col min="8" max="8" width="9" style="7"/>
    <col min="9" max="9" width="10.125" bestFit="1" customWidth="1"/>
  </cols>
  <sheetData>
    <row r="1" spans="1:8" ht="31.5" thickTop="1" thickBot="1" x14ac:dyDescent="0.3">
      <c r="A1" t="s">
        <v>1986</v>
      </c>
      <c r="B1" s="41" t="s">
        <v>1929</v>
      </c>
      <c r="C1" s="42" t="s">
        <v>1930</v>
      </c>
      <c r="D1" s="43" t="s">
        <v>1931</v>
      </c>
      <c r="E1" s="43" t="s">
        <v>1932</v>
      </c>
      <c r="F1" s="43" t="s">
        <v>1933</v>
      </c>
      <c r="G1" s="44" t="s">
        <v>1934</v>
      </c>
    </row>
    <row r="2" spans="1:8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8" ht="30" thickBot="1" x14ac:dyDescent="0.3">
      <c r="A3" s="60">
        <f t="shared" si="0"/>
        <v>0.18823529411764706</v>
      </c>
      <c r="B3" s="48" t="s">
        <v>1958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  <c r="H3" s="81">
        <v>0.57999999999999996</v>
      </c>
    </row>
    <row r="4" spans="1:8" ht="30" thickBot="1" x14ac:dyDescent="0.3">
      <c r="A4" s="60">
        <f t="shared" si="0"/>
        <v>0.17777777777777778</v>
      </c>
      <c r="B4" s="48" t="s">
        <v>1959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  <c r="H4" s="81">
        <v>0.57999999999999996</v>
      </c>
    </row>
    <row r="5" spans="1:8" ht="15.75" thickBot="1" x14ac:dyDescent="0.3">
      <c r="A5" s="60">
        <f t="shared" si="0"/>
        <v>0.15375</v>
      </c>
      <c r="B5" s="48" t="s">
        <v>1963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8" ht="30" thickBot="1" x14ac:dyDescent="0.3">
      <c r="A6" s="60">
        <f t="shared" si="0"/>
        <v>0.15</v>
      </c>
      <c r="B6" s="61" t="s">
        <v>1968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8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8" ht="15.75" thickBot="1" x14ac:dyDescent="0.3">
      <c r="A8" s="60">
        <f t="shared" si="0"/>
        <v>0.12571428571428572</v>
      </c>
      <c r="B8" s="61" t="s">
        <v>1973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8" ht="30" thickBot="1" x14ac:dyDescent="0.3">
      <c r="A9" s="60">
        <f t="shared" si="0"/>
        <v>0.12018181818181817</v>
      </c>
      <c r="B9" s="51" t="s">
        <v>1964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8" ht="30" thickBot="1" x14ac:dyDescent="0.3">
      <c r="A10" s="60">
        <f t="shared" si="0"/>
        <v>0.115</v>
      </c>
      <c r="B10" s="48" t="s">
        <v>1966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8" ht="15.75" thickBot="1" x14ac:dyDescent="0.3">
      <c r="A11" s="60">
        <f t="shared" si="0"/>
        <v>0.10909090909090909</v>
      </c>
      <c r="B11" s="61" t="s">
        <v>1969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8" ht="15.75" thickBot="1" x14ac:dyDescent="0.3">
      <c r="A12" s="60">
        <f t="shared" si="0"/>
        <v>0.105</v>
      </c>
      <c r="B12" s="48" t="s">
        <v>1960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8" ht="30" thickBot="1" x14ac:dyDescent="0.3">
      <c r="A13" s="60">
        <f t="shared" si="0"/>
        <v>0.10100000000000001</v>
      </c>
      <c r="B13" s="65" t="s">
        <v>1965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8" ht="30.75" thickTop="1" thickBot="1" x14ac:dyDescent="0.3">
      <c r="A14" s="60">
        <f t="shared" si="0"/>
        <v>0.1</v>
      </c>
      <c r="B14" s="58" t="s">
        <v>1984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8" ht="30" thickBot="1" x14ac:dyDescent="0.3">
      <c r="A15" s="60">
        <f t="shared" si="0"/>
        <v>9.8518518518518519E-2</v>
      </c>
      <c r="B15" s="54" t="s">
        <v>1971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8" ht="15.75" thickBot="1" x14ac:dyDescent="0.3">
      <c r="A16" s="60">
        <f t="shared" si="0"/>
        <v>9.7777777777777783E-2</v>
      </c>
      <c r="B16" s="62" t="s">
        <v>1961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8" ht="15.75" thickBot="1" x14ac:dyDescent="0.3">
      <c r="A17" s="60">
        <f t="shared" si="0"/>
        <v>9.3333333333333338E-2</v>
      </c>
      <c r="B17" s="62" t="s">
        <v>1962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8" ht="30" thickBot="1" x14ac:dyDescent="0.3">
      <c r="A18" s="60">
        <f t="shared" si="0"/>
        <v>9.2666666666666675E-2</v>
      </c>
      <c r="B18" s="54" t="s">
        <v>1967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8" ht="15.75" thickBot="1" x14ac:dyDescent="0.3">
      <c r="A19" s="60">
        <f t="shared" si="0"/>
        <v>9.0624999999999997E-2</v>
      </c>
      <c r="B19" s="62" t="s">
        <v>1957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  <c r="H19" s="81">
        <v>0.57999999999999996</v>
      </c>
    </row>
    <row r="20" spans="1:8" ht="30" thickBot="1" x14ac:dyDescent="0.3">
      <c r="A20" s="60">
        <f t="shared" si="0"/>
        <v>8.9583333333333334E-2</v>
      </c>
      <c r="B20" s="54" t="s">
        <v>1970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8" ht="15.75" thickBot="1" x14ac:dyDescent="0.3">
      <c r="A21" s="60">
        <f t="shared" si="0"/>
        <v>8.6956521739130432E-2</v>
      </c>
      <c r="B21" s="62" t="s">
        <v>1956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  <c r="H21" s="81">
        <v>0</v>
      </c>
    </row>
    <row r="22" spans="1:8" ht="30" thickBot="1" x14ac:dyDescent="0.3">
      <c r="A22" s="60">
        <f t="shared" si="0"/>
        <v>8.4000000000000005E-2</v>
      </c>
      <c r="B22" s="58" t="s">
        <v>1982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8" ht="15.75" thickBot="1" x14ac:dyDescent="0.3">
      <c r="A23" s="60">
        <f t="shared" si="0"/>
        <v>8.38235294117647E-2</v>
      </c>
      <c r="B23" s="54" t="s">
        <v>1978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8" ht="15.75" thickBot="1" x14ac:dyDescent="0.3">
      <c r="A24" s="60">
        <f t="shared" si="0"/>
        <v>8.3333333333333329E-2</v>
      </c>
      <c r="B24" s="54" t="s">
        <v>1972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8" ht="30" thickBot="1" x14ac:dyDescent="0.3">
      <c r="A25" s="60">
        <f t="shared" si="0"/>
        <v>8.0882352941176475E-2</v>
      </c>
      <c r="B25" s="58" t="s">
        <v>1983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8" ht="15.75" thickBot="1" x14ac:dyDescent="0.3">
      <c r="A26" s="60">
        <f t="shared" si="0"/>
        <v>8.0824742268041247E-2</v>
      </c>
      <c r="B26" s="54" t="s">
        <v>1979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8" ht="30.75" thickTop="1" thickBot="1" x14ac:dyDescent="0.3">
      <c r="A27" s="60">
        <f t="shared" si="0"/>
        <v>7.4049366244162779E-2</v>
      </c>
      <c r="B27" s="58" t="s">
        <v>1985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8" ht="15.75" thickBot="1" x14ac:dyDescent="0.3">
      <c r="A28" s="60">
        <f t="shared" si="0"/>
        <v>6.5384615384615388E-2</v>
      </c>
      <c r="B28" s="54" t="s">
        <v>1975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8" ht="30" thickBot="1" x14ac:dyDescent="0.3">
      <c r="A29" s="60">
        <f t="shared" si="0"/>
        <v>6.4893617021276592E-2</v>
      </c>
      <c r="B29" s="54" t="s">
        <v>1974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8" ht="15.75" thickBot="1" x14ac:dyDescent="0.3">
      <c r="A30" s="60">
        <f t="shared" si="0"/>
        <v>5.8749999999999997E-2</v>
      </c>
      <c r="B30" s="54" t="s">
        <v>1976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8" ht="15.75" thickBot="1" x14ac:dyDescent="0.3">
      <c r="A31" s="60">
        <f t="shared" si="0"/>
        <v>5.464949928469242E-2</v>
      </c>
      <c r="B31" s="54" t="s">
        <v>1980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8" ht="30" thickBot="1" x14ac:dyDescent="0.3">
      <c r="A32" s="60">
        <f t="shared" si="0"/>
        <v>5.3999999999999999E-2</v>
      </c>
      <c r="B32" s="54" t="s">
        <v>1977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9" ht="30" thickBot="1" x14ac:dyDescent="0.3">
      <c r="A33" s="60">
        <f t="shared" si="0"/>
        <v>4.3749999999999997E-2</v>
      </c>
      <c r="B33" s="64" t="s">
        <v>1981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9" ht="15.75" thickTop="1" x14ac:dyDescent="0.25">
      <c r="A34" s="1">
        <f>I34/C34</f>
        <v>1.6003846153846153</v>
      </c>
      <c r="B34">
        <v>480</v>
      </c>
      <c r="C34" s="84">
        <v>390</v>
      </c>
      <c r="H34" s="7">
        <v>1.71</v>
      </c>
      <c r="I34" s="83">
        <f>H34*365</f>
        <v>624.15</v>
      </c>
    </row>
    <row r="35" spans="1:9" ht="15" x14ac:dyDescent="0.25">
      <c r="A35" s="1">
        <f t="shared" ref="A35:A57" si="1">I35/C35</f>
        <v>0.82125000000000004</v>
      </c>
      <c r="B35">
        <v>570</v>
      </c>
      <c r="C35" s="84">
        <v>320</v>
      </c>
      <c r="H35" s="7">
        <v>0.72</v>
      </c>
      <c r="I35" s="83">
        <f t="shared" ref="I35:I57" si="2">H35*365</f>
        <v>262.8</v>
      </c>
    </row>
    <row r="36" spans="1:9" ht="15" x14ac:dyDescent="0.25">
      <c r="A36" s="1">
        <f t="shared" si="1"/>
        <v>1.7097368421052632</v>
      </c>
      <c r="B36">
        <v>580</v>
      </c>
      <c r="C36" s="82">
        <v>380</v>
      </c>
      <c r="H36" s="7">
        <v>1.78</v>
      </c>
      <c r="I36" s="83">
        <f t="shared" si="2"/>
        <v>649.70000000000005</v>
      </c>
    </row>
    <row r="37" spans="1:9" ht="15" x14ac:dyDescent="0.25">
      <c r="A37" s="1">
        <f t="shared" si="1"/>
        <v>1.4282608695652175</v>
      </c>
      <c r="B37" t="s">
        <v>2219</v>
      </c>
      <c r="C37" s="82">
        <v>690</v>
      </c>
      <c r="H37" s="7">
        <v>2.7</v>
      </c>
      <c r="I37" s="83">
        <f t="shared" si="2"/>
        <v>985.50000000000011</v>
      </c>
    </row>
    <row r="38" spans="1:9" ht="15" x14ac:dyDescent="0.25">
      <c r="A38" s="1">
        <f t="shared" si="1"/>
        <v>1.1369540229885058</v>
      </c>
      <c r="B38" t="s">
        <v>2220</v>
      </c>
      <c r="C38" s="82">
        <v>870</v>
      </c>
      <c r="D38" t="s">
        <v>2230</v>
      </c>
      <c r="H38" s="7">
        <v>2.71</v>
      </c>
      <c r="I38" s="83">
        <f t="shared" si="2"/>
        <v>989.15</v>
      </c>
    </row>
    <row r="39" spans="1:9" x14ac:dyDescent="0.2">
      <c r="A39" s="85" t="e">
        <f t="shared" si="1"/>
        <v>#DIV/0!</v>
      </c>
      <c r="B39" s="70" t="s">
        <v>2221</v>
      </c>
      <c r="C39" s="70"/>
      <c r="D39" s="70"/>
      <c r="E39" s="70"/>
      <c r="F39" s="70"/>
      <c r="G39" s="70"/>
      <c r="H39" s="86">
        <v>2.58</v>
      </c>
      <c r="I39" s="87">
        <f t="shared" si="2"/>
        <v>941.7</v>
      </c>
    </row>
    <row r="40" spans="1:9" x14ac:dyDescent="0.2">
      <c r="A40" s="1" t="e">
        <f t="shared" si="1"/>
        <v>#DIV/0!</v>
      </c>
      <c r="B40">
        <v>5700</v>
      </c>
      <c r="H40" s="7">
        <v>3.57</v>
      </c>
      <c r="I40" s="83">
        <f t="shared" si="2"/>
        <v>1303.05</v>
      </c>
    </row>
    <row r="41" spans="1:9" ht="15" x14ac:dyDescent="0.25">
      <c r="A41" s="1">
        <f t="shared" si="1"/>
        <v>1.7373999999999998</v>
      </c>
      <c r="B41" t="s">
        <v>2222</v>
      </c>
      <c r="C41" s="82">
        <v>750</v>
      </c>
      <c r="D41" t="s">
        <v>2231</v>
      </c>
      <c r="H41" s="7">
        <v>3.57</v>
      </c>
      <c r="I41" s="83">
        <f t="shared" si="2"/>
        <v>1303.05</v>
      </c>
    </row>
    <row r="42" spans="1:9" x14ac:dyDescent="0.2">
      <c r="A42" s="1">
        <f t="shared" si="1"/>
        <v>1.2389722222222224</v>
      </c>
      <c r="B42" t="s">
        <v>2223</v>
      </c>
      <c r="C42">
        <v>1800</v>
      </c>
      <c r="H42" s="7">
        <v>6.11</v>
      </c>
      <c r="I42" s="83">
        <f t="shared" si="2"/>
        <v>2230.15</v>
      </c>
    </row>
    <row r="43" spans="1:9" x14ac:dyDescent="0.2">
      <c r="A43" s="85" t="e">
        <f t="shared" si="1"/>
        <v>#DIV/0!</v>
      </c>
      <c r="B43" s="70" t="s">
        <v>2224</v>
      </c>
      <c r="C43" s="70"/>
      <c r="D43" s="70"/>
      <c r="E43" s="70"/>
      <c r="F43" s="70"/>
      <c r="G43" s="70"/>
      <c r="H43" s="86">
        <v>0.36</v>
      </c>
      <c r="I43" s="87">
        <f t="shared" si="2"/>
        <v>131.4</v>
      </c>
    </row>
    <row r="44" spans="1:9" x14ac:dyDescent="0.2">
      <c r="A44" s="85" t="e">
        <f t="shared" si="1"/>
        <v>#DIV/0!</v>
      </c>
      <c r="B44" s="70">
        <v>1060</v>
      </c>
      <c r="C44" s="70"/>
      <c r="D44" s="70"/>
      <c r="E44" s="70"/>
      <c r="F44" s="70"/>
      <c r="G44" s="70"/>
      <c r="H44" s="86">
        <v>1.34</v>
      </c>
      <c r="I44" s="87">
        <f t="shared" si="2"/>
        <v>489.1</v>
      </c>
    </row>
    <row r="45" spans="1:9" x14ac:dyDescent="0.2">
      <c r="A45" s="1">
        <f t="shared" si="1"/>
        <v>0.71993103448275853</v>
      </c>
      <c r="B45">
        <v>1070</v>
      </c>
      <c r="C45">
        <v>725</v>
      </c>
      <c r="D45" t="s">
        <v>2232</v>
      </c>
      <c r="H45" s="7">
        <v>1.43</v>
      </c>
      <c r="I45" s="83">
        <f t="shared" si="2"/>
        <v>521.94999999999993</v>
      </c>
    </row>
    <row r="46" spans="1:9" x14ac:dyDescent="0.2">
      <c r="A46" s="1">
        <f t="shared" si="1"/>
        <v>1.2759533898305084</v>
      </c>
      <c r="B46" t="s">
        <v>2225</v>
      </c>
      <c r="C46">
        <v>472</v>
      </c>
      <c r="H46" s="7">
        <v>1.65</v>
      </c>
      <c r="I46" s="83">
        <f t="shared" si="2"/>
        <v>602.25</v>
      </c>
    </row>
    <row r="47" spans="1:9" x14ac:dyDescent="0.2">
      <c r="A47" s="1" t="e">
        <f t="shared" si="1"/>
        <v>#DIV/0!</v>
      </c>
      <c r="B47">
        <v>1080</v>
      </c>
      <c r="H47" s="7">
        <v>1.91</v>
      </c>
      <c r="I47" s="83">
        <f t="shared" si="2"/>
        <v>697.15</v>
      </c>
    </row>
    <row r="48" spans="1:9" x14ac:dyDescent="0.2">
      <c r="A48" s="1" t="e">
        <f t="shared" si="1"/>
        <v>#DIV/0!</v>
      </c>
      <c r="B48" t="s">
        <v>2226</v>
      </c>
      <c r="H48" s="7">
        <v>2.39</v>
      </c>
      <c r="I48" s="83">
        <f t="shared" si="2"/>
        <v>872.35</v>
      </c>
    </row>
    <row r="49" spans="1:9" x14ac:dyDescent="0.2">
      <c r="A49" s="1" t="e">
        <f t="shared" si="1"/>
        <v>#DIV/0!</v>
      </c>
      <c r="B49">
        <v>1660</v>
      </c>
      <c r="H49" s="7">
        <v>1.41</v>
      </c>
      <c r="I49" s="83">
        <f t="shared" si="2"/>
        <v>514.65</v>
      </c>
    </row>
    <row r="50" spans="1:9" x14ac:dyDescent="0.2">
      <c r="A50" s="1" t="e">
        <f t="shared" si="1"/>
        <v>#DIV/0!</v>
      </c>
      <c r="B50" t="s">
        <v>2227</v>
      </c>
      <c r="H50" s="7">
        <v>1.79</v>
      </c>
      <c r="I50" s="83">
        <f t="shared" si="2"/>
        <v>653.35</v>
      </c>
    </row>
    <row r="51" spans="1:9" x14ac:dyDescent="0.2">
      <c r="A51" s="1" t="e">
        <f t="shared" si="1"/>
        <v>#DIV/0!</v>
      </c>
      <c r="B51">
        <v>2060</v>
      </c>
      <c r="H51" s="7">
        <v>1.8</v>
      </c>
      <c r="I51" s="83">
        <f t="shared" si="2"/>
        <v>657</v>
      </c>
    </row>
    <row r="52" spans="1:9" x14ac:dyDescent="0.2">
      <c r="A52" s="1" t="e">
        <f t="shared" si="1"/>
        <v>#DIV/0!</v>
      </c>
      <c r="B52">
        <v>2070</v>
      </c>
      <c r="H52" s="7">
        <v>2.4700000000000002</v>
      </c>
      <c r="I52" s="83">
        <f t="shared" si="2"/>
        <v>901.55000000000007</v>
      </c>
    </row>
    <row r="53" spans="1:9" x14ac:dyDescent="0.2">
      <c r="A53" s="1" t="e">
        <f t="shared" si="1"/>
        <v>#DIV/0!</v>
      </c>
      <c r="B53">
        <v>2080</v>
      </c>
      <c r="H53" s="7">
        <v>2.41</v>
      </c>
      <c r="I53" s="83">
        <f t="shared" si="2"/>
        <v>879.65000000000009</v>
      </c>
    </row>
    <row r="54" spans="1:9" x14ac:dyDescent="0.2">
      <c r="A54" s="1" t="e">
        <f t="shared" si="1"/>
        <v>#DIV/0!</v>
      </c>
      <c r="B54" t="s">
        <v>2228</v>
      </c>
      <c r="H54" s="7">
        <v>3.44</v>
      </c>
      <c r="I54" s="83">
        <f t="shared" si="2"/>
        <v>1255.5999999999999</v>
      </c>
    </row>
    <row r="55" spans="1:9" x14ac:dyDescent="0.2">
      <c r="A55" s="1">
        <f t="shared" si="1"/>
        <v>3.4857499999999999</v>
      </c>
      <c r="B55" t="s">
        <v>2229</v>
      </c>
      <c r="C55">
        <v>400</v>
      </c>
      <c r="H55" s="7">
        <v>3.82</v>
      </c>
      <c r="I55" s="83">
        <f t="shared" si="2"/>
        <v>1394.3</v>
      </c>
    </row>
    <row r="56" spans="1:9" x14ac:dyDescent="0.2">
      <c r="A56" s="1">
        <f t="shared" si="1"/>
        <v>2.7885999999999997</v>
      </c>
      <c r="B56">
        <v>3070</v>
      </c>
      <c r="C56">
        <v>500</v>
      </c>
      <c r="H56" s="7">
        <v>3.82</v>
      </c>
      <c r="I56" s="83">
        <f t="shared" si="2"/>
        <v>1394.3</v>
      </c>
    </row>
    <row r="57" spans="1:9" x14ac:dyDescent="0.2">
      <c r="A57" s="1">
        <f t="shared" si="1"/>
        <v>3.0920714285714284</v>
      </c>
      <c r="B57">
        <v>3080</v>
      </c>
      <c r="C57">
        <v>700</v>
      </c>
      <c r="H57" s="7">
        <v>5.93</v>
      </c>
      <c r="I57" s="83">
        <f t="shared" si="2"/>
        <v>2164.4499999999998</v>
      </c>
    </row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I40" sqref="H40:I40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G5"/>
  <sheetViews>
    <sheetView workbookViewId="0">
      <selection activeCell="F6" sqref="F6"/>
    </sheetView>
  </sheetViews>
  <sheetFormatPr defaultRowHeight="14.25" x14ac:dyDescent="0.2"/>
  <cols>
    <col min="1" max="1" width="9.625" bestFit="1" customWidth="1"/>
    <col min="2" max="2" width="5.875" bestFit="1" customWidth="1"/>
    <col min="3" max="3" width="2.875" bestFit="1" customWidth="1"/>
    <col min="4" max="4" width="8.25" customWidth="1"/>
    <col min="5" max="5" width="26.125" bestFit="1" customWidth="1"/>
    <col min="6" max="6" width="12.125" bestFit="1" customWidth="1"/>
  </cols>
  <sheetData>
    <row r="1" spans="1:7" x14ac:dyDescent="0.2">
      <c r="A1" t="s">
        <v>2002</v>
      </c>
      <c r="B1" t="s">
        <v>2198</v>
      </c>
      <c r="C1">
        <v>31</v>
      </c>
      <c r="D1" s="71">
        <v>5.2083333333333336E-2</v>
      </c>
      <c r="E1" t="s">
        <v>2003</v>
      </c>
      <c r="F1" t="s">
        <v>2004</v>
      </c>
      <c r="G1" t="s">
        <v>2199</v>
      </c>
    </row>
    <row r="2" spans="1:7" x14ac:dyDescent="0.2">
      <c r="A2" t="s">
        <v>2008</v>
      </c>
      <c r="B2" t="s">
        <v>2001</v>
      </c>
      <c r="C2">
        <v>15</v>
      </c>
      <c r="D2" s="71">
        <v>0.15625</v>
      </c>
      <c r="E2" t="s">
        <v>2217</v>
      </c>
      <c r="F2" t="s">
        <v>2010</v>
      </c>
      <c r="G2" t="s">
        <v>2199</v>
      </c>
    </row>
    <row r="3" spans="1:7" x14ac:dyDescent="0.2">
      <c r="A3" t="s">
        <v>2045</v>
      </c>
      <c r="B3" t="s">
        <v>2009</v>
      </c>
      <c r="C3">
        <v>26</v>
      </c>
      <c r="D3" s="71">
        <v>0.45833333333333331</v>
      </c>
      <c r="F3" t="s">
        <v>2046</v>
      </c>
    </row>
    <row r="4" spans="1:7" x14ac:dyDescent="0.2">
      <c r="B4" t="s">
        <v>2218</v>
      </c>
      <c r="C4">
        <v>1</v>
      </c>
      <c r="D4" s="71">
        <v>8.6805555555555566E-2</v>
      </c>
      <c r="E4" t="s">
        <v>2217</v>
      </c>
    </row>
    <row r="5" spans="1:7" x14ac:dyDescent="0.2">
      <c r="A5" t="s">
        <v>2308</v>
      </c>
      <c r="B5" t="s">
        <v>2198</v>
      </c>
      <c r="C5">
        <v>29</v>
      </c>
      <c r="D5" s="71">
        <v>6.25E-2</v>
      </c>
      <c r="E5" t="s">
        <v>2414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F8"/>
  <sheetViews>
    <sheetView workbookViewId="0">
      <selection activeCell="D2" sqref="D2"/>
    </sheetView>
  </sheetViews>
  <sheetFormatPr defaultRowHeight="14.25" x14ac:dyDescent="0.2"/>
  <cols>
    <col min="1" max="1" width="15.75" bestFit="1" customWidth="1"/>
    <col min="4" max="4" width="17.25" bestFit="1" customWidth="1"/>
  </cols>
  <sheetData>
    <row r="1" spans="1:6" x14ac:dyDescent="0.2">
      <c r="A1" t="s">
        <v>2005</v>
      </c>
      <c r="B1">
        <v>1</v>
      </c>
      <c r="C1" t="s">
        <v>2006</v>
      </c>
      <c r="D1" t="s">
        <v>2007</v>
      </c>
      <c r="F1" t="s">
        <v>2183</v>
      </c>
    </row>
    <row r="2" spans="1:6" x14ac:dyDescent="0.2">
      <c r="A2" t="s">
        <v>2328</v>
      </c>
      <c r="B2">
        <v>3</v>
      </c>
      <c r="C2" t="s">
        <v>2006</v>
      </c>
      <c r="F2" t="s">
        <v>2184</v>
      </c>
    </row>
    <row r="3" spans="1:6" x14ac:dyDescent="0.2">
      <c r="A3" t="s">
        <v>2329</v>
      </c>
      <c r="B3">
        <v>2</v>
      </c>
      <c r="C3" t="s">
        <v>2006</v>
      </c>
      <c r="D3" t="s">
        <v>2330</v>
      </c>
      <c r="F3" t="s">
        <v>2185</v>
      </c>
    </row>
    <row r="4" spans="1:6" x14ac:dyDescent="0.2">
      <c r="F4" t="s">
        <v>2186</v>
      </c>
    </row>
    <row r="8" spans="1:6" x14ac:dyDescent="0.2">
      <c r="A8" t="s">
        <v>2264</v>
      </c>
      <c r="B8">
        <v>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1315-4835-414C-AC6B-53ABBC2CD456}">
  <dimension ref="A1:S26"/>
  <sheetViews>
    <sheetView workbookViewId="0">
      <selection activeCell="T2" sqref="T2:AH10"/>
    </sheetView>
  </sheetViews>
  <sheetFormatPr defaultRowHeight="14.25" x14ac:dyDescent="0.2"/>
  <cols>
    <col min="1" max="1" width="27.625" style="88" bestFit="1" customWidth="1"/>
    <col min="2" max="2" width="9.75" hidden="1" customWidth="1"/>
    <col min="3" max="3" width="10" hidden="1" customWidth="1"/>
    <col min="4" max="4" width="9" hidden="1" customWidth="1"/>
    <col min="5" max="5" width="9.75" hidden="1" customWidth="1"/>
    <col min="6" max="6" width="10" hidden="1" customWidth="1"/>
    <col min="7" max="7" width="7.5" hidden="1" customWidth="1"/>
    <col min="8" max="10" width="9" hidden="1" customWidth="1"/>
    <col min="11" max="13" width="0" hidden="1" customWidth="1"/>
  </cols>
  <sheetData>
    <row r="1" spans="1:19" x14ac:dyDescent="0.2">
      <c r="B1" t="s">
        <v>2271</v>
      </c>
      <c r="C1" t="s">
        <v>2270</v>
      </c>
      <c r="D1" t="s">
        <v>2272</v>
      </c>
      <c r="E1" t="s">
        <v>2274</v>
      </c>
      <c r="F1" t="s">
        <v>2273</v>
      </c>
      <c r="G1" t="s">
        <v>2272</v>
      </c>
      <c r="H1" t="s">
        <v>2275</v>
      </c>
      <c r="I1" t="s">
        <v>2125</v>
      </c>
      <c r="J1" t="s">
        <v>2272</v>
      </c>
      <c r="K1" t="s">
        <v>2276</v>
      </c>
      <c r="L1" t="s">
        <v>2125</v>
      </c>
      <c r="M1" t="s">
        <v>2272</v>
      </c>
      <c r="N1" t="s">
        <v>2286</v>
      </c>
      <c r="O1" t="s">
        <v>2125</v>
      </c>
      <c r="P1" t="s">
        <v>2272</v>
      </c>
      <c r="Q1" t="s">
        <v>2352</v>
      </c>
      <c r="R1" t="s">
        <v>2125</v>
      </c>
      <c r="S1" t="s">
        <v>2272</v>
      </c>
    </row>
    <row r="2" spans="1:19" x14ac:dyDescent="0.2">
      <c r="A2" s="88">
        <v>44197</v>
      </c>
      <c r="B2">
        <v>32</v>
      </c>
      <c r="C2">
        <v>44</v>
      </c>
      <c r="D2">
        <f>C2+B2/2</f>
        <v>60</v>
      </c>
      <c r="E2">
        <v>0.38</v>
      </c>
      <c r="F2">
        <v>1.65</v>
      </c>
      <c r="G2">
        <f>F2+E2/2</f>
        <v>1.8399999999999999</v>
      </c>
      <c r="H2">
        <v>8.0500000000000007</v>
      </c>
      <c r="I2">
        <v>12</v>
      </c>
      <c r="J2">
        <f>(I2+H2)/2</f>
        <v>10.025</v>
      </c>
      <c r="K2">
        <v>8.6</v>
      </c>
      <c r="L2">
        <v>14.5</v>
      </c>
      <c r="M2">
        <f>(L2+K2)/2</f>
        <v>11.55</v>
      </c>
      <c r="N2">
        <v>11.45</v>
      </c>
      <c r="O2">
        <v>24</v>
      </c>
      <c r="P2">
        <f>(O2+N2)/2</f>
        <v>17.725000000000001</v>
      </c>
      <c r="Q2">
        <v>379</v>
      </c>
      <c r="R2">
        <v>629</v>
      </c>
      <c r="S2">
        <f>(R2+Q2)/2</f>
        <v>504</v>
      </c>
    </row>
    <row r="3" spans="1:19" x14ac:dyDescent="0.2">
      <c r="A3" s="88">
        <v>44228</v>
      </c>
      <c r="B3">
        <v>36</v>
      </c>
      <c r="C3">
        <v>50</v>
      </c>
      <c r="D3">
        <f t="shared" ref="D3:D26" si="0">C3+B3/2</f>
        <v>68</v>
      </c>
      <c r="E3">
        <v>0.52</v>
      </c>
      <c r="F3">
        <v>2.08</v>
      </c>
      <c r="G3">
        <f t="shared" ref="G3:G26" si="1">F3+E3/2</f>
        <v>2.34</v>
      </c>
      <c r="H3">
        <v>9.0500000000000007</v>
      </c>
      <c r="I3">
        <v>14.43</v>
      </c>
      <c r="J3">
        <f t="shared" ref="J3:J26" si="2">(I3+H3)/2</f>
        <v>11.74</v>
      </c>
      <c r="K3">
        <v>10.8</v>
      </c>
      <c r="L3">
        <v>18.329999999999998</v>
      </c>
      <c r="M3">
        <f t="shared" ref="M3:M26" si="3">(L3+K3)/2</f>
        <v>14.565</v>
      </c>
      <c r="N3">
        <v>12.07</v>
      </c>
      <c r="O3">
        <v>25.73</v>
      </c>
      <c r="P3">
        <f t="shared" ref="P3:P26" si="4">(O3+N3)/2</f>
        <v>18.899999999999999</v>
      </c>
      <c r="Q3">
        <v>479</v>
      </c>
      <c r="R3">
        <v>902</v>
      </c>
      <c r="S3">
        <f>(R3+Q3)/2</f>
        <v>690.5</v>
      </c>
    </row>
    <row r="4" spans="1:19" x14ac:dyDescent="0.2">
      <c r="A4" s="88">
        <v>44256</v>
      </c>
      <c r="B4">
        <v>40</v>
      </c>
      <c r="C4">
        <v>56</v>
      </c>
      <c r="D4">
        <f t="shared" si="0"/>
        <v>76</v>
      </c>
      <c r="E4">
        <v>0.7</v>
      </c>
      <c r="F4">
        <v>2.5099999999999998</v>
      </c>
      <c r="G4">
        <f t="shared" si="1"/>
        <v>2.86</v>
      </c>
      <c r="H4">
        <v>10.050000000000001</v>
      </c>
      <c r="I4">
        <v>16.86</v>
      </c>
      <c r="J4">
        <f t="shared" si="2"/>
        <v>13.455</v>
      </c>
      <c r="K4">
        <v>13</v>
      </c>
      <c r="L4">
        <v>22.16</v>
      </c>
      <c r="M4">
        <f t="shared" si="3"/>
        <v>17.579999999999998</v>
      </c>
      <c r="N4">
        <v>12.69</v>
      </c>
      <c r="O4">
        <v>27.46</v>
      </c>
      <c r="P4">
        <f t="shared" si="4"/>
        <v>20.074999999999999</v>
      </c>
      <c r="Q4">
        <v>579</v>
      </c>
      <c r="R4">
        <v>1175</v>
      </c>
      <c r="S4">
        <f>(R4+Q4)/2</f>
        <v>877</v>
      </c>
    </row>
    <row r="5" spans="1:19" x14ac:dyDescent="0.2">
      <c r="A5" s="88">
        <v>44287</v>
      </c>
      <c r="B5">
        <v>44</v>
      </c>
      <c r="C5">
        <v>62</v>
      </c>
      <c r="D5">
        <f t="shared" si="0"/>
        <v>84</v>
      </c>
      <c r="E5">
        <v>0.88</v>
      </c>
      <c r="F5">
        <v>2.94</v>
      </c>
      <c r="G5">
        <f t="shared" si="1"/>
        <v>3.38</v>
      </c>
      <c r="H5">
        <v>11.05</v>
      </c>
      <c r="I5">
        <v>19.29</v>
      </c>
      <c r="J5">
        <f t="shared" si="2"/>
        <v>15.17</v>
      </c>
      <c r="K5">
        <v>15.2</v>
      </c>
      <c r="L5">
        <v>25.99</v>
      </c>
      <c r="M5">
        <f t="shared" si="3"/>
        <v>20.594999999999999</v>
      </c>
      <c r="N5">
        <v>13.31</v>
      </c>
      <c r="O5">
        <v>29.19</v>
      </c>
      <c r="P5">
        <f t="shared" si="4"/>
        <v>21.25</v>
      </c>
      <c r="Q5">
        <v>679</v>
      </c>
      <c r="R5">
        <v>1448</v>
      </c>
      <c r="S5">
        <f t="shared" ref="S5:S26" si="5">(R5+Q5)/2</f>
        <v>1063.5</v>
      </c>
    </row>
    <row r="6" spans="1:19" x14ac:dyDescent="0.2">
      <c r="A6" s="88">
        <v>44317</v>
      </c>
      <c r="B6">
        <v>48</v>
      </c>
      <c r="C6">
        <v>68</v>
      </c>
      <c r="D6">
        <f t="shared" si="0"/>
        <v>92</v>
      </c>
      <c r="E6">
        <v>1.06</v>
      </c>
      <c r="F6">
        <v>3.37</v>
      </c>
      <c r="G6">
        <f t="shared" si="1"/>
        <v>3.9000000000000004</v>
      </c>
      <c r="H6">
        <v>12.05</v>
      </c>
      <c r="I6">
        <v>21.72</v>
      </c>
      <c r="J6">
        <f t="shared" si="2"/>
        <v>16.884999999999998</v>
      </c>
      <c r="K6">
        <v>17.399999999999999</v>
      </c>
      <c r="L6">
        <v>29.82</v>
      </c>
      <c r="M6">
        <f t="shared" si="3"/>
        <v>23.61</v>
      </c>
      <c r="N6">
        <v>13.93</v>
      </c>
      <c r="O6">
        <v>30.92</v>
      </c>
      <c r="P6">
        <f t="shared" si="4"/>
        <v>22.425000000000001</v>
      </c>
      <c r="Q6">
        <v>779</v>
      </c>
      <c r="R6">
        <v>1721</v>
      </c>
      <c r="S6">
        <f t="shared" si="5"/>
        <v>1250</v>
      </c>
    </row>
    <row r="7" spans="1:19" x14ac:dyDescent="0.2">
      <c r="A7" s="88">
        <v>44348</v>
      </c>
      <c r="B7">
        <v>52</v>
      </c>
      <c r="C7">
        <v>74</v>
      </c>
      <c r="D7">
        <f t="shared" si="0"/>
        <v>100</v>
      </c>
      <c r="E7">
        <v>1.24</v>
      </c>
      <c r="F7">
        <v>3.8</v>
      </c>
      <c r="G7">
        <f t="shared" si="1"/>
        <v>4.42</v>
      </c>
      <c r="H7">
        <v>13.05</v>
      </c>
      <c r="I7">
        <v>24.15</v>
      </c>
      <c r="J7">
        <f t="shared" si="2"/>
        <v>18.600000000000001</v>
      </c>
      <c r="K7">
        <v>19.600000000000001</v>
      </c>
      <c r="L7">
        <v>33.65</v>
      </c>
      <c r="M7">
        <f t="shared" si="3"/>
        <v>26.625</v>
      </c>
      <c r="N7">
        <v>14.55</v>
      </c>
      <c r="O7">
        <v>32.65</v>
      </c>
      <c r="P7">
        <f t="shared" si="4"/>
        <v>23.6</v>
      </c>
      <c r="Q7">
        <v>879</v>
      </c>
      <c r="R7">
        <v>1994</v>
      </c>
      <c r="S7">
        <f t="shared" si="5"/>
        <v>1436.5</v>
      </c>
    </row>
    <row r="8" spans="1:19" x14ac:dyDescent="0.2">
      <c r="A8" s="88">
        <v>44378</v>
      </c>
      <c r="B8">
        <v>56</v>
      </c>
      <c r="C8">
        <v>80</v>
      </c>
      <c r="D8">
        <f t="shared" si="0"/>
        <v>108</v>
      </c>
      <c r="E8">
        <v>1.42</v>
      </c>
      <c r="F8">
        <v>4.2300000000000004</v>
      </c>
      <c r="G8">
        <f t="shared" si="1"/>
        <v>4.9400000000000004</v>
      </c>
      <c r="H8">
        <v>14.05</v>
      </c>
      <c r="I8">
        <v>26.58</v>
      </c>
      <c r="J8">
        <f t="shared" si="2"/>
        <v>20.314999999999998</v>
      </c>
      <c r="K8">
        <v>21.8</v>
      </c>
      <c r="L8">
        <v>37.479999999999997</v>
      </c>
      <c r="M8">
        <f t="shared" si="3"/>
        <v>29.64</v>
      </c>
      <c r="N8">
        <v>15.17</v>
      </c>
      <c r="O8">
        <v>34.380000000000003</v>
      </c>
      <c r="P8">
        <f t="shared" si="4"/>
        <v>24.775000000000002</v>
      </c>
      <c r="Q8">
        <v>979</v>
      </c>
      <c r="R8">
        <v>2267</v>
      </c>
      <c r="S8">
        <f t="shared" si="5"/>
        <v>1623</v>
      </c>
    </row>
    <row r="9" spans="1:19" x14ac:dyDescent="0.2">
      <c r="A9" s="88">
        <v>44409</v>
      </c>
      <c r="B9">
        <v>60</v>
      </c>
      <c r="C9">
        <v>86</v>
      </c>
      <c r="D9">
        <f t="shared" si="0"/>
        <v>116</v>
      </c>
      <c r="E9">
        <v>1.6</v>
      </c>
      <c r="F9">
        <v>4.66</v>
      </c>
      <c r="G9">
        <f t="shared" si="1"/>
        <v>5.46</v>
      </c>
      <c r="H9">
        <v>15.05</v>
      </c>
      <c r="I9">
        <v>29.01</v>
      </c>
      <c r="J9">
        <f t="shared" si="2"/>
        <v>22.03</v>
      </c>
      <c r="K9">
        <v>24</v>
      </c>
      <c r="L9">
        <v>41.31</v>
      </c>
      <c r="M9">
        <f t="shared" si="3"/>
        <v>32.655000000000001</v>
      </c>
      <c r="N9">
        <v>15.79</v>
      </c>
      <c r="O9">
        <v>36.11</v>
      </c>
      <c r="P9">
        <f t="shared" si="4"/>
        <v>25.95</v>
      </c>
      <c r="Q9">
        <v>1079</v>
      </c>
      <c r="R9">
        <v>2540</v>
      </c>
      <c r="S9">
        <f t="shared" si="5"/>
        <v>1809.5</v>
      </c>
    </row>
    <row r="10" spans="1:19" x14ac:dyDescent="0.2">
      <c r="A10" s="88">
        <v>44440</v>
      </c>
      <c r="B10">
        <v>64</v>
      </c>
      <c r="C10">
        <v>92</v>
      </c>
      <c r="D10">
        <f t="shared" si="0"/>
        <v>124</v>
      </c>
      <c r="E10">
        <v>1.78</v>
      </c>
      <c r="F10">
        <v>5.09</v>
      </c>
      <c r="G10">
        <f t="shared" si="1"/>
        <v>5.9799999999999995</v>
      </c>
      <c r="H10">
        <v>16.05</v>
      </c>
      <c r="I10">
        <v>31.44</v>
      </c>
      <c r="J10">
        <f t="shared" si="2"/>
        <v>23.745000000000001</v>
      </c>
      <c r="K10">
        <v>26.2</v>
      </c>
      <c r="L10">
        <v>45.14</v>
      </c>
      <c r="M10">
        <f t="shared" si="3"/>
        <v>35.67</v>
      </c>
      <c r="N10">
        <v>16.41</v>
      </c>
      <c r="O10">
        <v>37.840000000000003</v>
      </c>
      <c r="P10">
        <f t="shared" si="4"/>
        <v>27.125</v>
      </c>
      <c r="Q10">
        <v>1179</v>
      </c>
      <c r="R10">
        <v>2813</v>
      </c>
      <c r="S10">
        <f t="shared" si="5"/>
        <v>1996</v>
      </c>
    </row>
    <row r="11" spans="1:19" x14ac:dyDescent="0.2">
      <c r="A11" s="88">
        <v>44470</v>
      </c>
      <c r="B11">
        <v>68</v>
      </c>
      <c r="C11">
        <v>98</v>
      </c>
      <c r="D11">
        <f t="shared" si="0"/>
        <v>132</v>
      </c>
      <c r="E11">
        <v>1.96</v>
      </c>
      <c r="F11">
        <v>5.52</v>
      </c>
      <c r="G11">
        <f t="shared" si="1"/>
        <v>6.5</v>
      </c>
      <c r="H11">
        <v>17.05</v>
      </c>
      <c r="I11">
        <v>33.869999999999997</v>
      </c>
      <c r="J11">
        <f t="shared" si="2"/>
        <v>25.46</v>
      </c>
      <c r="K11">
        <v>28.4</v>
      </c>
      <c r="L11">
        <v>48.97</v>
      </c>
      <c r="M11">
        <f t="shared" si="3"/>
        <v>38.685000000000002</v>
      </c>
      <c r="N11">
        <v>17.03</v>
      </c>
      <c r="O11">
        <v>39.57</v>
      </c>
      <c r="P11">
        <f t="shared" si="4"/>
        <v>28.3</v>
      </c>
      <c r="Q11">
        <v>1279</v>
      </c>
      <c r="R11">
        <v>3086</v>
      </c>
      <c r="S11">
        <f t="shared" si="5"/>
        <v>2182.5</v>
      </c>
    </row>
    <row r="12" spans="1:19" x14ac:dyDescent="0.2">
      <c r="A12" s="88">
        <v>44501</v>
      </c>
      <c r="B12">
        <v>72</v>
      </c>
      <c r="C12">
        <v>104</v>
      </c>
      <c r="D12">
        <f t="shared" si="0"/>
        <v>140</v>
      </c>
      <c r="E12">
        <v>2.14</v>
      </c>
      <c r="F12">
        <v>5.95</v>
      </c>
      <c r="G12">
        <f t="shared" si="1"/>
        <v>7.0200000000000005</v>
      </c>
      <c r="H12">
        <v>18.05</v>
      </c>
      <c r="I12">
        <v>36.299999999999997</v>
      </c>
      <c r="J12">
        <f t="shared" si="2"/>
        <v>27.174999999999997</v>
      </c>
      <c r="K12">
        <v>30.6</v>
      </c>
      <c r="L12">
        <v>52.8</v>
      </c>
      <c r="M12">
        <f t="shared" si="3"/>
        <v>41.7</v>
      </c>
      <c r="N12">
        <v>17.649999999999999</v>
      </c>
      <c r="O12">
        <v>41.3</v>
      </c>
      <c r="P12">
        <f t="shared" si="4"/>
        <v>29.474999999999998</v>
      </c>
      <c r="Q12">
        <v>1379</v>
      </c>
      <c r="R12">
        <v>3359</v>
      </c>
      <c r="S12">
        <f t="shared" si="5"/>
        <v>2369</v>
      </c>
    </row>
    <row r="13" spans="1:19" x14ac:dyDescent="0.2">
      <c r="A13" s="88">
        <v>44531</v>
      </c>
      <c r="B13">
        <v>76</v>
      </c>
      <c r="C13">
        <v>110</v>
      </c>
      <c r="D13">
        <f t="shared" si="0"/>
        <v>148</v>
      </c>
      <c r="E13">
        <v>2.3199999999999998</v>
      </c>
      <c r="F13">
        <v>6.38</v>
      </c>
      <c r="G13">
        <f t="shared" si="1"/>
        <v>7.54</v>
      </c>
      <c r="H13">
        <v>19.05</v>
      </c>
      <c r="I13">
        <v>38.729999999999997</v>
      </c>
      <c r="J13">
        <f t="shared" si="2"/>
        <v>28.89</v>
      </c>
      <c r="K13">
        <v>32.799999999999997</v>
      </c>
      <c r="L13">
        <v>56.63</v>
      </c>
      <c r="M13">
        <f t="shared" si="3"/>
        <v>44.715000000000003</v>
      </c>
      <c r="N13">
        <v>18.27</v>
      </c>
      <c r="O13">
        <v>43.03</v>
      </c>
      <c r="P13">
        <f t="shared" si="4"/>
        <v>30.65</v>
      </c>
      <c r="Q13">
        <v>1479</v>
      </c>
      <c r="R13">
        <v>3632</v>
      </c>
      <c r="S13">
        <f t="shared" si="5"/>
        <v>2555.5</v>
      </c>
    </row>
    <row r="14" spans="1:19" x14ac:dyDescent="0.2">
      <c r="A14" s="88">
        <v>44562</v>
      </c>
      <c r="B14">
        <v>80</v>
      </c>
      <c r="C14">
        <v>116</v>
      </c>
      <c r="D14">
        <f t="shared" si="0"/>
        <v>156</v>
      </c>
      <c r="E14">
        <v>2.5</v>
      </c>
      <c r="F14">
        <v>6.81</v>
      </c>
      <c r="G14">
        <f t="shared" si="1"/>
        <v>8.0599999999999987</v>
      </c>
      <c r="H14">
        <v>20.05</v>
      </c>
      <c r="I14">
        <v>41.16</v>
      </c>
      <c r="J14">
        <f t="shared" si="2"/>
        <v>30.604999999999997</v>
      </c>
      <c r="K14">
        <v>35</v>
      </c>
      <c r="L14">
        <v>60.46</v>
      </c>
      <c r="M14">
        <f t="shared" si="3"/>
        <v>47.730000000000004</v>
      </c>
      <c r="N14">
        <v>18.89</v>
      </c>
      <c r="O14">
        <v>44.76</v>
      </c>
      <c r="P14">
        <f t="shared" si="4"/>
        <v>31.824999999999999</v>
      </c>
      <c r="Q14">
        <v>1579</v>
      </c>
      <c r="R14">
        <v>3905</v>
      </c>
      <c r="S14">
        <f t="shared" si="5"/>
        <v>2742</v>
      </c>
    </row>
    <row r="15" spans="1:19" x14ac:dyDescent="0.2">
      <c r="A15" s="88">
        <v>44593</v>
      </c>
      <c r="B15">
        <v>84</v>
      </c>
      <c r="C15">
        <v>122</v>
      </c>
      <c r="D15">
        <f t="shared" si="0"/>
        <v>164</v>
      </c>
      <c r="E15">
        <v>2.68</v>
      </c>
      <c r="F15">
        <v>7.24</v>
      </c>
      <c r="G15">
        <f t="shared" si="1"/>
        <v>8.58</v>
      </c>
      <c r="H15">
        <v>21.05</v>
      </c>
      <c r="I15">
        <v>43.59</v>
      </c>
      <c r="J15">
        <f t="shared" si="2"/>
        <v>32.32</v>
      </c>
      <c r="K15">
        <v>37.200000000000003</v>
      </c>
      <c r="L15">
        <v>64.290000000000006</v>
      </c>
      <c r="M15">
        <f t="shared" si="3"/>
        <v>50.745000000000005</v>
      </c>
      <c r="N15">
        <v>19.510000000000002</v>
      </c>
      <c r="O15">
        <v>46.49</v>
      </c>
      <c r="P15">
        <f t="shared" si="4"/>
        <v>33</v>
      </c>
      <c r="Q15">
        <v>1679</v>
      </c>
      <c r="R15">
        <v>4178</v>
      </c>
      <c r="S15">
        <f t="shared" si="5"/>
        <v>2928.5</v>
      </c>
    </row>
    <row r="16" spans="1:19" x14ac:dyDescent="0.2">
      <c r="A16" s="88">
        <v>44621</v>
      </c>
      <c r="B16">
        <v>88</v>
      </c>
      <c r="C16">
        <v>128</v>
      </c>
      <c r="D16">
        <f t="shared" si="0"/>
        <v>172</v>
      </c>
      <c r="E16">
        <v>2.86</v>
      </c>
      <c r="F16">
        <v>7.67</v>
      </c>
      <c r="G16">
        <f t="shared" si="1"/>
        <v>9.1</v>
      </c>
      <c r="H16">
        <v>22.05</v>
      </c>
      <c r="I16">
        <v>46.02</v>
      </c>
      <c r="J16">
        <f t="shared" si="2"/>
        <v>34.035000000000004</v>
      </c>
      <c r="K16">
        <v>39.4</v>
      </c>
      <c r="L16">
        <v>68.12</v>
      </c>
      <c r="M16">
        <f t="shared" si="3"/>
        <v>53.760000000000005</v>
      </c>
      <c r="N16">
        <v>20.13</v>
      </c>
      <c r="O16">
        <v>48.22</v>
      </c>
      <c r="P16">
        <f t="shared" si="4"/>
        <v>34.174999999999997</v>
      </c>
      <c r="Q16">
        <v>1779</v>
      </c>
      <c r="R16">
        <v>4451</v>
      </c>
      <c r="S16">
        <f t="shared" si="5"/>
        <v>3115</v>
      </c>
    </row>
    <row r="17" spans="1:19" x14ac:dyDescent="0.2">
      <c r="A17" s="88">
        <v>44652</v>
      </c>
      <c r="B17">
        <v>92</v>
      </c>
      <c r="C17">
        <v>134</v>
      </c>
      <c r="D17">
        <f t="shared" si="0"/>
        <v>180</v>
      </c>
      <c r="E17">
        <v>3.04</v>
      </c>
      <c r="F17">
        <v>8.1</v>
      </c>
      <c r="G17">
        <f t="shared" si="1"/>
        <v>9.6199999999999992</v>
      </c>
      <c r="H17">
        <v>23.05</v>
      </c>
      <c r="I17">
        <v>48.45</v>
      </c>
      <c r="J17">
        <f t="shared" si="2"/>
        <v>35.75</v>
      </c>
      <c r="K17">
        <v>41.6</v>
      </c>
      <c r="L17">
        <v>71.95</v>
      </c>
      <c r="M17">
        <f t="shared" si="3"/>
        <v>56.775000000000006</v>
      </c>
      <c r="N17">
        <v>20.75</v>
      </c>
      <c r="O17">
        <v>49.95</v>
      </c>
      <c r="P17">
        <f t="shared" si="4"/>
        <v>35.35</v>
      </c>
      <c r="Q17">
        <v>1879</v>
      </c>
      <c r="R17">
        <v>4724</v>
      </c>
      <c r="S17">
        <f t="shared" si="5"/>
        <v>3301.5</v>
      </c>
    </row>
    <row r="18" spans="1:19" x14ac:dyDescent="0.2">
      <c r="A18" s="88">
        <v>44682</v>
      </c>
      <c r="B18">
        <v>96</v>
      </c>
      <c r="C18">
        <v>140</v>
      </c>
      <c r="D18">
        <f t="shared" si="0"/>
        <v>188</v>
      </c>
      <c r="E18">
        <v>3.22</v>
      </c>
      <c r="F18">
        <v>8.5299999999999994</v>
      </c>
      <c r="G18">
        <f t="shared" si="1"/>
        <v>10.139999999999999</v>
      </c>
      <c r="H18">
        <v>24.05</v>
      </c>
      <c r="I18">
        <v>50.88</v>
      </c>
      <c r="J18">
        <f t="shared" si="2"/>
        <v>37.465000000000003</v>
      </c>
      <c r="K18">
        <v>43.8</v>
      </c>
      <c r="L18">
        <v>75.78</v>
      </c>
      <c r="M18">
        <f t="shared" si="3"/>
        <v>59.79</v>
      </c>
      <c r="N18">
        <v>21.37</v>
      </c>
      <c r="O18">
        <v>51.68</v>
      </c>
      <c r="P18">
        <f t="shared" si="4"/>
        <v>36.524999999999999</v>
      </c>
      <c r="Q18">
        <v>1979</v>
      </c>
      <c r="R18">
        <v>4997</v>
      </c>
      <c r="S18">
        <f t="shared" si="5"/>
        <v>3488</v>
      </c>
    </row>
    <row r="19" spans="1:19" x14ac:dyDescent="0.2">
      <c r="A19" s="88">
        <v>44713</v>
      </c>
      <c r="B19">
        <v>100</v>
      </c>
      <c r="C19">
        <v>146</v>
      </c>
      <c r="D19">
        <f t="shared" si="0"/>
        <v>196</v>
      </c>
      <c r="E19">
        <v>3.4</v>
      </c>
      <c r="F19">
        <v>8.9600000000000009</v>
      </c>
      <c r="G19">
        <f t="shared" si="1"/>
        <v>10.66</v>
      </c>
      <c r="H19">
        <v>25.05</v>
      </c>
      <c r="I19">
        <v>53.31</v>
      </c>
      <c r="J19">
        <f t="shared" si="2"/>
        <v>39.18</v>
      </c>
      <c r="K19">
        <v>46</v>
      </c>
      <c r="L19">
        <v>79.61</v>
      </c>
      <c r="M19">
        <f t="shared" si="3"/>
        <v>62.805</v>
      </c>
      <c r="N19">
        <v>21.99</v>
      </c>
      <c r="O19">
        <v>53.41</v>
      </c>
      <c r="P19">
        <f t="shared" si="4"/>
        <v>37.699999999999996</v>
      </c>
      <c r="Q19">
        <v>2079</v>
      </c>
      <c r="R19">
        <v>5270</v>
      </c>
      <c r="S19">
        <f t="shared" si="5"/>
        <v>3674.5</v>
      </c>
    </row>
    <row r="20" spans="1:19" x14ac:dyDescent="0.2">
      <c r="A20" s="88">
        <v>44743</v>
      </c>
      <c r="B20">
        <v>104</v>
      </c>
      <c r="C20">
        <v>152</v>
      </c>
      <c r="D20">
        <f t="shared" si="0"/>
        <v>204</v>
      </c>
      <c r="E20">
        <v>3.58</v>
      </c>
      <c r="F20">
        <v>9.39</v>
      </c>
      <c r="G20">
        <f t="shared" si="1"/>
        <v>11.18</v>
      </c>
      <c r="H20">
        <v>26.05</v>
      </c>
      <c r="I20">
        <v>55.74</v>
      </c>
      <c r="J20">
        <f t="shared" si="2"/>
        <v>40.895000000000003</v>
      </c>
      <c r="K20">
        <v>48.2</v>
      </c>
      <c r="L20">
        <v>83.44</v>
      </c>
      <c r="M20">
        <f t="shared" si="3"/>
        <v>65.819999999999993</v>
      </c>
      <c r="N20">
        <v>22.61</v>
      </c>
      <c r="O20">
        <v>55.14</v>
      </c>
      <c r="P20">
        <f t="shared" si="4"/>
        <v>38.875</v>
      </c>
      <c r="Q20">
        <v>2179</v>
      </c>
      <c r="R20">
        <v>5543</v>
      </c>
      <c r="S20">
        <f t="shared" si="5"/>
        <v>3861</v>
      </c>
    </row>
    <row r="21" spans="1:19" x14ac:dyDescent="0.2">
      <c r="A21" s="88">
        <v>44774</v>
      </c>
      <c r="B21">
        <v>108</v>
      </c>
      <c r="C21">
        <v>158</v>
      </c>
      <c r="D21">
        <f t="shared" si="0"/>
        <v>212</v>
      </c>
      <c r="E21">
        <v>3.76</v>
      </c>
      <c r="F21">
        <v>9.82</v>
      </c>
      <c r="G21">
        <f t="shared" si="1"/>
        <v>11.7</v>
      </c>
      <c r="H21">
        <v>27.05</v>
      </c>
      <c r="I21">
        <v>58.17</v>
      </c>
      <c r="J21">
        <f t="shared" si="2"/>
        <v>42.61</v>
      </c>
      <c r="K21">
        <v>50.4</v>
      </c>
      <c r="L21">
        <v>87.27</v>
      </c>
      <c r="M21">
        <f t="shared" si="3"/>
        <v>68.834999999999994</v>
      </c>
      <c r="N21">
        <v>23.23</v>
      </c>
      <c r="O21">
        <v>56.87</v>
      </c>
      <c r="P21">
        <f t="shared" si="4"/>
        <v>40.049999999999997</v>
      </c>
      <c r="Q21">
        <v>2279</v>
      </c>
      <c r="R21">
        <v>5816</v>
      </c>
      <c r="S21">
        <f t="shared" si="5"/>
        <v>4047.5</v>
      </c>
    </row>
    <row r="22" spans="1:19" x14ac:dyDescent="0.2">
      <c r="A22" s="88">
        <v>44805</v>
      </c>
      <c r="B22">
        <v>112</v>
      </c>
      <c r="C22">
        <v>164</v>
      </c>
      <c r="D22">
        <f t="shared" si="0"/>
        <v>220</v>
      </c>
      <c r="E22">
        <v>3.94</v>
      </c>
      <c r="F22">
        <v>10.25</v>
      </c>
      <c r="G22">
        <f t="shared" si="1"/>
        <v>12.22</v>
      </c>
      <c r="H22">
        <v>28.05</v>
      </c>
      <c r="I22">
        <v>60.6</v>
      </c>
      <c r="J22">
        <f t="shared" si="2"/>
        <v>44.325000000000003</v>
      </c>
      <c r="K22">
        <v>52.6</v>
      </c>
      <c r="L22">
        <v>91.1</v>
      </c>
      <c r="M22">
        <f t="shared" si="3"/>
        <v>71.849999999999994</v>
      </c>
      <c r="N22">
        <v>23.85</v>
      </c>
      <c r="O22">
        <v>58.6</v>
      </c>
      <c r="P22">
        <f t="shared" si="4"/>
        <v>41.225000000000001</v>
      </c>
      <c r="Q22">
        <v>2379</v>
      </c>
      <c r="R22">
        <v>6089</v>
      </c>
      <c r="S22">
        <f t="shared" si="5"/>
        <v>4234</v>
      </c>
    </row>
    <row r="23" spans="1:19" x14ac:dyDescent="0.2">
      <c r="A23" s="88">
        <v>44835</v>
      </c>
      <c r="B23">
        <v>116</v>
      </c>
      <c r="C23">
        <v>170</v>
      </c>
      <c r="D23">
        <f t="shared" si="0"/>
        <v>228</v>
      </c>
      <c r="E23">
        <v>4.12</v>
      </c>
      <c r="F23">
        <v>10.68</v>
      </c>
      <c r="G23">
        <f t="shared" si="1"/>
        <v>12.74</v>
      </c>
      <c r="H23">
        <v>29.05</v>
      </c>
      <c r="I23">
        <v>63.03</v>
      </c>
      <c r="J23">
        <f t="shared" si="2"/>
        <v>46.04</v>
      </c>
      <c r="K23">
        <v>54.8</v>
      </c>
      <c r="L23">
        <v>94.93</v>
      </c>
      <c r="M23">
        <f t="shared" si="3"/>
        <v>74.865000000000009</v>
      </c>
      <c r="N23">
        <v>24.47</v>
      </c>
      <c r="O23">
        <v>60.33</v>
      </c>
      <c r="P23">
        <f t="shared" si="4"/>
        <v>42.4</v>
      </c>
      <c r="Q23">
        <v>2479</v>
      </c>
      <c r="R23">
        <v>6362</v>
      </c>
      <c r="S23">
        <f t="shared" si="5"/>
        <v>4420.5</v>
      </c>
    </row>
    <row r="24" spans="1:19" x14ac:dyDescent="0.2">
      <c r="A24" s="88">
        <v>44866</v>
      </c>
      <c r="B24">
        <v>120</v>
      </c>
      <c r="C24">
        <v>176</v>
      </c>
      <c r="D24">
        <f t="shared" si="0"/>
        <v>236</v>
      </c>
      <c r="E24">
        <v>4.3</v>
      </c>
      <c r="F24">
        <v>11.11</v>
      </c>
      <c r="G24">
        <f t="shared" si="1"/>
        <v>13.26</v>
      </c>
      <c r="H24">
        <v>30.05</v>
      </c>
      <c r="I24">
        <v>65.459999999999994</v>
      </c>
      <c r="J24">
        <f t="shared" si="2"/>
        <v>47.754999999999995</v>
      </c>
      <c r="K24">
        <v>57</v>
      </c>
      <c r="L24">
        <v>98.76</v>
      </c>
      <c r="M24">
        <f t="shared" si="3"/>
        <v>77.88</v>
      </c>
      <c r="N24">
        <v>25.09</v>
      </c>
      <c r="O24">
        <v>62.06</v>
      </c>
      <c r="P24">
        <f t="shared" si="4"/>
        <v>43.575000000000003</v>
      </c>
      <c r="Q24">
        <v>2579</v>
      </c>
      <c r="R24">
        <v>6635</v>
      </c>
      <c r="S24">
        <f t="shared" si="5"/>
        <v>4607</v>
      </c>
    </row>
    <row r="25" spans="1:19" x14ac:dyDescent="0.2">
      <c r="A25" s="88">
        <v>44896</v>
      </c>
      <c r="B25">
        <v>124</v>
      </c>
      <c r="C25">
        <v>182</v>
      </c>
      <c r="D25">
        <f t="shared" si="0"/>
        <v>244</v>
      </c>
      <c r="E25">
        <v>4.4800000000000004</v>
      </c>
      <c r="F25">
        <v>11.54</v>
      </c>
      <c r="G25">
        <f t="shared" si="1"/>
        <v>13.78</v>
      </c>
      <c r="H25">
        <v>31.05</v>
      </c>
      <c r="I25">
        <v>67.89</v>
      </c>
      <c r="J25">
        <f t="shared" si="2"/>
        <v>49.47</v>
      </c>
      <c r="K25">
        <v>59.2</v>
      </c>
      <c r="L25">
        <v>102.59</v>
      </c>
      <c r="M25">
        <f t="shared" si="3"/>
        <v>80.89500000000001</v>
      </c>
      <c r="N25">
        <v>25.71</v>
      </c>
      <c r="O25">
        <v>63.79</v>
      </c>
      <c r="P25">
        <f t="shared" si="4"/>
        <v>44.75</v>
      </c>
      <c r="Q25">
        <v>2679</v>
      </c>
      <c r="R25">
        <v>6908</v>
      </c>
      <c r="S25">
        <f t="shared" si="5"/>
        <v>4793.5</v>
      </c>
    </row>
    <row r="26" spans="1:19" x14ac:dyDescent="0.2">
      <c r="A26" s="88">
        <v>44927</v>
      </c>
      <c r="B26">
        <v>128</v>
      </c>
      <c r="C26">
        <v>188</v>
      </c>
      <c r="D26">
        <f t="shared" si="0"/>
        <v>252</v>
      </c>
      <c r="E26">
        <v>4.66</v>
      </c>
      <c r="F26">
        <v>11.97</v>
      </c>
      <c r="G26">
        <f t="shared" si="1"/>
        <v>14.3</v>
      </c>
      <c r="H26">
        <v>32.049999999999997</v>
      </c>
      <c r="I26">
        <v>70.319999999999993</v>
      </c>
      <c r="J26">
        <f t="shared" si="2"/>
        <v>51.184999999999995</v>
      </c>
      <c r="K26">
        <v>61.4</v>
      </c>
      <c r="L26">
        <v>106.42</v>
      </c>
      <c r="M26">
        <f t="shared" si="3"/>
        <v>83.91</v>
      </c>
      <c r="N26">
        <v>26.33</v>
      </c>
      <c r="O26">
        <v>65.52</v>
      </c>
      <c r="P26">
        <f t="shared" si="4"/>
        <v>45.924999999999997</v>
      </c>
      <c r="Q26">
        <v>2779</v>
      </c>
      <c r="R26">
        <v>7181</v>
      </c>
      <c r="S26">
        <f t="shared" si="5"/>
        <v>4980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7EAB-5B8C-412E-89FB-2FD1AAF11B5B}">
  <dimension ref="A1:P60"/>
  <sheetViews>
    <sheetView tabSelected="1" workbookViewId="0">
      <pane xSplit="3" ySplit="1" topLeftCell="G2" activePane="bottomRight" state="frozen"/>
      <selection activeCell="B1" sqref="B1"/>
      <selection pane="topRight" activeCell="D1" sqref="D1"/>
      <selection pane="bottomLeft" activeCell="B2" sqref="B2"/>
      <selection pane="bottomRight" activeCell="P10" sqref="P10"/>
    </sheetView>
  </sheetViews>
  <sheetFormatPr defaultRowHeight="14.25" x14ac:dyDescent="0.2"/>
  <cols>
    <col min="1" max="1" width="9" customWidth="1"/>
    <col min="2" max="3" width="13.75" bestFit="1" customWidth="1"/>
    <col min="4" max="4" width="19.875" style="2" bestFit="1" customWidth="1"/>
    <col min="5" max="6" width="19.875" style="2" customWidth="1"/>
    <col min="7" max="7" width="19.875" style="2" bestFit="1" customWidth="1"/>
    <col min="8" max="8" width="19.875" style="2" customWidth="1"/>
    <col min="9" max="10" width="17.375" style="2" bestFit="1" customWidth="1"/>
    <col min="11" max="11" width="12.625" style="2" customWidth="1"/>
    <col min="12" max="12" width="19.875" style="1" customWidth="1"/>
    <col min="13" max="13" width="7.5" style="1" bestFit="1" customWidth="1"/>
    <col min="14" max="14" width="11" style="89" bestFit="1" customWidth="1"/>
    <col min="15" max="15" width="11.5" style="1" bestFit="1" customWidth="1"/>
    <col min="16" max="16" width="29.75" bestFit="1" customWidth="1"/>
  </cols>
  <sheetData>
    <row r="1" spans="1:16" x14ac:dyDescent="0.2">
      <c r="A1" t="s">
        <v>2207</v>
      </c>
      <c r="B1" t="s">
        <v>1993</v>
      </c>
      <c r="C1" t="s">
        <v>2363</v>
      </c>
      <c r="D1" s="2" t="s">
        <v>2322</v>
      </c>
      <c r="E1" s="2" t="s">
        <v>2383</v>
      </c>
      <c r="F1" s="2" t="s">
        <v>2319</v>
      </c>
      <c r="G1" s="2" t="s">
        <v>2318</v>
      </c>
      <c r="H1" s="2" t="s">
        <v>2313</v>
      </c>
      <c r="I1" s="2" t="s">
        <v>2314</v>
      </c>
      <c r="J1" s="2" t="s">
        <v>2315</v>
      </c>
      <c r="K1" s="2" t="s">
        <v>2317</v>
      </c>
      <c r="L1" s="1" t="s">
        <v>2320</v>
      </c>
      <c r="M1" s="1" t="s">
        <v>2416</v>
      </c>
      <c r="N1" s="89" t="s">
        <v>2417</v>
      </c>
      <c r="O1" s="1" t="s">
        <v>2336</v>
      </c>
      <c r="P1" t="s">
        <v>2316</v>
      </c>
    </row>
    <row r="2" spans="1:16" x14ac:dyDescent="0.2">
      <c r="A2" s="70" t="s">
        <v>850</v>
      </c>
      <c r="B2" s="70" t="s">
        <v>2435</v>
      </c>
      <c r="C2" s="70" t="s">
        <v>2436</v>
      </c>
      <c r="D2" s="109">
        <v>225101200</v>
      </c>
      <c r="E2" s="109">
        <v>23212821</v>
      </c>
      <c r="F2" s="109">
        <v>5.83</v>
      </c>
      <c r="G2" s="109">
        <f t="shared" ref="G2:G25" si="0">(J2*K2)/D2</f>
        <v>1428.0576913850305</v>
      </c>
      <c r="H2" s="109">
        <f t="shared" ref="H2:H33" si="1">F2*D2</f>
        <v>1312339996</v>
      </c>
      <c r="I2" s="109">
        <v>96000000</v>
      </c>
      <c r="J2" s="109">
        <v>2826000000</v>
      </c>
      <c r="K2" s="98">
        <f t="shared" ref="K2:K49" si="2">((J2/I2)*4)-4</f>
        <v>113.75</v>
      </c>
      <c r="L2" s="85">
        <f t="shared" ref="L2:L33" si="3">(G2/F2)-1</f>
        <v>243.94986130103439</v>
      </c>
      <c r="M2" s="85">
        <v>0.2</v>
      </c>
      <c r="N2" s="110">
        <v>8000</v>
      </c>
      <c r="O2" s="85">
        <f t="shared" ref="O2:O33" si="4">(1+N2)*(1+M2)*(1+L2)</f>
        <v>2351812.6083234912</v>
      </c>
      <c r="P2" s="70" t="s">
        <v>1861</v>
      </c>
    </row>
    <row r="3" spans="1:16" x14ac:dyDescent="0.2">
      <c r="A3" s="70" t="s">
        <v>893</v>
      </c>
      <c r="B3" s="70" t="s">
        <v>2403</v>
      </c>
      <c r="C3" s="70" t="s">
        <v>2404</v>
      </c>
      <c r="D3" s="109">
        <v>18000000</v>
      </c>
      <c r="E3" s="109">
        <v>955096</v>
      </c>
      <c r="F3" s="109">
        <v>80.25</v>
      </c>
      <c r="G3" s="109">
        <f t="shared" si="0"/>
        <v>302.4491157824491</v>
      </c>
      <c r="H3" s="109">
        <f t="shared" si="1"/>
        <v>1444500000</v>
      </c>
      <c r="I3" s="109">
        <v>333000000</v>
      </c>
      <c r="J3" s="109">
        <v>860000000</v>
      </c>
      <c r="K3" s="98">
        <f t="shared" si="2"/>
        <v>6.3303303303303302</v>
      </c>
      <c r="L3" s="85">
        <f t="shared" si="3"/>
        <v>2.7688363337376836</v>
      </c>
      <c r="M3" s="85">
        <v>0.9</v>
      </c>
      <c r="N3" s="110">
        <v>860</v>
      </c>
      <c r="O3" s="85">
        <f t="shared" si="4"/>
        <v>6165.4393583614765</v>
      </c>
      <c r="P3" s="70" t="s">
        <v>1861</v>
      </c>
    </row>
    <row r="4" spans="1:16" x14ac:dyDescent="0.2">
      <c r="A4" s="30" t="s">
        <v>64</v>
      </c>
      <c r="B4" t="s">
        <v>2418</v>
      </c>
      <c r="C4" t="s">
        <v>2351</v>
      </c>
      <c r="D4" s="2">
        <v>80000</v>
      </c>
      <c r="F4" s="2">
        <v>2000</v>
      </c>
      <c r="G4" s="2">
        <f t="shared" si="0"/>
        <v>186536.84210526315</v>
      </c>
      <c r="H4" s="2">
        <f t="shared" si="1"/>
        <v>160000000</v>
      </c>
      <c r="I4" s="2">
        <v>38000000</v>
      </c>
      <c r="J4" s="2">
        <v>396000000</v>
      </c>
      <c r="K4" s="98">
        <f t="shared" si="2"/>
        <v>37.684210526315788</v>
      </c>
      <c r="L4" s="1">
        <f t="shared" si="3"/>
        <v>92.268421052631567</v>
      </c>
      <c r="M4" s="98">
        <v>0.2</v>
      </c>
      <c r="N4" s="89">
        <v>1.06</v>
      </c>
      <c r="O4" s="85">
        <f t="shared" si="4"/>
        <v>230.55953684210522</v>
      </c>
    </row>
    <row r="5" spans="1:16" s="10" customFormat="1" x14ac:dyDescent="0.2">
      <c r="A5" s="5" t="s">
        <v>64</v>
      </c>
      <c r="B5" s="30" t="s">
        <v>2398</v>
      </c>
      <c r="C5" s="30" t="s">
        <v>2355</v>
      </c>
      <c r="D5" s="97">
        <v>30000000</v>
      </c>
      <c r="E5" s="97">
        <v>30000000</v>
      </c>
      <c r="F5" s="97">
        <v>62</v>
      </c>
      <c r="G5" s="97">
        <f t="shared" si="0"/>
        <v>17752.930841121495</v>
      </c>
      <c r="H5" s="97">
        <f t="shared" si="1"/>
        <v>1860000000</v>
      </c>
      <c r="I5" s="97">
        <v>428000000</v>
      </c>
      <c r="J5" s="97">
        <v>7766000000</v>
      </c>
      <c r="K5" s="98">
        <f t="shared" si="2"/>
        <v>68.579439252336442</v>
      </c>
      <c r="L5" s="98">
        <f t="shared" si="3"/>
        <v>285.337594211637</v>
      </c>
      <c r="M5" s="98">
        <v>0.2</v>
      </c>
      <c r="N5" s="99">
        <v>0.77</v>
      </c>
      <c r="O5" s="85">
        <f t="shared" si="4"/>
        <v>608.18105010551699</v>
      </c>
      <c r="P5" s="30" t="s">
        <v>2401</v>
      </c>
    </row>
    <row r="6" spans="1:16" s="30" customFormat="1" x14ac:dyDescent="0.2">
      <c r="A6" s="70" t="s">
        <v>64</v>
      </c>
      <c r="B6" s="70" t="s">
        <v>2347</v>
      </c>
      <c r="C6" s="70" t="s">
        <v>2350</v>
      </c>
      <c r="D6" s="109">
        <v>1000000</v>
      </c>
      <c r="E6" s="109">
        <v>255095</v>
      </c>
      <c r="F6" s="109">
        <v>250</v>
      </c>
      <c r="G6" s="109">
        <f t="shared" si="0"/>
        <v>11653.333333333334</v>
      </c>
      <c r="H6" s="109">
        <f t="shared" si="1"/>
        <v>250000000</v>
      </c>
      <c r="I6" s="109">
        <v>57000000</v>
      </c>
      <c r="J6" s="109">
        <v>437000000</v>
      </c>
      <c r="K6" s="98">
        <f t="shared" si="2"/>
        <v>26.666666666666668</v>
      </c>
      <c r="L6" s="85">
        <f t="shared" si="3"/>
        <v>45.613333333333337</v>
      </c>
      <c r="M6" s="85">
        <v>0.73</v>
      </c>
      <c r="N6" s="110">
        <v>8</v>
      </c>
      <c r="O6" s="85">
        <f t="shared" si="4"/>
        <v>725.76960000000008</v>
      </c>
      <c r="P6" s="70" t="s">
        <v>1861</v>
      </c>
    </row>
    <row r="7" spans="1:16" s="30" customFormat="1" x14ac:dyDescent="0.2">
      <c r="A7" s="30" t="s">
        <v>64</v>
      </c>
      <c r="B7" s="30" t="s">
        <v>2379</v>
      </c>
      <c r="C7" s="30" t="s">
        <v>2345</v>
      </c>
      <c r="D7" s="97">
        <v>80000</v>
      </c>
      <c r="E7" s="97">
        <v>29880</v>
      </c>
      <c r="F7" s="97">
        <v>4000</v>
      </c>
      <c r="G7" s="97">
        <f t="shared" si="0"/>
        <v>219565.51724137928</v>
      </c>
      <c r="H7" s="97">
        <f t="shared" si="1"/>
        <v>320000000</v>
      </c>
      <c r="I7" s="97">
        <v>261000000</v>
      </c>
      <c r="J7" s="97">
        <v>1209000000</v>
      </c>
      <c r="K7" s="98">
        <f t="shared" si="2"/>
        <v>14.528735632183906</v>
      </c>
      <c r="L7" s="98">
        <f t="shared" si="3"/>
        <v>53.891379310344817</v>
      </c>
      <c r="M7" s="98">
        <v>0.2</v>
      </c>
      <c r="N7" s="99">
        <v>4.2</v>
      </c>
      <c r="O7" s="85">
        <f t="shared" si="4"/>
        <v>342.52220689655167</v>
      </c>
      <c r="P7" s="30" t="s">
        <v>2400</v>
      </c>
    </row>
    <row r="8" spans="1:16" x14ac:dyDescent="0.2">
      <c r="A8" s="70" t="s">
        <v>850</v>
      </c>
      <c r="B8" s="70" t="s">
        <v>2430</v>
      </c>
      <c r="C8" s="70" t="s">
        <v>2431</v>
      </c>
      <c r="D8" s="109">
        <v>10000000</v>
      </c>
      <c r="E8" s="109">
        <v>1006699</v>
      </c>
      <c r="F8" s="109">
        <v>102</v>
      </c>
      <c r="G8" s="109">
        <f t="shared" si="0"/>
        <v>333.55320334261842</v>
      </c>
      <c r="H8" s="109">
        <f t="shared" si="1"/>
        <v>1020000000</v>
      </c>
      <c r="I8" s="109">
        <v>718000000</v>
      </c>
      <c r="J8" s="109">
        <v>1212000000</v>
      </c>
      <c r="K8" s="98">
        <f t="shared" si="2"/>
        <v>2.7520891364902509</v>
      </c>
      <c r="L8" s="85">
        <f t="shared" si="3"/>
        <v>2.2701294445354745</v>
      </c>
      <c r="M8" s="85">
        <v>0.2</v>
      </c>
      <c r="N8" s="110">
        <v>66</v>
      </c>
      <c r="O8" s="85">
        <f t="shared" si="4"/>
        <v>262.9184073406521</v>
      </c>
      <c r="P8" s="70" t="s">
        <v>1861</v>
      </c>
    </row>
    <row r="9" spans="1:16" x14ac:dyDescent="0.2">
      <c r="A9" s="70" t="s">
        <v>850</v>
      </c>
      <c r="B9" s="70" t="s">
        <v>2364</v>
      </c>
      <c r="C9" s="70" t="s">
        <v>2321</v>
      </c>
      <c r="D9" s="109">
        <v>10000000</v>
      </c>
      <c r="E9" s="109"/>
      <c r="F9" s="109">
        <v>35</v>
      </c>
      <c r="G9" s="109">
        <f t="shared" si="0"/>
        <v>2104.0686652425143</v>
      </c>
      <c r="H9" s="109">
        <f t="shared" si="1"/>
        <v>350000000</v>
      </c>
      <c r="I9" s="109">
        <v>22844000</v>
      </c>
      <c r="J9" s="109">
        <v>358256000</v>
      </c>
      <c r="K9" s="98">
        <f t="shared" si="2"/>
        <v>58.730870250393977</v>
      </c>
      <c r="L9" s="85">
        <f t="shared" si="3"/>
        <v>59.116247578357552</v>
      </c>
      <c r="M9" s="85">
        <v>0</v>
      </c>
      <c r="N9" s="110">
        <v>2</v>
      </c>
      <c r="O9" s="85">
        <f t="shared" si="4"/>
        <v>180.34874273507265</v>
      </c>
      <c r="P9" s="70" t="s">
        <v>1861</v>
      </c>
    </row>
    <row r="10" spans="1:16" s="30" customFormat="1" x14ac:dyDescent="0.2">
      <c r="A10" s="30" t="s">
        <v>850</v>
      </c>
      <c r="B10" t="s">
        <v>2406</v>
      </c>
      <c r="C10" t="s">
        <v>2334</v>
      </c>
      <c r="D10" s="2">
        <v>52000</v>
      </c>
      <c r="E10" s="2">
        <v>52000</v>
      </c>
      <c r="F10" s="2">
        <v>307</v>
      </c>
      <c r="G10" s="2">
        <f t="shared" si="0"/>
        <v>9601.1923286992715</v>
      </c>
      <c r="H10" s="2">
        <f t="shared" si="1"/>
        <v>15964000</v>
      </c>
      <c r="I10" s="2">
        <v>34787000</v>
      </c>
      <c r="J10" s="2">
        <v>85544000</v>
      </c>
      <c r="K10" s="98">
        <f t="shared" si="2"/>
        <v>5.83631816483169</v>
      </c>
      <c r="L10" s="1">
        <f t="shared" si="3"/>
        <v>30.274242113026943</v>
      </c>
      <c r="M10" s="98">
        <v>0</v>
      </c>
      <c r="N10" s="89">
        <v>0</v>
      </c>
      <c r="O10" s="85">
        <f t="shared" si="4"/>
        <v>31.274242113026943</v>
      </c>
      <c r="P10"/>
    </row>
    <row r="11" spans="1:16" x14ac:dyDescent="0.2">
      <c r="A11" s="30" t="s">
        <v>64</v>
      </c>
      <c r="B11" s="30" t="s">
        <v>2067</v>
      </c>
      <c r="C11" s="30" t="s">
        <v>2037</v>
      </c>
      <c r="D11" s="97">
        <v>170532785</v>
      </c>
      <c r="E11" s="97"/>
      <c r="F11" s="97">
        <v>450</v>
      </c>
      <c r="G11" s="97">
        <f t="shared" si="0"/>
        <v>40518.588940826739</v>
      </c>
      <c r="H11" s="97">
        <f t="shared" si="1"/>
        <v>76739753250</v>
      </c>
      <c r="I11" s="97">
        <v>893000000</v>
      </c>
      <c r="J11" s="97">
        <v>39725000000</v>
      </c>
      <c r="K11" s="98">
        <f t="shared" si="2"/>
        <v>173.93952967525195</v>
      </c>
      <c r="L11" s="98">
        <f t="shared" si="3"/>
        <v>89.041308757392756</v>
      </c>
      <c r="M11" s="98">
        <v>0.2</v>
      </c>
      <c r="N11" s="99">
        <v>9.1999999999999993</v>
      </c>
      <c r="O11" s="85">
        <f t="shared" si="4"/>
        <v>1102.1056191904872</v>
      </c>
    </row>
    <row r="12" spans="1:16" s="30" customFormat="1" x14ac:dyDescent="0.2">
      <c r="A12" s="5" t="s">
        <v>850</v>
      </c>
      <c r="B12" t="s">
        <v>2348</v>
      </c>
      <c r="C12" t="s">
        <v>2390</v>
      </c>
      <c r="D12" s="2">
        <v>800000000</v>
      </c>
      <c r="E12" s="2"/>
      <c r="F12" s="2">
        <v>0.63</v>
      </c>
      <c r="G12" s="2">
        <f t="shared" si="0"/>
        <v>6.03852107786728</v>
      </c>
      <c r="H12" s="2">
        <f t="shared" si="1"/>
        <v>504000000</v>
      </c>
      <c r="I12" s="2">
        <v>2607000</v>
      </c>
      <c r="J12" s="2">
        <v>57430000</v>
      </c>
      <c r="K12" s="98">
        <f t="shared" si="2"/>
        <v>84.11660912926736</v>
      </c>
      <c r="L12" s="1">
        <f t="shared" si="3"/>
        <v>8.5849540918528255</v>
      </c>
      <c r="M12" s="98">
        <v>0</v>
      </c>
      <c r="N12" s="89">
        <v>0</v>
      </c>
      <c r="O12" s="85">
        <f t="shared" si="4"/>
        <v>9.5849540918528255</v>
      </c>
      <c r="P12"/>
    </row>
    <row r="13" spans="1:16" s="30" customFormat="1" x14ac:dyDescent="0.2">
      <c r="A13" s="5" t="s">
        <v>850</v>
      </c>
      <c r="B13" s="30" t="s">
        <v>2374</v>
      </c>
      <c r="C13" s="30" t="s">
        <v>2039</v>
      </c>
      <c r="D13" s="97">
        <v>16000000</v>
      </c>
      <c r="E13" s="97"/>
      <c r="F13" s="97">
        <v>400</v>
      </c>
      <c r="G13" s="97">
        <f t="shared" si="0"/>
        <v>1579.0317385444744</v>
      </c>
      <c r="H13" s="97">
        <f t="shared" si="1"/>
        <v>6400000000</v>
      </c>
      <c r="I13" s="97">
        <v>3710000000</v>
      </c>
      <c r="J13" s="97">
        <v>7039000000</v>
      </c>
      <c r="K13" s="98">
        <f t="shared" si="2"/>
        <v>3.5892183288409703</v>
      </c>
      <c r="L13" s="98">
        <f t="shared" si="3"/>
        <v>2.9475793463611861</v>
      </c>
      <c r="M13" s="98">
        <v>0</v>
      </c>
      <c r="N13" s="99">
        <v>7.0000000000000007E-2</v>
      </c>
      <c r="O13" s="85">
        <f t="shared" si="4"/>
        <v>4.2239099006064693</v>
      </c>
    </row>
    <row r="14" spans="1:16" x14ac:dyDescent="0.2">
      <c r="A14" s="30" t="s">
        <v>850</v>
      </c>
      <c r="C14" t="s">
        <v>2332</v>
      </c>
      <c r="D14" s="2">
        <v>501442</v>
      </c>
      <c r="F14" s="2">
        <v>312</v>
      </c>
      <c r="G14" s="2">
        <f t="shared" si="0"/>
        <v>1193.6774342795381</v>
      </c>
      <c r="H14" s="2">
        <f t="shared" si="1"/>
        <v>156449904</v>
      </c>
      <c r="I14" s="2">
        <v>400000000</v>
      </c>
      <c r="J14" s="2">
        <v>516000000</v>
      </c>
      <c r="K14" s="98">
        <f t="shared" si="2"/>
        <v>1.1600000000000001</v>
      </c>
      <c r="L14" s="1">
        <f t="shared" si="3"/>
        <v>2.8258892124344173</v>
      </c>
      <c r="M14" s="98">
        <v>0</v>
      </c>
      <c r="N14" s="89">
        <v>0</v>
      </c>
      <c r="O14" s="85">
        <f t="shared" si="4"/>
        <v>3.8258892124344173</v>
      </c>
    </row>
    <row r="15" spans="1:16" s="100" customFormat="1" x14ac:dyDescent="0.2">
      <c r="A15" s="5" t="s">
        <v>850</v>
      </c>
      <c r="B15"/>
      <c r="C15" t="s">
        <v>2335</v>
      </c>
      <c r="D15" s="2">
        <v>10000</v>
      </c>
      <c r="E15" s="2"/>
      <c r="F15" s="2">
        <v>5418</v>
      </c>
      <c r="G15" s="2">
        <f t="shared" si="0"/>
        <v>12266.644486153846</v>
      </c>
      <c r="H15" s="2">
        <f t="shared" si="1"/>
        <v>54180000</v>
      </c>
      <c r="I15" s="2">
        <v>65000000</v>
      </c>
      <c r="J15" s="2">
        <v>87723000</v>
      </c>
      <c r="K15" s="98">
        <f t="shared" si="2"/>
        <v>1.3983384615384615</v>
      </c>
      <c r="L15" s="1">
        <f t="shared" si="3"/>
        <v>1.2640539841553795</v>
      </c>
      <c r="M15" s="98">
        <v>0</v>
      </c>
      <c r="N15" s="89">
        <v>0</v>
      </c>
      <c r="O15" s="85">
        <f t="shared" si="4"/>
        <v>2.2640539841553795</v>
      </c>
      <c r="P15"/>
    </row>
    <row r="16" spans="1:16" x14ac:dyDescent="0.2">
      <c r="A16" s="70" t="s">
        <v>64</v>
      </c>
      <c r="B16" s="70" t="s">
        <v>2380</v>
      </c>
      <c r="C16" s="70" t="s">
        <v>2344</v>
      </c>
      <c r="D16" s="109">
        <v>3000000000</v>
      </c>
      <c r="E16" s="109">
        <v>212000000</v>
      </c>
      <c r="F16" s="109">
        <v>12</v>
      </c>
      <c r="G16" s="109">
        <f t="shared" si="0"/>
        <v>7.3260505860579901</v>
      </c>
      <c r="H16" s="109">
        <f t="shared" si="1"/>
        <v>36000000000</v>
      </c>
      <c r="I16" s="109">
        <v>1621000000</v>
      </c>
      <c r="J16" s="109">
        <v>3903000000</v>
      </c>
      <c r="K16" s="85">
        <f t="shared" si="2"/>
        <v>5.6310919185687851</v>
      </c>
      <c r="L16" s="85">
        <f t="shared" si="3"/>
        <v>-0.38949578449516753</v>
      </c>
      <c r="M16" s="85">
        <v>0.21</v>
      </c>
      <c r="N16" s="110">
        <v>1.91</v>
      </c>
      <c r="O16" s="85">
        <f t="shared" si="4"/>
        <v>2.1496463932140655</v>
      </c>
      <c r="P16" s="70"/>
    </row>
    <row r="17" spans="1:16" x14ac:dyDescent="0.2">
      <c r="A17" s="30" t="s">
        <v>850</v>
      </c>
      <c r="C17" t="s">
        <v>2333</v>
      </c>
      <c r="D17" s="2">
        <v>13000000</v>
      </c>
      <c r="F17" s="2">
        <v>17.239999999999998</v>
      </c>
      <c r="G17" s="2">
        <f t="shared" si="0"/>
        <v>30.632478632478627</v>
      </c>
      <c r="H17" s="2">
        <f t="shared" si="1"/>
        <v>224119999.99999997</v>
      </c>
      <c r="I17" s="2">
        <v>72000000</v>
      </c>
      <c r="J17" s="2">
        <v>128000000</v>
      </c>
      <c r="K17" s="98">
        <f t="shared" si="2"/>
        <v>3.1111111111111107</v>
      </c>
      <c r="L17" s="1">
        <f t="shared" si="3"/>
        <v>0.77682590675630103</v>
      </c>
      <c r="M17" s="98">
        <v>0</v>
      </c>
      <c r="N17" s="89">
        <v>0</v>
      </c>
      <c r="O17" s="85">
        <f t="shared" si="4"/>
        <v>1.776825906756301</v>
      </c>
    </row>
    <row r="18" spans="1:16" x14ac:dyDescent="0.2">
      <c r="A18" s="5" t="s">
        <v>850</v>
      </c>
      <c r="C18" t="s">
        <v>1995</v>
      </c>
      <c r="D18" s="2">
        <v>3303030299</v>
      </c>
      <c r="F18" s="2">
        <v>3.06</v>
      </c>
      <c r="G18" s="2">
        <f t="shared" si="0"/>
        <v>5.228201014581134</v>
      </c>
      <c r="H18" s="2">
        <f t="shared" si="1"/>
        <v>10107272714.940001</v>
      </c>
      <c r="I18" s="2">
        <v>2264000000</v>
      </c>
      <c r="J18" s="2">
        <v>4457000000</v>
      </c>
      <c r="K18" s="98">
        <f t="shared" si="2"/>
        <v>3.8745583038869258</v>
      </c>
      <c r="L18" s="1">
        <f t="shared" si="3"/>
        <v>0.70856242306572992</v>
      </c>
      <c r="M18" s="98">
        <v>0</v>
      </c>
      <c r="N18" s="89">
        <v>0</v>
      </c>
      <c r="O18" s="85">
        <f t="shared" si="4"/>
        <v>1.7085624230657299</v>
      </c>
    </row>
    <row r="19" spans="1:16" x14ac:dyDescent="0.2">
      <c r="A19" s="30" t="s">
        <v>850</v>
      </c>
      <c r="B19" s="30" t="s">
        <v>2371</v>
      </c>
      <c r="C19" s="30" t="s">
        <v>2013</v>
      </c>
      <c r="D19" s="97">
        <v>1005577</v>
      </c>
      <c r="E19" s="97"/>
      <c r="F19" s="97">
        <v>2242</v>
      </c>
      <c r="G19" s="97">
        <f t="shared" si="0"/>
        <v>3247.5406397650722</v>
      </c>
      <c r="H19" s="97">
        <f t="shared" si="1"/>
        <v>2254503634</v>
      </c>
      <c r="I19" s="97">
        <v>5750000000</v>
      </c>
      <c r="J19" s="97">
        <v>6475000000</v>
      </c>
      <c r="K19" s="98">
        <f t="shared" si="2"/>
        <v>0.50434782608695627</v>
      </c>
      <c r="L19" s="98">
        <f t="shared" si="3"/>
        <v>0.4485016234456165</v>
      </c>
      <c r="M19" s="98">
        <v>0</v>
      </c>
      <c r="N19" s="99">
        <v>0</v>
      </c>
      <c r="O19" s="85">
        <f t="shared" si="4"/>
        <v>1.4485016234456165</v>
      </c>
      <c r="P19" s="30"/>
    </row>
    <row r="20" spans="1:16" s="30" customFormat="1" x14ac:dyDescent="0.2">
      <c r="A20" s="5" t="s">
        <v>850</v>
      </c>
      <c r="B20"/>
      <c r="C20" t="s">
        <v>2167</v>
      </c>
      <c r="D20" s="2">
        <v>6673468</v>
      </c>
      <c r="E20" s="2"/>
      <c r="F20" s="2">
        <v>73</v>
      </c>
      <c r="G20" s="2">
        <f t="shared" si="0"/>
        <v>102.91175819276467</v>
      </c>
      <c r="H20" s="2">
        <f t="shared" si="1"/>
        <v>487163164</v>
      </c>
      <c r="I20" s="2">
        <v>203000000</v>
      </c>
      <c r="J20" s="2">
        <v>314000000</v>
      </c>
      <c r="K20" s="98">
        <f t="shared" si="2"/>
        <v>2.1871921182266014</v>
      </c>
      <c r="L20" s="1">
        <f t="shared" si="3"/>
        <v>0.40975011222965296</v>
      </c>
      <c r="M20" s="98">
        <v>0</v>
      </c>
      <c r="N20" s="89">
        <v>0</v>
      </c>
      <c r="O20" s="85">
        <f t="shared" si="4"/>
        <v>1.409750112229653</v>
      </c>
      <c r="P20"/>
    </row>
    <row r="21" spans="1:16" x14ac:dyDescent="0.2">
      <c r="A21" s="5" t="s">
        <v>850</v>
      </c>
      <c r="B21" s="100" t="s">
        <v>2367</v>
      </c>
      <c r="C21" s="100" t="s">
        <v>2325</v>
      </c>
      <c r="D21" s="101">
        <v>10000000</v>
      </c>
      <c r="E21" s="101"/>
      <c r="F21" s="101">
        <v>460</v>
      </c>
      <c r="G21" s="101">
        <f t="shared" si="0"/>
        <v>581.98295177788611</v>
      </c>
      <c r="H21" s="101">
        <f t="shared" si="1"/>
        <v>4600000000</v>
      </c>
      <c r="I21" s="101">
        <v>4106000000</v>
      </c>
      <c r="J21" s="101">
        <v>5245000000</v>
      </c>
      <c r="K21" s="98">
        <f t="shared" si="2"/>
        <v>1.1095957135898686</v>
      </c>
      <c r="L21" s="102">
        <f t="shared" si="3"/>
        <v>0.26518032995192642</v>
      </c>
      <c r="M21" s="98">
        <v>0</v>
      </c>
      <c r="N21" s="103">
        <v>4.4999999999999998E-2</v>
      </c>
      <c r="O21" s="85">
        <f t="shared" si="4"/>
        <v>1.3221134447997631</v>
      </c>
      <c r="P21" s="100"/>
    </row>
    <row r="22" spans="1:16" x14ac:dyDescent="0.2">
      <c r="A22" s="30" t="s">
        <v>850</v>
      </c>
      <c r="B22" t="s">
        <v>2373</v>
      </c>
      <c r="C22" t="s">
        <v>2073</v>
      </c>
      <c r="D22" s="2">
        <v>35725000</v>
      </c>
      <c r="F22" s="2">
        <v>38</v>
      </c>
      <c r="G22" s="2">
        <f t="shared" si="0"/>
        <v>50.141215262539873</v>
      </c>
      <c r="H22" s="2">
        <f t="shared" si="1"/>
        <v>1357550000</v>
      </c>
      <c r="I22" s="2">
        <v>885000000</v>
      </c>
      <c r="J22" s="2">
        <v>1212000000</v>
      </c>
      <c r="K22" s="98">
        <f t="shared" si="2"/>
        <v>1.477966101694915</v>
      </c>
      <c r="L22" s="1">
        <f t="shared" si="3"/>
        <v>0.31950566480368092</v>
      </c>
      <c r="M22" s="98">
        <v>0</v>
      </c>
      <c r="N22" s="89">
        <v>0</v>
      </c>
      <c r="O22" s="85">
        <f t="shared" si="4"/>
        <v>1.3195056648036809</v>
      </c>
    </row>
    <row r="23" spans="1:16" x14ac:dyDescent="0.2">
      <c r="A23" s="30" t="s">
        <v>850</v>
      </c>
      <c r="C23" t="s">
        <v>2340</v>
      </c>
      <c r="D23" s="2">
        <v>12802834</v>
      </c>
      <c r="F23" s="2">
        <v>2.57</v>
      </c>
      <c r="G23" s="2">
        <f t="shared" si="0"/>
        <v>3.359008647432832</v>
      </c>
      <c r="H23" s="2">
        <f t="shared" si="1"/>
        <v>32903283.379999999</v>
      </c>
      <c r="I23" s="2">
        <v>34000000</v>
      </c>
      <c r="J23" s="2">
        <v>42584000</v>
      </c>
      <c r="K23" s="98">
        <f t="shared" si="2"/>
        <v>1.0098823529411769</v>
      </c>
      <c r="L23" s="1">
        <f t="shared" si="3"/>
        <v>0.30700725581044064</v>
      </c>
      <c r="M23" s="98">
        <v>0</v>
      </c>
      <c r="N23" s="89">
        <v>0</v>
      </c>
      <c r="O23" s="85">
        <f t="shared" si="4"/>
        <v>1.3070072558104406</v>
      </c>
    </row>
    <row r="24" spans="1:16" s="30" customFormat="1" x14ac:dyDescent="0.2">
      <c r="A24" s="5" t="s">
        <v>850</v>
      </c>
      <c r="B24"/>
      <c r="C24" t="s">
        <v>2324</v>
      </c>
      <c r="D24" s="2">
        <v>21000000</v>
      </c>
      <c r="E24" s="2"/>
      <c r="F24" s="2">
        <v>54.69</v>
      </c>
      <c r="G24" s="2">
        <f t="shared" si="0"/>
        <v>67.803617571059448</v>
      </c>
      <c r="H24" s="2">
        <f t="shared" si="1"/>
        <v>1148490000</v>
      </c>
      <c r="I24" s="2">
        <v>1032000000</v>
      </c>
      <c r="J24" s="2">
        <v>1312000000</v>
      </c>
      <c r="K24" s="98">
        <f t="shared" si="2"/>
        <v>1.0852713178294575</v>
      </c>
      <c r="L24" s="1">
        <f t="shared" si="3"/>
        <v>0.23978090274381891</v>
      </c>
      <c r="M24" s="98">
        <v>0</v>
      </c>
      <c r="N24" s="89">
        <v>0</v>
      </c>
      <c r="O24" s="85">
        <f t="shared" si="4"/>
        <v>1.2397809027438189</v>
      </c>
      <c r="P24"/>
    </row>
    <row r="25" spans="1:16" s="30" customFormat="1" x14ac:dyDescent="0.2">
      <c r="A25" s="70" t="s">
        <v>850</v>
      </c>
      <c r="B25" s="70" t="s">
        <v>2370</v>
      </c>
      <c r="C25" s="70" t="s">
        <v>2069</v>
      </c>
      <c r="D25" s="109">
        <v>2000000000</v>
      </c>
      <c r="E25" s="109">
        <v>151505838</v>
      </c>
      <c r="F25" s="109">
        <v>8.85</v>
      </c>
      <c r="G25" s="109">
        <f t="shared" si="0"/>
        <v>8.8765494505494491</v>
      </c>
      <c r="H25" s="109">
        <f t="shared" si="1"/>
        <v>17700000000</v>
      </c>
      <c r="I25" s="109">
        <v>364000000</v>
      </c>
      <c r="J25" s="109">
        <v>1466000000</v>
      </c>
      <c r="K25" s="85">
        <f t="shared" si="2"/>
        <v>12.109890109890109</v>
      </c>
      <c r="L25" s="85">
        <f t="shared" si="3"/>
        <v>2.9999379151919303E-3</v>
      </c>
      <c r="M25" s="85">
        <v>0</v>
      </c>
      <c r="N25" s="110">
        <v>0.1</v>
      </c>
      <c r="O25" s="85">
        <f t="shared" si="4"/>
        <v>1.1032999317067111</v>
      </c>
      <c r="P25" s="70" t="s">
        <v>2323</v>
      </c>
    </row>
    <row r="26" spans="1:16" s="30" customFormat="1" x14ac:dyDescent="0.2">
      <c r="A26" s="5" t="s">
        <v>850</v>
      </c>
      <c r="B26" s="30" t="s">
        <v>2376</v>
      </c>
      <c r="C26" s="30" t="s">
        <v>2327</v>
      </c>
      <c r="D26" s="97">
        <v>1374613896</v>
      </c>
      <c r="E26" s="97"/>
      <c r="F26" s="97">
        <v>0.57999999999999996</v>
      </c>
      <c r="G26" s="97">
        <v>0.5</v>
      </c>
      <c r="H26" s="97">
        <f t="shared" si="1"/>
        <v>797276059.67999995</v>
      </c>
      <c r="I26" s="97">
        <v>119000000</v>
      </c>
      <c r="J26" s="97">
        <v>195000000</v>
      </c>
      <c r="K26" s="98">
        <f t="shared" si="2"/>
        <v>2.5546218487394956</v>
      </c>
      <c r="L26" s="98">
        <f t="shared" si="3"/>
        <v>-0.13793103448275856</v>
      </c>
      <c r="M26" s="98">
        <v>0</v>
      </c>
      <c r="N26" s="99">
        <v>0</v>
      </c>
      <c r="O26" s="85">
        <f t="shared" si="4"/>
        <v>0.86206896551724144</v>
      </c>
    </row>
    <row r="27" spans="1:16" x14ac:dyDescent="0.2">
      <c r="A27" s="5" t="s">
        <v>850</v>
      </c>
      <c r="B27" t="s">
        <v>2366</v>
      </c>
      <c r="C27" t="s">
        <v>2162</v>
      </c>
      <c r="D27" s="2">
        <v>250000000</v>
      </c>
      <c r="F27" s="2">
        <v>18.7</v>
      </c>
      <c r="G27" s="2">
        <f t="shared" ref="G27:G60" si="5">(J27*K27)/D27</f>
        <v>15.053897968397292</v>
      </c>
      <c r="H27" s="2">
        <f t="shared" si="1"/>
        <v>4675000000</v>
      </c>
      <c r="I27" s="2">
        <v>2215000000</v>
      </c>
      <c r="J27" s="2">
        <v>2927000000</v>
      </c>
      <c r="K27" s="98">
        <f t="shared" si="2"/>
        <v>1.285778781038375</v>
      </c>
      <c r="L27" s="1">
        <f t="shared" si="3"/>
        <v>-0.19497871826752444</v>
      </c>
      <c r="M27" s="98">
        <v>0</v>
      </c>
      <c r="N27" s="89">
        <v>0</v>
      </c>
      <c r="O27" s="85">
        <f t="shared" si="4"/>
        <v>0.80502128173247556</v>
      </c>
    </row>
    <row r="28" spans="1:16" x14ac:dyDescent="0.2">
      <c r="A28" s="5" t="s">
        <v>850</v>
      </c>
      <c r="B28" s="30" t="s">
        <v>2369</v>
      </c>
      <c r="C28" s="30" t="s">
        <v>2041</v>
      </c>
      <c r="D28" s="97">
        <v>1000000000</v>
      </c>
      <c r="E28" s="97"/>
      <c r="F28" s="97">
        <v>1.1499999999999999</v>
      </c>
      <c r="G28" s="97">
        <f t="shared" si="5"/>
        <v>0.83578775510204095</v>
      </c>
      <c r="H28" s="97">
        <f t="shared" si="1"/>
        <v>1150000000</v>
      </c>
      <c r="I28" s="97">
        <v>490000000</v>
      </c>
      <c r="J28" s="97">
        <v>648000000</v>
      </c>
      <c r="K28" s="98">
        <f t="shared" si="2"/>
        <v>1.2897959183673473</v>
      </c>
      <c r="L28" s="98">
        <f t="shared" si="3"/>
        <v>-0.27322803904170345</v>
      </c>
      <c r="M28" s="98">
        <v>0</v>
      </c>
      <c r="N28" s="99">
        <v>0</v>
      </c>
      <c r="O28" s="85">
        <f t="shared" si="4"/>
        <v>0.72677196095829655</v>
      </c>
      <c r="P28" s="30" t="s">
        <v>2326</v>
      </c>
    </row>
    <row r="29" spans="1:16" x14ac:dyDescent="0.2">
      <c r="A29" s="30" t="s">
        <v>850</v>
      </c>
      <c r="B29" t="s">
        <v>2388</v>
      </c>
      <c r="C29" t="s">
        <v>2387</v>
      </c>
      <c r="D29" s="2">
        <v>560883064</v>
      </c>
      <c r="F29" s="2">
        <v>1.48</v>
      </c>
      <c r="G29" s="2">
        <f t="shared" si="5"/>
        <v>0.98151042330055693</v>
      </c>
      <c r="H29" s="2">
        <f t="shared" si="1"/>
        <v>830106934.72000003</v>
      </c>
      <c r="I29" s="2">
        <v>1869000</v>
      </c>
      <c r="J29" s="2">
        <v>17000000</v>
      </c>
      <c r="K29" s="98">
        <f t="shared" si="2"/>
        <v>32.383092562867844</v>
      </c>
      <c r="L29" s="1">
        <f t="shared" si="3"/>
        <v>-0.33681728155367774</v>
      </c>
      <c r="M29" s="98">
        <v>0</v>
      </c>
      <c r="N29" s="89">
        <v>0</v>
      </c>
      <c r="O29" s="85">
        <f t="shared" si="4"/>
        <v>0.66318271844632226</v>
      </c>
    </row>
    <row r="30" spans="1:16" x14ac:dyDescent="0.2">
      <c r="A30" s="30" t="s">
        <v>850</v>
      </c>
      <c r="B30" s="30" t="s">
        <v>2377</v>
      </c>
      <c r="C30" s="30" t="s">
        <v>2033</v>
      </c>
      <c r="D30" s="97">
        <v>212424133</v>
      </c>
      <c r="E30" s="97"/>
      <c r="F30" s="97">
        <v>20.58</v>
      </c>
      <c r="G30" s="97">
        <f t="shared" si="5"/>
        <v>0.92717732174845657</v>
      </c>
      <c r="H30" s="97">
        <f t="shared" si="1"/>
        <v>4371688657.1399994</v>
      </c>
      <c r="I30" s="97">
        <v>1860000000</v>
      </c>
      <c r="J30" s="97">
        <v>1908000000</v>
      </c>
      <c r="K30" s="98">
        <f t="shared" si="2"/>
        <v>0.10322580645161317</v>
      </c>
      <c r="L30" s="98">
        <f t="shared" si="3"/>
        <v>-0.9549476520044482</v>
      </c>
      <c r="M30" s="98">
        <v>0</v>
      </c>
      <c r="N30" s="99">
        <v>0.13</v>
      </c>
      <c r="O30" s="85">
        <f t="shared" si="4"/>
        <v>5.0909153234973532E-2</v>
      </c>
      <c r="P30" s="30"/>
    </row>
    <row r="31" spans="1:16" x14ac:dyDescent="0.2">
      <c r="A31" s="5" t="s">
        <v>850</v>
      </c>
      <c r="C31" t="s">
        <v>2012</v>
      </c>
      <c r="D31" s="2">
        <v>1000000000</v>
      </c>
      <c r="F31" s="2">
        <v>30.37</v>
      </c>
      <c r="G31" s="2">
        <f t="shared" si="5"/>
        <v>8.5012805900100581</v>
      </c>
      <c r="H31" s="2">
        <f t="shared" si="1"/>
        <v>30370000000</v>
      </c>
      <c r="I31" s="2">
        <v>2983000000</v>
      </c>
      <c r="J31" s="2">
        <v>4418000000</v>
      </c>
      <c r="K31" s="98">
        <f t="shared" si="2"/>
        <v>1.9242373449547436</v>
      </c>
      <c r="L31" s="1">
        <f t="shared" si="3"/>
        <v>-0.72007637174810479</v>
      </c>
      <c r="M31" s="98">
        <v>0</v>
      </c>
      <c r="N31" s="89">
        <v>0</v>
      </c>
      <c r="O31" s="85">
        <f t="shared" si="4"/>
        <v>0.27992362825189521</v>
      </c>
    </row>
    <row r="32" spans="1:16" x14ac:dyDescent="0.2">
      <c r="A32" s="30" t="s">
        <v>850</v>
      </c>
      <c r="C32" t="s">
        <v>2338</v>
      </c>
      <c r="D32" s="2">
        <v>999951290</v>
      </c>
      <c r="F32" s="2">
        <v>0.41</v>
      </c>
      <c r="G32" s="2">
        <f t="shared" si="5"/>
        <v>9.8425846954584131E-2</v>
      </c>
      <c r="H32" s="2">
        <f t="shared" si="1"/>
        <v>409980028.89999998</v>
      </c>
      <c r="I32" s="2">
        <v>38000000</v>
      </c>
      <c r="J32" s="2">
        <v>55000000</v>
      </c>
      <c r="K32" s="98">
        <f t="shared" si="2"/>
        <v>1.7894736842105265</v>
      </c>
      <c r="L32" s="1">
        <f t="shared" si="3"/>
        <v>-0.75993695864735578</v>
      </c>
      <c r="M32" s="98">
        <v>0</v>
      </c>
      <c r="N32" s="89">
        <v>0</v>
      </c>
      <c r="O32" s="85">
        <f t="shared" si="4"/>
        <v>0.24006304135264422</v>
      </c>
    </row>
    <row r="33" spans="1:16" x14ac:dyDescent="0.2">
      <c r="A33" s="5" t="s">
        <v>850</v>
      </c>
      <c r="C33" t="s">
        <v>2349</v>
      </c>
      <c r="D33" s="2">
        <v>9000000</v>
      </c>
      <c r="F33" s="2">
        <v>171</v>
      </c>
      <c r="G33" s="2">
        <f t="shared" si="5"/>
        <v>34.068255843198479</v>
      </c>
      <c r="H33" s="2">
        <f t="shared" si="1"/>
        <v>1539000000</v>
      </c>
      <c r="I33" s="2">
        <v>15374000</v>
      </c>
      <c r="J33" s="2">
        <v>42866000</v>
      </c>
      <c r="K33" s="98">
        <f t="shared" si="2"/>
        <v>7.1528554702744902</v>
      </c>
      <c r="L33" s="1">
        <f t="shared" si="3"/>
        <v>-0.80077043366550593</v>
      </c>
      <c r="M33" s="98">
        <v>0</v>
      </c>
      <c r="N33" s="89">
        <v>0</v>
      </c>
      <c r="O33" s="85">
        <f t="shared" si="4"/>
        <v>0.19922956633449407</v>
      </c>
    </row>
    <row r="34" spans="1:16" x14ac:dyDescent="0.2">
      <c r="A34" s="30" t="s">
        <v>850</v>
      </c>
      <c r="C34" t="s">
        <v>2206</v>
      </c>
      <c r="D34" s="2">
        <v>99995245</v>
      </c>
      <c r="F34" s="2">
        <v>2.67</v>
      </c>
      <c r="G34" s="2">
        <f t="shared" si="5"/>
        <v>0.51113541560012266</v>
      </c>
      <c r="H34" s="2">
        <f t="shared" ref="H34:H60" si="6">F34*D34</f>
        <v>266987304.15000001</v>
      </c>
      <c r="I34" s="2">
        <v>36000000</v>
      </c>
      <c r="J34" s="2">
        <v>46000000</v>
      </c>
      <c r="K34" s="98">
        <f t="shared" si="2"/>
        <v>1.1111111111111107</v>
      </c>
      <c r="L34" s="1">
        <f t="shared" ref="L34:L60" si="7">(G34/F34)-1</f>
        <v>-0.80856351475650834</v>
      </c>
      <c r="M34" s="98">
        <v>0</v>
      </c>
      <c r="N34" s="89">
        <v>0</v>
      </c>
      <c r="O34" s="85">
        <f t="shared" ref="O34:O60" si="8">(1+N34)*(1+M34)*(1+L34)</f>
        <v>0.19143648524349166</v>
      </c>
    </row>
    <row r="35" spans="1:16" x14ac:dyDescent="0.2">
      <c r="A35" s="30" t="s">
        <v>850</v>
      </c>
      <c r="C35" t="s">
        <v>2174</v>
      </c>
      <c r="D35" s="2">
        <v>10000000000</v>
      </c>
      <c r="F35" s="2">
        <v>0.17</v>
      </c>
      <c r="G35" s="2">
        <f t="shared" si="5"/>
        <v>1.9918995470992788E-2</v>
      </c>
      <c r="H35" s="2">
        <f t="shared" si="6"/>
        <v>1700000000.0000002</v>
      </c>
      <c r="I35" s="2">
        <v>41731000</v>
      </c>
      <c r="J35" s="2">
        <v>71000000</v>
      </c>
      <c r="K35" s="98">
        <f t="shared" si="2"/>
        <v>2.8054923198581392</v>
      </c>
      <c r="L35" s="1">
        <f t="shared" si="7"/>
        <v>-0.88282943840592476</v>
      </c>
      <c r="M35" s="98">
        <v>0</v>
      </c>
      <c r="N35" s="89">
        <v>0.38</v>
      </c>
      <c r="O35" s="85">
        <f t="shared" si="8"/>
        <v>0.16169537499982381</v>
      </c>
    </row>
    <row r="36" spans="1:16" x14ac:dyDescent="0.2">
      <c r="A36" s="5" t="s">
        <v>850</v>
      </c>
      <c r="C36" t="s">
        <v>2341</v>
      </c>
      <c r="D36" s="2">
        <v>50297306</v>
      </c>
      <c r="F36" s="2">
        <v>8.4600000000000009</v>
      </c>
      <c r="G36" s="2">
        <f t="shared" si="5"/>
        <v>1.3121975161055346</v>
      </c>
      <c r="H36" s="2">
        <f t="shared" si="6"/>
        <v>425515208.76000005</v>
      </c>
      <c r="I36" s="2">
        <v>32000000</v>
      </c>
      <c r="J36" s="2">
        <v>44000000</v>
      </c>
      <c r="K36" s="98">
        <f t="shared" si="2"/>
        <v>1.5</v>
      </c>
      <c r="L36" s="1">
        <f t="shared" si="7"/>
        <v>-0.84489391062582331</v>
      </c>
      <c r="M36" s="98">
        <v>0</v>
      </c>
      <c r="N36" s="89">
        <v>0</v>
      </c>
      <c r="O36" s="85">
        <f t="shared" si="8"/>
        <v>0.15510608937417669</v>
      </c>
    </row>
    <row r="37" spans="1:16" s="30" customFormat="1" x14ac:dyDescent="0.2">
      <c r="A37" s="30" t="s">
        <v>850</v>
      </c>
      <c r="B37"/>
      <c r="C37" t="s">
        <v>2115</v>
      </c>
      <c r="D37" s="2">
        <v>1030000000</v>
      </c>
      <c r="E37" s="2"/>
      <c r="F37" s="2">
        <v>0.55000000000000004</v>
      </c>
      <c r="G37" s="2">
        <f t="shared" si="5"/>
        <v>8.2318367452358196E-2</v>
      </c>
      <c r="H37" s="2">
        <f t="shared" si="6"/>
        <v>566500000</v>
      </c>
      <c r="I37" s="2">
        <v>23306000</v>
      </c>
      <c r="J37" s="2">
        <v>36749000</v>
      </c>
      <c r="K37" s="98">
        <f t="shared" si="2"/>
        <v>2.3072170256586286</v>
      </c>
      <c r="L37" s="1">
        <f t="shared" si="7"/>
        <v>-0.85033024099571242</v>
      </c>
      <c r="M37" s="98">
        <v>0</v>
      </c>
      <c r="N37" s="89">
        <v>0</v>
      </c>
      <c r="O37" s="85">
        <f t="shared" si="8"/>
        <v>0.14966975900428758</v>
      </c>
      <c r="P37"/>
    </row>
    <row r="38" spans="1:16" x14ac:dyDescent="0.2">
      <c r="A38" s="5" t="s">
        <v>850</v>
      </c>
      <c r="C38" t="s">
        <v>2343</v>
      </c>
      <c r="D38" s="2">
        <v>1000000000</v>
      </c>
      <c r="F38" s="2">
        <v>5.67</v>
      </c>
      <c r="G38" s="2">
        <f t="shared" si="5"/>
        <v>0.69226666666666659</v>
      </c>
      <c r="H38" s="2">
        <f t="shared" si="6"/>
        <v>5670000000</v>
      </c>
      <c r="I38" s="2">
        <v>15000000</v>
      </c>
      <c r="J38" s="2">
        <v>59000000</v>
      </c>
      <c r="K38" s="98">
        <f t="shared" si="2"/>
        <v>11.733333333333333</v>
      </c>
      <c r="L38" s="1">
        <f t="shared" si="7"/>
        <v>-0.87790711346266903</v>
      </c>
      <c r="M38" s="98">
        <v>0</v>
      </c>
      <c r="N38" s="89">
        <v>0</v>
      </c>
      <c r="O38" s="85">
        <f t="shared" si="8"/>
        <v>0.12209288653733097</v>
      </c>
    </row>
    <row r="39" spans="1:16" s="100" customFormat="1" x14ac:dyDescent="0.2">
      <c r="A39" s="30" t="s">
        <v>850</v>
      </c>
      <c r="B39"/>
      <c r="C39" t="s">
        <v>2195</v>
      </c>
      <c r="D39" s="2">
        <v>3012009888</v>
      </c>
      <c r="E39" s="2"/>
      <c r="F39" s="2">
        <v>0.39</v>
      </c>
      <c r="G39" s="2">
        <f t="shared" si="5"/>
        <v>3.7541595996560422E-2</v>
      </c>
      <c r="H39" s="2">
        <f t="shared" si="6"/>
        <v>1174683856.3199999</v>
      </c>
      <c r="I39" s="2">
        <v>51000000</v>
      </c>
      <c r="J39" s="2">
        <v>71238000</v>
      </c>
      <c r="K39" s="98">
        <f t="shared" si="2"/>
        <v>1.5872941176470592</v>
      </c>
      <c r="L39" s="1">
        <f t="shared" si="7"/>
        <v>-0.90373949744471682</v>
      </c>
      <c r="M39" s="98">
        <v>0</v>
      </c>
      <c r="N39" s="89">
        <v>0</v>
      </c>
      <c r="O39" s="85">
        <f t="shared" si="8"/>
        <v>9.6260502555283178E-2</v>
      </c>
      <c r="P39"/>
    </row>
    <row r="40" spans="1:16" x14ac:dyDescent="0.2">
      <c r="A40" s="5" t="s">
        <v>850</v>
      </c>
      <c r="C40" t="s">
        <v>2339</v>
      </c>
      <c r="D40" s="2">
        <v>1446312655</v>
      </c>
      <c r="F40" s="2">
        <v>0.38</v>
      </c>
      <c r="G40" s="2">
        <f t="shared" si="5"/>
        <v>2.976083913257992E-2</v>
      </c>
      <c r="H40" s="2">
        <f t="shared" si="6"/>
        <v>549598808.89999998</v>
      </c>
      <c r="I40" s="2">
        <v>46000000</v>
      </c>
      <c r="J40" s="2">
        <v>55000000</v>
      </c>
      <c r="K40" s="98">
        <f t="shared" si="2"/>
        <v>0.78260869565217384</v>
      </c>
      <c r="L40" s="1">
        <f t="shared" si="7"/>
        <v>-0.92168200228268438</v>
      </c>
      <c r="M40" s="98">
        <v>0</v>
      </c>
      <c r="N40" s="89">
        <v>0</v>
      </c>
      <c r="O40" s="85">
        <f t="shared" si="8"/>
        <v>7.8317997717315624E-2</v>
      </c>
    </row>
    <row r="41" spans="1:16" x14ac:dyDescent="0.2">
      <c r="A41" s="30" t="s">
        <v>850</v>
      </c>
      <c r="B41" s="4" t="s">
        <v>2384</v>
      </c>
      <c r="C41" s="4" t="s">
        <v>2089</v>
      </c>
      <c r="D41" s="104">
        <v>200000000</v>
      </c>
      <c r="E41" s="104">
        <v>114967073</v>
      </c>
      <c r="F41" s="104">
        <v>1534</v>
      </c>
      <c r="G41" s="104">
        <f t="shared" si="5"/>
        <v>73.139842222222256</v>
      </c>
      <c r="H41" s="104">
        <f t="shared" si="6"/>
        <v>306800000000</v>
      </c>
      <c r="I41" s="104">
        <v>36000000000</v>
      </c>
      <c r="J41" s="104">
        <v>39346000000</v>
      </c>
      <c r="K41" s="98">
        <f t="shared" si="2"/>
        <v>0.37177777777777798</v>
      </c>
      <c r="L41" s="105">
        <f t="shared" si="7"/>
        <v>-0.95232083297117198</v>
      </c>
      <c r="M41" s="98">
        <v>0</v>
      </c>
      <c r="N41" s="106">
        <v>0</v>
      </c>
      <c r="O41" s="85">
        <f t="shared" si="8"/>
        <v>4.7679167028828018E-2</v>
      </c>
      <c r="P41" s="4"/>
    </row>
    <row r="42" spans="1:16" x14ac:dyDescent="0.2">
      <c r="A42" s="5" t="s">
        <v>850</v>
      </c>
      <c r="C42" t="s">
        <v>2353</v>
      </c>
      <c r="D42" s="2">
        <v>99996811</v>
      </c>
      <c r="F42" s="2">
        <v>3.87</v>
      </c>
      <c r="G42" s="2">
        <f t="shared" si="5"/>
        <v>0.17730295148842026</v>
      </c>
      <c r="H42" s="2">
        <f t="shared" si="6"/>
        <v>386987658.56999999</v>
      </c>
      <c r="I42" s="2">
        <v>37000000</v>
      </c>
      <c r="J42" s="2">
        <v>41000000</v>
      </c>
      <c r="K42" s="98">
        <f t="shared" si="2"/>
        <v>0.43243243243243246</v>
      </c>
      <c r="L42" s="1">
        <f t="shared" si="7"/>
        <v>-0.9541852838531214</v>
      </c>
      <c r="M42" s="98">
        <v>0</v>
      </c>
      <c r="N42" s="89">
        <v>0</v>
      </c>
      <c r="O42" s="85">
        <f t="shared" si="8"/>
        <v>4.5814716146878598E-2</v>
      </c>
    </row>
    <row r="43" spans="1:16" x14ac:dyDescent="0.2">
      <c r="A43" s="30" t="s">
        <v>850</v>
      </c>
      <c r="B43" s="100" t="s">
        <v>2378</v>
      </c>
      <c r="C43" s="100" t="s">
        <v>2022</v>
      </c>
      <c r="D43" s="101">
        <v>210267610</v>
      </c>
      <c r="E43" s="101"/>
      <c r="F43" s="101">
        <v>1.66</v>
      </c>
      <c r="G43" s="101">
        <f t="shared" si="5"/>
        <v>1.3053329343669996E-2</v>
      </c>
      <c r="H43" s="101">
        <f t="shared" si="6"/>
        <v>349044232.59999996</v>
      </c>
      <c r="I43" s="101">
        <v>11000000</v>
      </c>
      <c r="J43" s="101">
        <v>11648000</v>
      </c>
      <c r="K43" s="98">
        <f t="shared" si="2"/>
        <v>0.2356363636363632</v>
      </c>
      <c r="L43" s="102">
        <f t="shared" si="7"/>
        <v>-0.99213654858815059</v>
      </c>
      <c r="M43" s="98">
        <v>0</v>
      </c>
      <c r="N43" s="103">
        <v>0.02</v>
      </c>
      <c r="O43" s="85">
        <f t="shared" si="8"/>
        <v>8.0207204400863982E-3</v>
      </c>
      <c r="P43" s="100" t="s">
        <v>2337</v>
      </c>
    </row>
    <row r="44" spans="1:16" x14ac:dyDescent="0.2">
      <c r="A44" s="5" t="s">
        <v>850</v>
      </c>
      <c r="C44" t="s">
        <v>2092</v>
      </c>
      <c r="D44" s="2">
        <v>100000000000</v>
      </c>
      <c r="F44" s="2">
        <v>0.22</v>
      </c>
      <c r="G44" s="2">
        <f t="shared" si="5"/>
        <v>5.0526315789473672E-4</v>
      </c>
      <c r="H44" s="2">
        <f t="shared" si="6"/>
        <v>22000000000</v>
      </c>
      <c r="I44" s="2">
        <v>38000000</v>
      </c>
      <c r="J44" s="2">
        <v>48000000</v>
      </c>
      <c r="K44" s="98">
        <f t="shared" si="2"/>
        <v>1.0526315789473681</v>
      </c>
      <c r="L44" s="1">
        <f t="shared" si="7"/>
        <v>-0.99770334928229665</v>
      </c>
      <c r="M44" s="98">
        <v>0</v>
      </c>
      <c r="N44" s="89">
        <v>0</v>
      </c>
      <c r="O44" s="85">
        <f t="shared" si="8"/>
        <v>2.2966507177033524E-3</v>
      </c>
    </row>
    <row r="45" spans="1:16" x14ac:dyDescent="0.2">
      <c r="A45" s="30" t="s">
        <v>850</v>
      </c>
      <c r="C45" t="s">
        <v>2342</v>
      </c>
      <c r="D45" s="2">
        <v>100000000</v>
      </c>
      <c r="F45" s="2">
        <v>5</v>
      </c>
      <c r="G45" s="2">
        <f t="shared" si="5"/>
        <v>-0.23916666666666672</v>
      </c>
      <c r="H45" s="2">
        <f t="shared" si="6"/>
        <v>500000000</v>
      </c>
      <c r="I45" s="2">
        <v>48000000</v>
      </c>
      <c r="J45" s="2">
        <v>41000000</v>
      </c>
      <c r="K45" s="98">
        <f t="shared" si="2"/>
        <v>-0.58333333333333348</v>
      </c>
      <c r="L45" s="1">
        <f t="shared" si="7"/>
        <v>-1.0478333333333334</v>
      </c>
      <c r="M45" s="98">
        <v>0</v>
      </c>
      <c r="N45" s="89">
        <v>0</v>
      </c>
      <c r="O45" s="85">
        <f t="shared" si="8"/>
        <v>-4.7833333333333394E-2</v>
      </c>
    </row>
    <row r="46" spans="1:16" x14ac:dyDescent="0.2">
      <c r="A46" s="30" t="s">
        <v>850</v>
      </c>
      <c r="B46" t="s">
        <v>2372</v>
      </c>
      <c r="C46" t="s">
        <v>2331</v>
      </c>
      <c r="D46" s="2">
        <v>1000000000</v>
      </c>
      <c r="F46" s="2">
        <v>1.58</v>
      </c>
      <c r="G46" s="2">
        <f t="shared" si="5"/>
        <v>-0.19902183406113527</v>
      </c>
      <c r="H46" s="2">
        <f t="shared" si="6"/>
        <v>1580000000</v>
      </c>
      <c r="I46" s="2">
        <v>687000000</v>
      </c>
      <c r="J46" s="2">
        <v>633000000</v>
      </c>
      <c r="K46" s="98">
        <f t="shared" si="2"/>
        <v>-0.31441048034934482</v>
      </c>
      <c r="L46" s="1">
        <f t="shared" si="7"/>
        <v>-1.1259631861146426</v>
      </c>
      <c r="M46" s="98">
        <v>0</v>
      </c>
      <c r="N46" s="89">
        <v>0</v>
      </c>
      <c r="O46" s="85">
        <f t="shared" si="8"/>
        <v>-0.12596318611464263</v>
      </c>
    </row>
    <row r="47" spans="1:16" x14ac:dyDescent="0.2">
      <c r="A47" s="5" t="s">
        <v>850</v>
      </c>
      <c r="B47" t="s">
        <v>2365</v>
      </c>
      <c r="C47" t="s">
        <v>1994</v>
      </c>
      <c r="D47" s="2">
        <v>36666</v>
      </c>
      <c r="F47" s="2">
        <v>42742</v>
      </c>
      <c r="G47" s="2">
        <f t="shared" si="5"/>
        <v>-12682.048764522991</v>
      </c>
      <c r="H47" s="2">
        <f t="shared" si="6"/>
        <v>1567178172</v>
      </c>
      <c r="I47" s="2">
        <v>496000000</v>
      </c>
      <c r="J47" s="2">
        <v>310000000</v>
      </c>
      <c r="K47" s="98">
        <f t="shared" si="2"/>
        <v>-1.5</v>
      </c>
      <c r="L47" s="1">
        <f t="shared" si="7"/>
        <v>-1.2967116364354263</v>
      </c>
      <c r="M47" s="98">
        <v>0</v>
      </c>
      <c r="N47" s="89">
        <v>0</v>
      </c>
      <c r="O47" s="85">
        <f t="shared" si="8"/>
        <v>-0.29671163643542631</v>
      </c>
    </row>
    <row r="48" spans="1:16" x14ac:dyDescent="0.2">
      <c r="A48" s="30" t="s">
        <v>850</v>
      </c>
      <c r="B48" t="s">
        <v>2409</v>
      </c>
      <c r="C48" t="s">
        <v>2408</v>
      </c>
      <c r="D48" s="2">
        <v>129150</v>
      </c>
      <c r="F48" s="2">
        <v>251</v>
      </c>
      <c r="G48" s="2">
        <f t="shared" si="5"/>
        <v>-379.78459409886835</v>
      </c>
      <c r="H48" s="2">
        <f t="shared" si="6"/>
        <v>32416650</v>
      </c>
      <c r="I48" s="2">
        <v>61000000</v>
      </c>
      <c r="J48" s="2">
        <v>44000000</v>
      </c>
      <c r="K48" s="98">
        <f t="shared" si="2"/>
        <v>-1.1147540983606556</v>
      </c>
      <c r="L48" s="1">
        <f t="shared" si="7"/>
        <v>-2.5130860322664077</v>
      </c>
      <c r="M48" s="98">
        <v>0</v>
      </c>
      <c r="N48" s="89">
        <v>0</v>
      </c>
      <c r="O48" s="85">
        <f t="shared" si="8"/>
        <v>-1.5130860322664077</v>
      </c>
    </row>
    <row r="49" spans="1:16" x14ac:dyDescent="0.2">
      <c r="A49" s="70" t="s">
        <v>64</v>
      </c>
      <c r="B49" s="70" t="s">
        <v>2368</v>
      </c>
      <c r="C49" s="70" t="s">
        <v>2346</v>
      </c>
      <c r="D49" s="109">
        <v>1888888</v>
      </c>
      <c r="E49" s="109">
        <v>420263</v>
      </c>
      <c r="F49" s="109">
        <v>101</v>
      </c>
      <c r="G49" s="109">
        <f t="shared" si="5"/>
        <v>-46.482751620938984</v>
      </c>
      <c r="H49" s="109">
        <f t="shared" si="6"/>
        <v>190777688</v>
      </c>
      <c r="I49" s="109">
        <v>281000000</v>
      </c>
      <c r="J49" s="109">
        <v>257000000</v>
      </c>
      <c r="K49" s="98">
        <f t="shared" si="2"/>
        <v>-0.34163701067615637</v>
      </c>
      <c r="L49" s="85">
        <f t="shared" si="7"/>
        <v>-1.4602252635736532</v>
      </c>
      <c r="M49" s="85">
        <v>1.1599999999999999</v>
      </c>
      <c r="N49" s="110">
        <v>61.08</v>
      </c>
      <c r="O49" s="85">
        <f t="shared" si="8"/>
        <v>-61.712894223329172</v>
      </c>
      <c r="P49" s="70" t="s">
        <v>2399</v>
      </c>
    </row>
    <row r="50" spans="1:16" x14ac:dyDescent="0.2">
      <c r="A50" s="70"/>
      <c r="B50" s="70" t="s">
        <v>2459</v>
      </c>
      <c r="C50" s="70" t="s">
        <v>2460</v>
      </c>
      <c r="D50" s="109">
        <v>1000000000</v>
      </c>
      <c r="E50" s="109"/>
      <c r="F50" s="109">
        <v>0</v>
      </c>
      <c r="G50" s="109" t="e">
        <f t="shared" si="5"/>
        <v>#DIV/0!</v>
      </c>
      <c r="H50" s="109">
        <f t="shared" si="6"/>
        <v>0</v>
      </c>
      <c r="I50" s="109">
        <v>0</v>
      </c>
      <c r="J50" s="109">
        <v>0</v>
      </c>
      <c r="K50" s="85" t="e">
        <f t="shared" ref="K50:K60" si="9">((J50/I50)*12)-12</f>
        <v>#DIV/0!</v>
      </c>
      <c r="L50" s="85" t="e">
        <f t="shared" si="7"/>
        <v>#DIV/0!</v>
      </c>
      <c r="M50" s="85"/>
      <c r="N50" s="110">
        <v>0</v>
      </c>
      <c r="O50" s="85" t="e">
        <f t="shared" si="8"/>
        <v>#DIV/0!</v>
      </c>
      <c r="P50" s="70"/>
    </row>
    <row r="51" spans="1:16" x14ac:dyDescent="0.2">
      <c r="A51" t="s">
        <v>850</v>
      </c>
      <c r="B51" t="s">
        <v>2461</v>
      </c>
      <c r="C51" t="s">
        <v>2461</v>
      </c>
      <c r="D51" s="2">
        <v>1000000000</v>
      </c>
      <c r="F51" s="2">
        <v>3.53</v>
      </c>
      <c r="G51" s="2">
        <f t="shared" si="5"/>
        <v>2.8561075161771994</v>
      </c>
      <c r="H51" s="2">
        <f t="shared" si="6"/>
        <v>3530000000</v>
      </c>
      <c r="I51" s="2">
        <v>2009000000</v>
      </c>
      <c r="J51" s="2">
        <v>2224000000</v>
      </c>
      <c r="K51" s="1">
        <f t="shared" si="9"/>
        <v>1.2842210054753593</v>
      </c>
      <c r="L51" s="1">
        <f t="shared" si="7"/>
        <v>-0.19090438635206808</v>
      </c>
      <c r="M51" s="1">
        <v>0.2</v>
      </c>
      <c r="N51" s="89">
        <v>1</v>
      </c>
      <c r="O51" s="85">
        <f t="shared" si="8"/>
        <v>1.9418294727550365</v>
      </c>
    </row>
    <row r="52" spans="1:16" x14ac:dyDescent="0.2">
      <c r="A52" t="s">
        <v>850</v>
      </c>
      <c r="B52" t="s">
        <v>2462</v>
      </c>
      <c r="C52" t="s">
        <v>2465</v>
      </c>
      <c r="D52" s="2">
        <v>0</v>
      </c>
      <c r="F52" s="2">
        <v>0</v>
      </c>
      <c r="G52" s="2" t="e">
        <f t="shared" si="5"/>
        <v>#DIV/0!</v>
      </c>
      <c r="H52" s="2">
        <f t="shared" si="6"/>
        <v>0</v>
      </c>
      <c r="I52" s="2">
        <v>0</v>
      </c>
      <c r="J52" s="2">
        <v>0</v>
      </c>
      <c r="K52" s="1" t="e">
        <f t="shared" si="9"/>
        <v>#DIV/0!</v>
      </c>
      <c r="L52" s="1" t="e">
        <f t="shared" si="7"/>
        <v>#DIV/0!</v>
      </c>
      <c r="M52" s="1">
        <v>0.2</v>
      </c>
      <c r="N52" s="89">
        <v>0</v>
      </c>
      <c r="O52" s="85" t="e">
        <f t="shared" si="8"/>
        <v>#DIV/0!</v>
      </c>
    </row>
    <row r="53" spans="1:16" x14ac:dyDescent="0.2">
      <c r="A53" t="s">
        <v>850</v>
      </c>
      <c r="B53" t="s">
        <v>2464</v>
      </c>
      <c r="C53" t="s">
        <v>2463</v>
      </c>
      <c r="D53" s="2">
        <v>100000000</v>
      </c>
      <c r="F53" s="2">
        <v>2.87</v>
      </c>
      <c r="G53" s="2">
        <f t="shared" si="5"/>
        <v>463.08749999999998</v>
      </c>
      <c r="H53" s="2">
        <f t="shared" si="6"/>
        <v>287000000</v>
      </c>
      <c r="I53" s="2">
        <v>64000000</v>
      </c>
      <c r="J53" s="2">
        <v>530000000</v>
      </c>
      <c r="K53" s="1">
        <f t="shared" si="9"/>
        <v>87.375</v>
      </c>
      <c r="L53" s="1">
        <f t="shared" si="7"/>
        <v>160.35452961672473</v>
      </c>
      <c r="M53" s="1">
        <v>0.2</v>
      </c>
      <c r="N53" s="89">
        <v>9.26</v>
      </c>
      <c r="O53" s="85">
        <f t="shared" si="8"/>
        <v>1986.5969686411149</v>
      </c>
    </row>
    <row r="54" spans="1:16" x14ac:dyDescent="0.2">
      <c r="D54" s="2">
        <v>0</v>
      </c>
      <c r="F54" s="2">
        <v>0</v>
      </c>
      <c r="G54" s="2" t="e">
        <f t="shared" si="5"/>
        <v>#DIV/0!</v>
      </c>
      <c r="H54" s="2">
        <f t="shared" si="6"/>
        <v>0</v>
      </c>
      <c r="I54" s="2">
        <v>0</v>
      </c>
      <c r="J54" s="2">
        <v>0</v>
      </c>
      <c r="K54" s="1" t="e">
        <f t="shared" si="9"/>
        <v>#DIV/0!</v>
      </c>
      <c r="L54" s="1" t="e">
        <f t="shared" si="7"/>
        <v>#DIV/0!</v>
      </c>
      <c r="N54" s="89">
        <v>0</v>
      </c>
      <c r="O54" s="85" t="e">
        <f t="shared" si="8"/>
        <v>#DIV/0!</v>
      </c>
    </row>
    <row r="55" spans="1:16" x14ac:dyDescent="0.2">
      <c r="D55" s="2">
        <v>0</v>
      </c>
      <c r="F55" s="2">
        <v>0</v>
      </c>
      <c r="G55" s="2" t="e">
        <f t="shared" si="5"/>
        <v>#DIV/0!</v>
      </c>
      <c r="H55" s="2">
        <f t="shared" si="6"/>
        <v>0</v>
      </c>
      <c r="I55" s="2">
        <v>0</v>
      </c>
      <c r="J55" s="2">
        <v>0</v>
      </c>
      <c r="K55" s="1" t="e">
        <f t="shared" si="9"/>
        <v>#DIV/0!</v>
      </c>
      <c r="L55" s="1" t="e">
        <f t="shared" si="7"/>
        <v>#DIV/0!</v>
      </c>
      <c r="N55" s="89">
        <v>0</v>
      </c>
      <c r="O55" s="85" t="e">
        <f t="shared" si="8"/>
        <v>#DIV/0!</v>
      </c>
    </row>
    <row r="56" spans="1:16" x14ac:dyDescent="0.2">
      <c r="D56" s="2">
        <v>0</v>
      </c>
      <c r="F56" s="2">
        <v>0</v>
      </c>
      <c r="G56" s="2" t="e">
        <f t="shared" si="5"/>
        <v>#DIV/0!</v>
      </c>
      <c r="H56" s="2">
        <f t="shared" si="6"/>
        <v>0</v>
      </c>
      <c r="I56" s="2">
        <v>0</v>
      </c>
      <c r="J56" s="2">
        <v>0</v>
      </c>
      <c r="K56" s="1" t="e">
        <f t="shared" si="9"/>
        <v>#DIV/0!</v>
      </c>
      <c r="L56" s="1" t="e">
        <f t="shared" si="7"/>
        <v>#DIV/0!</v>
      </c>
      <c r="N56" s="89">
        <v>0</v>
      </c>
      <c r="O56" s="85" t="e">
        <f t="shared" si="8"/>
        <v>#DIV/0!</v>
      </c>
    </row>
    <row r="57" spans="1:16" x14ac:dyDescent="0.2">
      <c r="D57" s="2">
        <v>0</v>
      </c>
      <c r="F57" s="2">
        <v>0</v>
      </c>
      <c r="G57" s="2" t="e">
        <f t="shared" si="5"/>
        <v>#DIV/0!</v>
      </c>
      <c r="H57" s="2">
        <f t="shared" si="6"/>
        <v>0</v>
      </c>
      <c r="I57" s="2">
        <v>0</v>
      </c>
      <c r="J57" s="2">
        <v>0</v>
      </c>
      <c r="K57" s="1" t="e">
        <f t="shared" si="9"/>
        <v>#DIV/0!</v>
      </c>
      <c r="L57" s="1" t="e">
        <f t="shared" si="7"/>
        <v>#DIV/0!</v>
      </c>
      <c r="N57" s="89">
        <v>0</v>
      </c>
      <c r="O57" s="85" t="e">
        <f t="shared" si="8"/>
        <v>#DIV/0!</v>
      </c>
    </row>
    <row r="58" spans="1:16" x14ac:dyDescent="0.2">
      <c r="D58" s="2">
        <v>0</v>
      </c>
      <c r="F58" s="2">
        <v>0</v>
      </c>
      <c r="G58" s="2" t="e">
        <f t="shared" si="5"/>
        <v>#DIV/0!</v>
      </c>
      <c r="H58" s="2">
        <f t="shared" si="6"/>
        <v>0</v>
      </c>
      <c r="I58" s="2">
        <v>0</v>
      </c>
      <c r="J58" s="2">
        <v>0</v>
      </c>
      <c r="K58" s="1" t="e">
        <f t="shared" si="9"/>
        <v>#DIV/0!</v>
      </c>
      <c r="L58" s="1" t="e">
        <f t="shared" si="7"/>
        <v>#DIV/0!</v>
      </c>
      <c r="N58" s="89">
        <v>0</v>
      </c>
      <c r="O58" s="85" t="e">
        <f t="shared" si="8"/>
        <v>#DIV/0!</v>
      </c>
    </row>
    <row r="59" spans="1:16" x14ac:dyDescent="0.2">
      <c r="D59" s="2">
        <v>0</v>
      </c>
      <c r="F59" s="2">
        <v>0</v>
      </c>
      <c r="G59" s="2" t="e">
        <f t="shared" si="5"/>
        <v>#DIV/0!</v>
      </c>
      <c r="H59" s="2">
        <f t="shared" si="6"/>
        <v>0</v>
      </c>
      <c r="I59" s="2">
        <v>0</v>
      </c>
      <c r="J59" s="2">
        <v>0</v>
      </c>
      <c r="K59" s="1" t="e">
        <f t="shared" si="9"/>
        <v>#DIV/0!</v>
      </c>
      <c r="L59" s="1" t="e">
        <f t="shared" si="7"/>
        <v>#DIV/0!</v>
      </c>
      <c r="N59" s="89">
        <v>0</v>
      </c>
      <c r="O59" s="85" t="e">
        <f t="shared" si="8"/>
        <v>#DIV/0!</v>
      </c>
    </row>
    <row r="60" spans="1:16" x14ac:dyDescent="0.2">
      <c r="D60" s="2">
        <v>0</v>
      </c>
      <c r="F60" s="2">
        <v>0</v>
      </c>
      <c r="G60" s="2" t="e">
        <f t="shared" si="5"/>
        <v>#DIV/0!</v>
      </c>
      <c r="H60" s="2">
        <f t="shared" si="6"/>
        <v>0</v>
      </c>
      <c r="I60" s="2">
        <v>0</v>
      </c>
      <c r="J60" s="2">
        <v>0</v>
      </c>
      <c r="K60" s="1" t="e">
        <f t="shared" si="9"/>
        <v>#DIV/0!</v>
      </c>
      <c r="L60" s="1" t="e">
        <f t="shared" si="7"/>
        <v>#DIV/0!</v>
      </c>
      <c r="N60" s="89">
        <v>0</v>
      </c>
      <c r="O60" s="85" t="e">
        <f t="shared" si="8"/>
        <v>#DIV/0!</v>
      </c>
    </row>
  </sheetData>
  <sortState xmlns:xlrd2="http://schemas.microsoft.com/office/spreadsheetml/2017/richdata2" ref="A2:P49">
    <sortCondition descending="1" ref="O2:O49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54BB-79ED-4BB8-86A7-A209452C43A5}">
  <dimension ref="A1:Q33"/>
  <sheetViews>
    <sheetView workbookViewId="0">
      <selection activeCell="N5" sqref="N5"/>
    </sheetView>
  </sheetViews>
  <sheetFormatPr defaultRowHeight="14.25" x14ac:dyDescent="0.2"/>
  <cols>
    <col min="4" max="4" width="11.5" bestFit="1" customWidth="1"/>
    <col min="5" max="5" width="10.75" bestFit="1" customWidth="1"/>
    <col min="6" max="6" width="7.875" bestFit="1" customWidth="1"/>
    <col min="7" max="7" width="14" bestFit="1" customWidth="1"/>
    <col min="8" max="8" width="10.125" bestFit="1" customWidth="1"/>
    <col min="11" max="11" width="14.75" bestFit="1" customWidth="1"/>
    <col min="12" max="12" width="8.625" bestFit="1" customWidth="1"/>
    <col min="14" max="14" width="17.375" bestFit="1" customWidth="1"/>
  </cols>
  <sheetData>
    <row r="1" spans="1:17" x14ac:dyDescent="0.2">
      <c r="B1" t="s">
        <v>719</v>
      </c>
      <c r="C1" t="s">
        <v>2187</v>
      </c>
      <c r="D1" t="s">
        <v>2407</v>
      </c>
      <c r="E1" t="s">
        <v>2189</v>
      </c>
      <c r="F1" t="s">
        <v>1675</v>
      </c>
      <c r="G1" t="s">
        <v>2278</v>
      </c>
      <c r="H1" t="s">
        <v>2279</v>
      </c>
      <c r="I1" t="s">
        <v>2433</v>
      </c>
      <c r="J1" t="s">
        <v>2434</v>
      </c>
      <c r="K1" s="1" t="s">
        <v>2446</v>
      </c>
      <c r="L1" t="s">
        <v>2432</v>
      </c>
      <c r="N1" t="s">
        <v>718</v>
      </c>
      <c r="P1" t="s">
        <v>2422</v>
      </c>
      <c r="Q1" t="s">
        <v>2188</v>
      </c>
    </row>
    <row r="2" spans="1:17" x14ac:dyDescent="0.2">
      <c r="A2" t="s">
        <v>2442</v>
      </c>
      <c r="B2">
        <v>191</v>
      </c>
      <c r="C2">
        <f t="shared" ref="C2:C7" si="0">B2-$Q$8</f>
        <v>-68</v>
      </c>
      <c r="D2" s="1">
        <f t="shared" ref="D2:D7" si="1">C2/$Q$8</f>
        <v>-0.26254826254826252</v>
      </c>
      <c r="E2">
        <f t="shared" ref="E2:E7" si="2">B2-$Q$9</f>
        <v>141</v>
      </c>
      <c r="F2">
        <f t="shared" ref="F2:F7" si="3">E2+C2</f>
        <v>73</v>
      </c>
      <c r="G2" s="7">
        <f t="shared" ref="G2:G6" si="4">(F2/$O$8*1000)*(1/O$9)</f>
        <v>467.94871794871796</v>
      </c>
      <c r="H2" s="7">
        <f t="shared" ref="H2:H7" si="5">E2/$O$8*1000</f>
        <v>813.14878892733566</v>
      </c>
      <c r="K2" s="1"/>
      <c r="N2">
        <v>156</v>
      </c>
      <c r="O2" t="s">
        <v>2126</v>
      </c>
      <c r="P2">
        <v>155</v>
      </c>
      <c r="Q2">
        <v>0</v>
      </c>
    </row>
    <row r="3" spans="1:17" x14ac:dyDescent="0.2">
      <c r="A3" t="s">
        <v>2009</v>
      </c>
      <c r="B3">
        <v>245</v>
      </c>
      <c r="C3">
        <f t="shared" si="0"/>
        <v>-14</v>
      </c>
      <c r="D3" s="1">
        <f t="shared" si="1"/>
        <v>-5.4054054054054057E-2</v>
      </c>
      <c r="E3">
        <f t="shared" si="2"/>
        <v>195</v>
      </c>
      <c r="F3">
        <f t="shared" si="3"/>
        <v>181</v>
      </c>
      <c r="G3" s="7">
        <f t="shared" si="4"/>
        <v>1160.2564102564102</v>
      </c>
      <c r="H3" s="7">
        <f t="shared" si="5"/>
        <v>1124.5674740484428</v>
      </c>
      <c r="I3">
        <f>E3-E2</f>
        <v>54</v>
      </c>
      <c r="J3" s="2">
        <f>(G3*O$8)/(I3*1000*12)</f>
        <v>0.31047602089268755</v>
      </c>
      <c r="K3" s="1"/>
      <c r="L3" s="83"/>
      <c r="N3">
        <v>4.4000000000000004</v>
      </c>
      <c r="O3" t="s">
        <v>2127</v>
      </c>
      <c r="P3">
        <v>20</v>
      </c>
    </row>
    <row r="4" spans="1:17" x14ac:dyDescent="0.2">
      <c r="A4" t="s">
        <v>2001</v>
      </c>
      <c r="B4">
        <v>344</v>
      </c>
      <c r="C4">
        <f t="shared" si="0"/>
        <v>85</v>
      </c>
      <c r="D4" s="1">
        <f t="shared" si="1"/>
        <v>0.3281853281853282</v>
      </c>
      <c r="E4">
        <f t="shared" si="2"/>
        <v>294</v>
      </c>
      <c r="F4">
        <f t="shared" si="3"/>
        <v>379</v>
      </c>
      <c r="G4" s="7">
        <f t="shared" si="4"/>
        <v>2429.4871794871792</v>
      </c>
      <c r="H4" s="7">
        <f t="shared" si="5"/>
        <v>1695.5017301038063</v>
      </c>
      <c r="I4">
        <f>E4-E3</f>
        <v>99</v>
      </c>
      <c r="J4" s="2">
        <f>(G4*O$8)/(I4*1000*12)</f>
        <v>0.3546069671069671</v>
      </c>
      <c r="K4" s="1">
        <f>(I4/I3)-1</f>
        <v>0.83333333333333326</v>
      </c>
      <c r="L4" s="111">
        <f>J4/(K4*100)</f>
        <v>4.2552836052836057E-3</v>
      </c>
      <c r="N4">
        <v>13</v>
      </c>
      <c r="O4" t="s">
        <v>2140</v>
      </c>
      <c r="P4">
        <v>34</v>
      </c>
      <c r="Q4">
        <v>0</v>
      </c>
    </row>
    <row r="5" spans="1:17" x14ac:dyDescent="0.2">
      <c r="A5" t="s">
        <v>2198</v>
      </c>
      <c r="B5">
        <v>467.9</v>
      </c>
      <c r="C5">
        <f t="shared" si="0"/>
        <v>208.89999999999998</v>
      </c>
      <c r="D5" s="1">
        <f t="shared" si="1"/>
        <v>0.80656370656370646</v>
      </c>
      <c r="E5">
        <f t="shared" si="2"/>
        <v>417.9</v>
      </c>
      <c r="F5">
        <f t="shared" si="3"/>
        <v>626.79999999999995</v>
      </c>
      <c r="G5" s="7">
        <f t="shared" si="4"/>
        <v>4017.9487179487178</v>
      </c>
      <c r="H5" s="7">
        <f t="shared" si="5"/>
        <v>2410.0346020761244</v>
      </c>
      <c r="I5">
        <f>E5-E4</f>
        <v>123.89999999999998</v>
      </c>
      <c r="J5" s="2">
        <f>(G5*O$8)/(I5*1000*12)</f>
        <v>0.46859853893752207</v>
      </c>
      <c r="K5" s="1">
        <f>(I5/I4)-1</f>
        <v>0.25151515151515125</v>
      </c>
      <c r="L5" s="111">
        <f>J5/(K5*100)</f>
        <v>1.8631026246913547E-2</v>
      </c>
      <c r="O5" t="s">
        <v>2307</v>
      </c>
      <c r="P5">
        <v>0</v>
      </c>
      <c r="Q5">
        <v>50</v>
      </c>
    </row>
    <row r="6" spans="1:17" x14ac:dyDescent="0.2">
      <c r="A6" t="s">
        <v>2441</v>
      </c>
      <c r="B6">
        <v>493.6</v>
      </c>
      <c r="C6">
        <f t="shared" si="0"/>
        <v>234.60000000000002</v>
      </c>
      <c r="D6" s="1">
        <f t="shared" si="1"/>
        <v>0.90579150579150591</v>
      </c>
      <c r="E6">
        <f t="shared" si="2"/>
        <v>443.6</v>
      </c>
      <c r="F6">
        <f t="shared" si="3"/>
        <v>678.2</v>
      </c>
      <c r="G6" s="7">
        <f t="shared" si="4"/>
        <v>4347.4358974358984</v>
      </c>
      <c r="H6" s="7">
        <f t="shared" si="5"/>
        <v>2558.246828143022</v>
      </c>
      <c r="I6">
        <f>E6-E5</f>
        <v>25.700000000000045</v>
      </c>
      <c r="J6" s="2">
        <f>(G6*O$8)/(I6*1000*12)</f>
        <v>2.4443754364960557</v>
      </c>
      <c r="K6" s="1">
        <f>(I6/I5)-1</f>
        <v>-0.79257465698143625</v>
      </c>
      <c r="L6" s="111">
        <f>J6/(K6*100)</f>
        <v>-3.0840948735423774E-2</v>
      </c>
    </row>
    <row r="7" spans="1:17" x14ac:dyDescent="0.2">
      <c r="A7" t="s">
        <v>2443</v>
      </c>
      <c r="B7">
        <v>540.4</v>
      </c>
      <c r="C7">
        <f t="shared" si="0"/>
        <v>281.39999999999998</v>
      </c>
      <c r="D7" s="1">
        <f t="shared" si="1"/>
        <v>1.0864864864864865</v>
      </c>
      <c r="E7">
        <f t="shared" si="2"/>
        <v>490.4</v>
      </c>
      <c r="F7">
        <f t="shared" si="3"/>
        <v>771.8</v>
      </c>
      <c r="G7" s="7">
        <f>(F7/$O$8*1000)*(1/O$9)</f>
        <v>4947.4358974358965</v>
      </c>
      <c r="H7" s="7">
        <f t="shared" si="5"/>
        <v>2828.1430219146482</v>
      </c>
      <c r="I7">
        <f>E7-E6</f>
        <v>46.799999999999955</v>
      </c>
      <c r="J7" s="2">
        <f>(G7*O$8)/(I7*1000*12)</f>
        <v>1.5275736905544608</v>
      </c>
      <c r="K7" s="1">
        <f>(I7/I6)-1</f>
        <v>0.82101167315174606</v>
      </c>
      <c r="L7" s="111">
        <f>J7/(K7*100)</f>
        <v>1.8605992344668188E-2</v>
      </c>
    </row>
    <row r="8" spans="1:17" x14ac:dyDescent="0.2">
      <c r="N8" t="s">
        <v>2444</v>
      </c>
      <c r="O8">
        <f>SUM(N2:N4)</f>
        <v>173.4</v>
      </c>
      <c r="P8" t="s">
        <v>719</v>
      </c>
      <c r="Q8">
        <f>SUM(P2:P5)+SUM(Q2:Q5)</f>
        <v>259</v>
      </c>
    </row>
    <row r="9" spans="1:17" x14ac:dyDescent="0.2">
      <c r="N9" t="s">
        <v>2445</v>
      </c>
      <c r="O9" s="89">
        <f>N2/O8</f>
        <v>0.89965397923875434</v>
      </c>
      <c r="P9" t="s">
        <v>2188</v>
      </c>
      <c r="Q9">
        <f>SUM(Q3:Q7)</f>
        <v>50</v>
      </c>
    </row>
    <row r="12" spans="1:17" x14ac:dyDescent="0.2">
      <c r="J12">
        <f>1/O9</f>
        <v>1.1115384615384616</v>
      </c>
    </row>
    <row r="13" spans="1:17" x14ac:dyDescent="0.2">
      <c r="E13">
        <v>14</v>
      </c>
    </row>
    <row r="14" spans="1:17" x14ac:dyDescent="0.2">
      <c r="C14" t="s">
        <v>2381</v>
      </c>
      <c r="D14">
        <v>0</v>
      </c>
    </row>
    <row r="15" spans="1:17" x14ac:dyDescent="0.2">
      <c r="C15" t="s">
        <v>2067</v>
      </c>
      <c r="D15">
        <v>1.1000000000000001</v>
      </c>
    </row>
    <row r="16" spans="1:17" x14ac:dyDescent="0.2">
      <c r="C16" t="s">
        <v>2027</v>
      </c>
      <c r="D16">
        <v>23.5</v>
      </c>
    </row>
    <row r="17" spans="3:4" x14ac:dyDescent="0.2">
      <c r="C17" t="s">
        <v>2069</v>
      </c>
      <c r="D17">
        <v>0</v>
      </c>
    </row>
    <row r="18" spans="3:4" x14ac:dyDescent="0.2">
      <c r="C18" t="s">
        <v>2382</v>
      </c>
      <c r="D18">
        <v>0</v>
      </c>
    </row>
    <row r="19" spans="3:4" x14ac:dyDescent="0.2">
      <c r="C19" t="s">
        <v>2287</v>
      </c>
      <c r="D19">
        <v>41.7</v>
      </c>
    </row>
    <row r="20" spans="3:4" x14ac:dyDescent="0.2">
      <c r="C20" t="s">
        <v>2321</v>
      </c>
      <c r="D20">
        <v>0</v>
      </c>
    </row>
    <row r="21" spans="3:4" x14ac:dyDescent="0.2">
      <c r="C21" t="s">
        <v>2375</v>
      </c>
      <c r="D21">
        <v>332</v>
      </c>
    </row>
    <row r="22" spans="3:4" x14ac:dyDescent="0.2">
      <c r="C22" t="s">
        <v>2379</v>
      </c>
      <c r="D22">
        <v>86.1</v>
      </c>
    </row>
    <row r="23" spans="3:4" x14ac:dyDescent="0.2">
      <c r="C23" t="s">
        <v>2026</v>
      </c>
      <c r="D23">
        <v>0</v>
      </c>
    </row>
    <row r="24" spans="3:4" x14ac:dyDescent="0.2">
      <c r="C24" t="s">
        <v>2389</v>
      </c>
      <c r="D24">
        <v>0</v>
      </c>
    </row>
    <row r="25" spans="3:4" x14ac:dyDescent="0.2">
      <c r="C25" t="s">
        <v>2283</v>
      </c>
      <c r="D25">
        <v>0</v>
      </c>
    </row>
    <row r="26" spans="3:4" x14ac:dyDescent="0.2">
      <c r="C26" t="s">
        <v>2391</v>
      </c>
      <c r="D26">
        <v>0</v>
      </c>
    </row>
    <row r="27" spans="3:4" x14ac:dyDescent="0.2">
      <c r="C27" t="s">
        <v>2346</v>
      </c>
      <c r="D27">
        <v>9.1999999999999993</v>
      </c>
    </row>
    <row r="28" spans="3:4" x14ac:dyDescent="0.2">
      <c r="C28" t="s">
        <v>2404</v>
      </c>
      <c r="D28">
        <v>0</v>
      </c>
    </row>
    <row r="33" spans="3:4" x14ac:dyDescent="0.2">
      <c r="C33" t="s">
        <v>719</v>
      </c>
      <c r="D33">
        <f>SUM(D14:D32)</f>
        <v>493.59999999999997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41" sqref="C41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1831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1863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1828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1833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1832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1829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1830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1864</v>
      </c>
    </row>
    <row r="24" spans="1:5" x14ac:dyDescent="0.2">
      <c r="A24" s="31" t="s">
        <v>1865</v>
      </c>
    </row>
    <row r="25" spans="1:5" x14ac:dyDescent="0.2">
      <c r="A25" t="s">
        <v>1866</v>
      </c>
    </row>
    <row r="26" spans="1:5" x14ac:dyDescent="0.2">
      <c r="A26" t="s">
        <v>1867</v>
      </c>
    </row>
    <row r="27" spans="1:5" x14ac:dyDescent="0.2">
      <c r="A27" t="s">
        <v>1868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1835</v>
      </c>
      <c r="G16" t="s">
        <v>1797</v>
      </c>
    </row>
    <row r="17" spans="6:7" x14ac:dyDescent="0.2">
      <c r="F17" t="s">
        <v>1835</v>
      </c>
      <c r="G17" t="s">
        <v>1834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B2" sqref="B2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2180</v>
      </c>
      <c r="C1">
        <v>11</v>
      </c>
      <c r="D1" t="s">
        <v>1820</v>
      </c>
    </row>
    <row r="2" spans="1:4" x14ac:dyDescent="0.2">
      <c r="A2" t="s">
        <v>1806</v>
      </c>
      <c r="B2" t="s">
        <v>1820</v>
      </c>
      <c r="D2" t="s">
        <v>1820</v>
      </c>
    </row>
    <row r="3" spans="1:4" x14ac:dyDescent="0.2">
      <c r="A3" t="s">
        <v>1807</v>
      </c>
      <c r="B3" t="s">
        <v>1198</v>
      </c>
      <c r="D3" t="s">
        <v>1820</v>
      </c>
    </row>
    <row r="4" spans="1:4" x14ac:dyDescent="0.2">
      <c r="A4" t="s">
        <v>1808</v>
      </c>
      <c r="B4" t="s">
        <v>1198</v>
      </c>
      <c r="D4" t="s">
        <v>1820</v>
      </c>
    </row>
    <row r="5" spans="1:4" x14ac:dyDescent="0.2">
      <c r="A5" t="s">
        <v>1809</v>
      </c>
      <c r="B5" t="s">
        <v>1198</v>
      </c>
      <c r="D5" t="s">
        <v>1820</v>
      </c>
    </row>
    <row r="6" spans="1:4" x14ac:dyDescent="0.2">
      <c r="A6" t="s">
        <v>1810</v>
      </c>
      <c r="B6" t="s">
        <v>1198</v>
      </c>
      <c r="D6" t="s">
        <v>1820</v>
      </c>
    </row>
    <row r="7" spans="1:4" x14ac:dyDescent="0.2">
      <c r="A7" t="s">
        <v>1811</v>
      </c>
      <c r="B7" t="s">
        <v>1198</v>
      </c>
      <c r="D7" t="s">
        <v>1820</v>
      </c>
    </row>
    <row r="8" spans="1:4" x14ac:dyDescent="0.2">
      <c r="A8" t="s">
        <v>1812</v>
      </c>
      <c r="B8" t="s">
        <v>1198</v>
      </c>
      <c r="D8" t="s">
        <v>1820</v>
      </c>
    </row>
    <row r="9" spans="1:4" x14ac:dyDescent="0.2">
      <c r="A9" t="s">
        <v>1813</v>
      </c>
      <c r="B9" t="s">
        <v>1198</v>
      </c>
      <c r="D9" t="s">
        <v>1820</v>
      </c>
    </row>
    <row r="10" spans="1:4" x14ac:dyDescent="0.2">
      <c r="A10" t="s">
        <v>1814</v>
      </c>
      <c r="B10" t="s">
        <v>1198</v>
      </c>
      <c r="D10" t="s">
        <v>1820</v>
      </c>
    </row>
    <row r="11" spans="1:4" x14ac:dyDescent="0.2">
      <c r="A11" t="s">
        <v>1815</v>
      </c>
      <c r="B11" t="s">
        <v>1198</v>
      </c>
      <c r="D11" t="s">
        <v>1820</v>
      </c>
    </row>
    <row r="12" spans="1:4" x14ac:dyDescent="0.2">
      <c r="A12" t="s">
        <v>1816</v>
      </c>
      <c r="B12" t="s">
        <v>1198</v>
      </c>
      <c r="D12" t="s">
        <v>1820</v>
      </c>
    </row>
    <row r="13" spans="1:4" x14ac:dyDescent="0.2">
      <c r="A13" t="s">
        <v>1817</v>
      </c>
      <c r="B13" t="s">
        <v>1198</v>
      </c>
      <c r="D13" t="s">
        <v>1820</v>
      </c>
    </row>
    <row r="14" spans="1:4" x14ac:dyDescent="0.2">
      <c r="A14" t="s">
        <v>1818</v>
      </c>
      <c r="B14" t="s">
        <v>2181</v>
      </c>
      <c r="C14">
        <v>11</v>
      </c>
      <c r="D14" t="s">
        <v>1821</v>
      </c>
    </row>
    <row r="15" spans="1:4" x14ac:dyDescent="0.2">
      <c r="A15" t="s">
        <v>1819</v>
      </c>
      <c r="B15" t="s">
        <v>2182</v>
      </c>
      <c r="C15">
        <v>12</v>
      </c>
      <c r="D15" t="s">
        <v>1820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I4" workbookViewId="0">
      <selection activeCell="N16" sqref="N16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22" bestFit="1" customWidth="1"/>
    <col min="13" max="13" width="20.625" bestFit="1" customWidth="1"/>
    <col min="16" max="16" width="17.375" bestFit="1" customWidth="1"/>
    <col min="17" max="17" width="16.1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Calc'!A2,MPQ!F$2)</f>
        <v>"wmb",</v>
      </c>
      <c r="T2" t="s">
        <v>2104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Calc'!A3,MPQ!F$2)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Calc'!A4,MPQ!F$2)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Calc'!A5,MPQ!F$2)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Calc'!A6,MPQ!F$2)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Calc'!A7,MPQ!F$2)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Calc'!A8,MPQ!F$2)</f>
        <v>"holx",</v>
      </c>
      <c r="K8" t="s">
        <v>1841</v>
      </c>
      <c r="L8">
        <v>5</v>
      </c>
      <c r="M8" s="30" t="s">
        <v>1843</v>
      </c>
      <c r="N8" s="30">
        <v>50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Calc'!A9,MPQ!F$2)</f>
        <v>"ebay",</v>
      </c>
      <c r="K9" s="30" t="s">
        <v>1638</v>
      </c>
      <c r="L9" s="30">
        <v>9</v>
      </c>
      <c r="M9" t="s">
        <v>1647</v>
      </c>
      <c r="N9">
        <v>23</v>
      </c>
      <c r="P9" t="s">
        <v>1837</v>
      </c>
      <c r="Q9" t="s">
        <v>1838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Calc'!A10,MPQ!F$2)</f>
        <v>"fbc",</v>
      </c>
      <c r="K10" t="s">
        <v>1842</v>
      </c>
      <c r="L10">
        <v>8</v>
      </c>
      <c r="M10" t="s">
        <v>2106</v>
      </c>
      <c r="N10">
        <v>15</v>
      </c>
      <c r="P10" t="s">
        <v>1844</v>
      </c>
      <c r="Q10" t="s">
        <v>1845</v>
      </c>
      <c r="R10">
        <v>2</v>
      </c>
      <c r="T10" t="s">
        <v>1642</v>
      </c>
      <c r="U10" t="s">
        <v>1641</v>
      </c>
      <c r="V10" t="s">
        <v>1869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Calc'!A11,MPQ!F$2)</f>
        <v>"spwh",</v>
      </c>
      <c r="K11" t="s">
        <v>1645</v>
      </c>
      <c r="L11">
        <v>2</v>
      </c>
      <c r="M11" t="s">
        <v>1839</v>
      </c>
      <c r="N11">
        <v>21</v>
      </c>
      <c r="P11" t="s">
        <v>1844</v>
      </c>
      <c r="Q11" t="s">
        <v>1847</v>
      </c>
      <c r="R11">
        <v>3</v>
      </c>
      <c r="T11" t="s">
        <v>2452</v>
      </c>
      <c r="U11" t="s">
        <v>2453</v>
      </c>
      <c r="V11" t="s">
        <v>2454</v>
      </c>
      <c r="W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Calc'!A12,MPQ!F$2)</f>
        <v>"nbn",</v>
      </c>
      <c r="K12" t="s">
        <v>1846</v>
      </c>
      <c r="L12">
        <v>5</v>
      </c>
      <c r="M12" t="s">
        <v>1840</v>
      </c>
      <c r="N12">
        <v>9</v>
      </c>
      <c r="P12" t="s">
        <v>1850</v>
      </c>
      <c r="Q12" t="s">
        <v>1851</v>
      </c>
      <c r="R12">
        <v>4</v>
      </c>
      <c r="T12" t="s">
        <v>2455</v>
      </c>
      <c r="U12" t="s">
        <v>2456</v>
      </c>
      <c r="V12" t="s">
        <v>2454</v>
      </c>
      <c r="W12">
        <v>4</v>
      </c>
    </row>
    <row r="13" spans="1:23" x14ac:dyDescent="0.2">
      <c r="K13" t="s">
        <v>1646</v>
      </c>
      <c r="L13">
        <v>1</v>
      </c>
      <c r="M13" t="s">
        <v>1652</v>
      </c>
      <c r="N13">
        <v>4</v>
      </c>
      <c r="P13" t="s">
        <v>1850</v>
      </c>
      <c r="Q13" t="s">
        <v>1845</v>
      </c>
      <c r="R13">
        <v>5</v>
      </c>
    </row>
    <row r="14" spans="1:23" x14ac:dyDescent="0.2">
      <c r="K14" t="s">
        <v>1836</v>
      </c>
      <c r="L14">
        <v>1</v>
      </c>
      <c r="M14" t="s">
        <v>1841</v>
      </c>
      <c r="N14">
        <v>5</v>
      </c>
      <c r="P14" t="s">
        <v>1852</v>
      </c>
      <c r="Q14" t="s">
        <v>1853</v>
      </c>
      <c r="R14">
        <v>6</v>
      </c>
    </row>
    <row r="15" spans="1:23" x14ac:dyDescent="0.2">
      <c r="I15" t="str">
        <f>CONCATENATE(E$2,'Stock Calc'!A13,MPQ!F$2)</f>
        <v>"cfbk",</v>
      </c>
      <c r="K15" t="s">
        <v>1849</v>
      </c>
      <c r="L15">
        <v>1</v>
      </c>
      <c r="M15" t="s">
        <v>1639</v>
      </c>
      <c r="N15">
        <v>8</v>
      </c>
      <c r="P15" t="s">
        <v>2311</v>
      </c>
      <c r="Q15" t="s">
        <v>2312</v>
      </c>
      <c r="R15">
        <v>7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Calc'!A14,MPQ!F$2)</f>
        <v>"msgn",</v>
      </c>
      <c r="K16" t="s">
        <v>1856</v>
      </c>
      <c r="L16">
        <v>2</v>
      </c>
      <c r="M16" t="s">
        <v>1653</v>
      </c>
      <c r="N16">
        <v>1</v>
      </c>
      <c r="P16" t="s">
        <v>2359</v>
      </c>
      <c r="Q16" t="s">
        <v>2358</v>
      </c>
      <c r="R16">
        <v>7</v>
      </c>
    </row>
    <row r="17" spans="1:18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Calc'!A15,MPQ!F$2)</f>
        <v>"amd",</v>
      </c>
      <c r="K17" t="s">
        <v>1858</v>
      </c>
      <c r="L17">
        <v>1</v>
      </c>
      <c r="M17" t="s">
        <v>1848</v>
      </c>
      <c r="N17">
        <v>2</v>
      </c>
      <c r="P17" t="s">
        <v>2426</v>
      </c>
      <c r="Q17" t="s">
        <v>2427</v>
      </c>
      <c r="R17">
        <v>7</v>
      </c>
    </row>
    <row r="18" spans="1:18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Calc'!A16,MPQ!F$2)</f>
        <v>"pg",</v>
      </c>
      <c r="K18" t="s">
        <v>1652</v>
      </c>
      <c r="L18">
        <v>9</v>
      </c>
      <c r="M18" t="s">
        <v>1854</v>
      </c>
      <c r="N18">
        <v>1</v>
      </c>
      <c r="P18" t="s">
        <v>2449</v>
      </c>
      <c r="Q18" t="s">
        <v>1850</v>
      </c>
      <c r="R18">
        <v>8</v>
      </c>
    </row>
    <row r="19" spans="1:18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Calc'!A17,MPQ!F$2)</f>
        <v>"achc",</v>
      </c>
      <c r="K19" t="s">
        <v>2105</v>
      </c>
      <c r="L19">
        <v>1</v>
      </c>
      <c r="M19" t="s">
        <v>1855</v>
      </c>
      <c r="N19">
        <v>1</v>
      </c>
    </row>
    <row r="20" spans="1:18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Calc'!A18,MPQ!F$2)</f>
        <v>"clw",</v>
      </c>
      <c r="K20" t="s">
        <v>2107</v>
      </c>
      <c r="L20">
        <v>1</v>
      </c>
      <c r="M20" t="s">
        <v>1857</v>
      </c>
      <c r="N20">
        <v>3</v>
      </c>
    </row>
    <row r="21" spans="1:18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Calc'!A19,MPQ!F$2)</f>
        <v>"abc",</v>
      </c>
      <c r="K21" t="s">
        <v>2137</v>
      </c>
      <c r="L21">
        <v>1</v>
      </c>
      <c r="M21" t="s">
        <v>2077</v>
      </c>
      <c r="N21">
        <v>1</v>
      </c>
    </row>
    <row r="22" spans="1:18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Calc'!A20,MPQ!F$2)</f>
        <v>"qrvo",</v>
      </c>
      <c r="K22" t="s">
        <v>2138</v>
      </c>
      <c r="L22">
        <v>1</v>
      </c>
      <c r="M22" t="s">
        <v>2108</v>
      </c>
      <c r="N22">
        <v>5</v>
      </c>
    </row>
    <row r="23" spans="1:18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Calc'!A21,MPQ!F$2)</f>
        <v>"mchp",</v>
      </c>
      <c r="K23" t="s">
        <v>2190</v>
      </c>
      <c r="L23">
        <v>1</v>
      </c>
      <c r="M23" t="s">
        <v>2139</v>
      </c>
      <c r="N23">
        <v>1</v>
      </c>
    </row>
    <row r="24" spans="1:18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Calc'!A22,MPQ!F$2)</f>
        <v>"cvs",</v>
      </c>
      <c r="K24" t="s">
        <v>2249</v>
      </c>
      <c r="L24">
        <v>1</v>
      </c>
      <c r="M24" t="s">
        <v>2209</v>
      </c>
      <c r="N24">
        <v>1</v>
      </c>
    </row>
    <row r="25" spans="1:18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Calc'!A23,MPQ!F$2)</f>
        <v>"prdo",</v>
      </c>
      <c r="K25" t="s">
        <v>2262</v>
      </c>
      <c r="L25">
        <v>1</v>
      </c>
      <c r="M25" t="s">
        <v>2210</v>
      </c>
      <c r="N25">
        <v>1</v>
      </c>
    </row>
    <row r="26" spans="1:18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Calc'!A24,MPQ!F$2)</f>
        <v>"hone",</v>
      </c>
      <c r="K26" t="s">
        <v>2268</v>
      </c>
      <c r="L26">
        <v>1</v>
      </c>
      <c r="M26" t="s">
        <v>2245</v>
      </c>
      <c r="N26">
        <v>1</v>
      </c>
    </row>
    <row r="27" spans="1:18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Calc'!A25,MPQ!F$2)</f>
        <v>"mth",</v>
      </c>
      <c r="K27" t="s">
        <v>2269</v>
      </c>
      <c r="L27">
        <v>1</v>
      </c>
      <c r="M27" t="s">
        <v>2246</v>
      </c>
      <c r="N27">
        <v>1</v>
      </c>
    </row>
    <row r="28" spans="1:18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Calc'!A26,MPQ!F$2)</f>
        <v>"gsk",</v>
      </c>
      <c r="K28" t="s">
        <v>2288</v>
      </c>
      <c r="L28">
        <v>1</v>
      </c>
      <c r="M28" t="s">
        <v>2252</v>
      </c>
      <c r="N28">
        <v>1</v>
      </c>
    </row>
    <row r="29" spans="1:18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Calc'!A27,MPQ!F$2)</f>
        <v>"ffwm",</v>
      </c>
      <c r="K29" t="s">
        <v>2289</v>
      </c>
      <c r="L29">
        <v>2</v>
      </c>
      <c r="M29" t="s">
        <v>2263</v>
      </c>
      <c r="N29">
        <v>1</v>
      </c>
    </row>
    <row r="30" spans="1:18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Calc'!A28,MPQ!F$2)</f>
        <v>"low",</v>
      </c>
      <c r="K30" t="s">
        <v>2301</v>
      </c>
      <c r="L30">
        <v>1</v>
      </c>
      <c r="M30" t="s">
        <v>2277</v>
      </c>
      <c r="N30">
        <v>1</v>
      </c>
    </row>
    <row r="31" spans="1:18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Calc'!A29,MPQ!F$2)</f>
        <v>"env",</v>
      </c>
      <c r="K31" t="s">
        <v>2290</v>
      </c>
      <c r="L31">
        <v>1</v>
      </c>
      <c r="M31" t="s">
        <v>2290</v>
      </c>
      <c r="N31">
        <v>1</v>
      </c>
    </row>
    <row r="32" spans="1:18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Calc'!A30,MPQ!F$2)</f>
        <v>"wab",</v>
      </c>
      <c r="K32" t="s">
        <v>2385</v>
      </c>
      <c r="L32">
        <v>1</v>
      </c>
      <c r="M32" t="s">
        <v>2299</v>
      </c>
      <c r="N32">
        <v>2</v>
      </c>
    </row>
    <row r="33" spans="1:14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Calc'!A31,MPQ!F$2)</f>
        <v>"info",</v>
      </c>
      <c r="K33" t="s">
        <v>2386</v>
      </c>
      <c r="L33">
        <v>1</v>
      </c>
      <c r="M33" t="s">
        <v>2302</v>
      </c>
      <c r="N33">
        <v>3</v>
      </c>
    </row>
    <row r="34" spans="1:14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Calc'!A32,MPQ!F$2)</f>
        <v>"doc",</v>
      </c>
      <c r="K34" t="s">
        <v>2413</v>
      </c>
      <c r="L34">
        <v>2</v>
      </c>
      <c r="M34" t="s">
        <v>2354</v>
      </c>
      <c r="N34">
        <v>1</v>
      </c>
    </row>
    <row r="35" spans="1:14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Calc'!A33,MPQ!F$2)</f>
        <v>"lfvn",</v>
      </c>
      <c r="K35" t="s">
        <v>2428</v>
      </c>
      <c r="L35">
        <v>2</v>
      </c>
      <c r="M35" t="s">
        <v>2357</v>
      </c>
      <c r="N35">
        <v>2</v>
      </c>
    </row>
    <row r="36" spans="1:14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Calc'!A34,MPQ!F$2)</f>
        <v>"jcom",</v>
      </c>
      <c r="K36" t="s">
        <v>2448</v>
      </c>
      <c r="L36">
        <v>1</v>
      </c>
      <c r="M36" t="s">
        <v>2392</v>
      </c>
      <c r="N36">
        <v>1</v>
      </c>
    </row>
    <row r="37" spans="1:14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Calc'!A35,MPQ!F$2)</f>
        <v>"TMO",</v>
      </c>
      <c r="M37" t="s">
        <v>2393</v>
      </c>
      <c r="N37">
        <v>5</v>
      </c>
    </row>
    <row r="38" spans="1:14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Calc'!A36,MPQ!F$2)</f>
        <v>"etr",</v>
      </c>
      <c r="M38" t="s">
        <v>2397</v>
      </c>
      <c r="N38">
        <v>1</v>
      </c>
    </row>
    <row r="39" spans="1:14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Calc'!A37,MPQ!F$2)</f>
        <v>"ssnc",</v>
      </c>
      <c r="M39" t="s">
        <v>2402</v>
      </c>
      <c r="N39">
        <v>1</v>
      </c>
    </row>
    <row r="40" spans="1:14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Calc'!A38,MPQ!F$2)</f>
        <v>"asx",</v>
      </c>
      <c r="M40" t="s">
        <v>2412</v>
      </c>
      <c r="N40">
        <v>1</v>
      </c>
    </row>
    <row r="41" spans="1:14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Calc'!A39,MPQ!F$2)</f>
        <v>"ensg",</v>
      </c>
      <c r="M41" t="s">
        <v>2420</v>
      </c>
      <c r="N41">
        <v>1</v>
      </c>
    </row>
    <row r="42" spans="1:14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Calc'!A40,MPQ!F$2)</f>
        <v>"regn",</v>
      </c>
      <c r="M42" t="s">
        <v>2421</v>
      </c>
      <c r="N42">
        <v>2</v>
      </c>
    </row>
    <row r="43" spans="1:14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Calc'!A41,MPQ!F$2)</f>
        <v>"wsbf",</v>
      </c>
      <c r="M43" t="s">
        <v>2138</v>
      </c>
      <c r="N43">
        <v>1</v>
      </c>
    </row>
    <row r="44" spans="1:14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Calc'!A42,MPQ!F$2)</f>
        <v>"lrcx",</v>
      </c>
      <c r="M44" t="s">
        <v>2423</v>
      </c>
      <c r="N44">
        <v>1</v>
      </c>
    </row>
    <row r="45" spans="1:14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Calc'!A43,MPQ!F$2)</f>
        <v>"ubcp",</v>
      </c>
      <c r="M45" t="s">
        <v>2429</v>
      </c>
      <c r="N45">
        <v>1</v>
      </c>
    </row>
    <row r="46" spans="1:14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Calc'!A44,MPQ!F$2)</f>
        <v>"dhi",</v>
      </c>
      <c r="M46" t="s">
        <v>2439</v>
      </c>
      <c r="N46">
        <v>1</v>
      </c>
    </row>
    <row r="47" spans="1:14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Calc'!A45,MPQ!F$2)</f>
        <v>"len",</v>
      </c>
      <c r="M47" t="s">
        <v>2440</v>
      </c>
      <c r="N47">
        <v>1</v>
      </c>
    </row>
    <row r="48" spans="1:14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Calc'!A46,MPQ!F$2)</f>
        <v>"pkbk",</v>
      </c>
      <c r="M48" t="s">
        <v>2447</v>
      </c>
      <c r="N48">
        <v>1</v>
      </c>
    </row>
    <row r="49" spans="1:14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Calc'!A47,MPQ!F$2)</f>
        <v>"prsc",</v>
      </c>
      <c r="M49" t="s">
        <v>2450</v>
      </c>
      <c r="N49">
        <v>1</v>
      </c>
    </row>
    <row r="50" spans="1:14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Calc'!A48,MPQ!F$2)</f>
        <v>"jci",</v>
      </c>
      <c r="M50" t="s">
        <v>2451</v>
      </c>
      <c r="N50">
        <v>1</v>
      </c>
    </row>
    <row r="51" spans="1:14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Calc'!A49,MPQ!F$2)</f>
        <v>"dg",</v>
      </c>
      <c r="M51" t="s">
        <v>2457</v>
      </c>
      <c r="N51">
        <v>1</v>
      </c>
    </row>
    <row r="52" spans="1:14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Calc'!A50,MPQ!F$2)</f>
        <v>"ftnt",</v>
      </c>
    </row>
    <row r="53" spans="1:14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Calc'!A51,MPQ!F$2)</f>
        <v>"tsco",</v>
      </c>
    </row>
    <row r="54" spans="1:14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Calc'!A52,MPQ!F$2)</f>
        <v>"ibp",</v>
      </c>
    </row>
    <row r="55" spans="1:14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Calc'!A53,MPQ!F$2)</f>
        <v>"cag",</v>
      </c>
    </row>
    <row r="56" spans="1:14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Calc'!A54,MPQ!F$2)</f>
        <v>"cboe",</v>
      </c>
    </row>
    <row r="57" spans="1:14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Calc'!A55,MPQ!F$2)</f>
        <v>"ci",</v>
      </c>
    </row>
    <row r="58" spans="1:14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Calc'!A56,MPQ!F$2)</f>
        <v>"bery",</v>
      </c>
    </row>
    <row r="59" spans="1:14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Calc'!A57,MPQ!F$2)</f>
        <v>"aon",</v>
      </c>
    </row>
    <row r="60" spans="1:14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Calc'!A58,MPQ!F$2)</f>
        <v>"mrk",</v>
      </c>
    </row>
    <row r="61" spans="1:14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Calc'!A59,MPQ!F$2)</f>
        <v>"cort",</v>
      </c>
    </row>
    <row r="62" spans="1:14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Calc'!A60,MPQ!F$2)</f>
        <v>"cs",</v>
      </c>
    </row>
    <row r="63" spans="1:14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Calc'!A61,MPQ!F$2)</f>
        <v>"tsbk",</v>
      </c>
    </row>
    <row r="64" spans="1:14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Calc'!A62,MPQ!F$2)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Calc'!A63,MPQ!F$2)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Calc'!A64,MPQ!F$2)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Calc'!A65,MPQ!F$2)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Calc'!A66,MPQ!F$2)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Calc'!A67,MPQ!F$2)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Calc'!A68,MPQ!F$2)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Calc'!A69,MPQ!F$2)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Calc'!A70,MPQ!F$2)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M8:N34">
    <sortCondition descending="1" ref="N8:N34"/>
  </sortState>
  <conditionalFormatting sqref="A17:H56 F66:F68 A57:B76 D57:D76 H57:H76">
    <cfRule type="expression" dxfId="0" priority="3">
      <formula>AND($C$11=$B17,$D17&lt;$C$12)</formula>
    </cfRule>
  </conditionalFormatting>
  <conditionalFormatting sqref="N8:N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Stock Calc</vt:lpstr>
      <vt:lpstr>Sheet1</vt:lpstr>
      <vt:lpstr>Instructors</vt:lpstr>
      <vt:lpstr>Companies Applied To</vt:lpstr>
      <vt:lpstr>Vets</vt:lpstr>
      <vt:lpstr>MPQ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Crypto</vt:lpstr>
      <vt:lpstr>bitcoin</vt:lpstr>
      <vt:lpstr>MiningRates</vt:lpstr>
      <vt:lpstr>Weight</vt:lpstr>
      <vt:lpstr>Apointments</vt:lpstr>
      <vt:lpstr>Resturants</vt:lpstr>
      <vt:lpstr>Stocks</vt:lpstr>
      <vt:lpstr>Tokenomics</vt:lpstr>
      <vt:lpstr>Sheet2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2021-04-27T21:53:48Z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