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n Geert\Documents\VanPaz\Business plans VanPaz\"/>
    </mc:Choice>
  </mc:AlternateContent>
  <bookViews>
    <workbookView xWindow="0" yWindow="0" windowWidth="20490" windowHeight="8820" tabRatio="500" firstSheet="2" activeTab="5"/>
  </bookViews>
  <sheets>
    <sheet name="Cover" sheetId="8" r:id="rId1"/>
    <sheet name="Market" sheetId="1" r:id="rId2"/>
    <sheet name="PxQ" sheetId="5" r:id="rId3"/>
    <sheet name="P&amp;L" sheetId="2" r:id="rId4"/>
    <sheet name="Balance sheet" sheetId="3" r:id="rId5"/>
    <sheet name="Cashflow + financing" sheetId="4" r:id="rId6"/>
    <sheet name="Parameters" sheetId="6" r:id="rId7"/>
    <sheet name="Valuation" sheetId="7" r:id="rId8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3" l="1"/>
  <c r="H10" i="3"/>
  <c r="I10" i="3"/>
  <c r="J10" i="3"/>
  <c r="F10" i="3"/>
  <c r="AI55" i="5"/>
  <c r="AJ55" i="5"/>
  <c r="AK55" i="5"/>
  <c r="AL55" i="5"/>
  <c r="AM55" i="5"/>
  <c r="AI56" i="5"/>
  <c r="AJ56" i="5"/>
  <c r="AK56" i="5"/>
  <c r="AL56" i="5"/>
  <c r="AM56" i="5"/>
  <c r="AI57" i="5"/>
  <c r="AJ57" i="5"/>
  <c r="AK57" i="5"/>
  <c r="AL57" i="5"/>
  <c r="AM57" i="5"/>
  <c r="AI58" i="5"/>
  <c r="AJ58" i="5"/>
  <c r="AK58" i="5"/>
  <c r="AL58" i="5"/>
  <c r="AM58" i="5"/>
  <c r="AI59" i="5"/>
  <c r="AJ59" i="5"/>
  <c r="AK59" i="5"/>
  <c r="AL59" i="5"/>
  <c r="AM59" i="5"/>
  <c r="AI60" i="5"/>
  <c r="AJ60" i="5"/>
  <c r="AK60" i="5"/>
  <c r="AL60" i="5"/>
  <c r="AM60" i="5"/>
  <c r="AI61" i="5"/>
  <c r="AJ61" i="5"/>
  <c r="AK61" i="5"/>
  <c r="AL61" i="5"/>
  <c r="AM61" i="5"/>
  <c r="AI62" i="5"/>
  <c r="AJ62" i="5"/>
  <c r="AK62" i="5"/>
  <c r="AL62" i="5"/>
  <c r="AM62" i="5"/>
  <c r="AI63" i="5"/>
  <c r="AJ63" i="5"/>
  <c r="AK63" i="5"/>
  <c r="AL63" i="5"/>
  <c r="AM63" i="5"/>
  <c r="AJ54" i="5"/>
  <c r="AK54" i="5"/>
  <c r="AL54" i="5"/>
  <c r="AM54" i="5"/>
  <c r="AI54" i="5"/>
  <c r="G15" i="3"/>
  <c r="H15" i="3"/>
  <c r="I15" i="3"/>
  <c r="J15" i="3"/>
  <c r="C4" i="5"/>
  <c r="D4" i="5"/>
  <c r="D100" i="5"/>
  <c r="E4" i="5"/>
  <c r="E100" i="5"/>
  <c r="F4" i="5"/>
  <c r="F100" i="5"/>
  <c r="G4" i="5"/>
  <c r="G100" i="5"/>
  <c r="C100" i="5"/>
  <c r="R6" i="5"/>
  <c r="S6" i="5"/>
  <c r="D6" i="2"/>
  <c r="R7" i="5"/>
  <c r="S7" i="5"/>
  <c r="D7" i="2"/>
  <c r="R8" i="5"/>
  <c r="S8" i="5"/>
  <c r="D8" i="2"/>
  <c r="R9" i="5"/>
  <c r="S9" i="5"/>
  <c r="D9" i="2"/>
  <c r="R10" i="5"/>
  <c r="S10" i="5"/>
  <c r="D10" i="2"/>
  <c r="R11" i="5"/>
  <c r="S11" i="5"/>
  <c r="D11" i="2"/>
  <c r="R12" i="5"/>
  <c r="S12" i="5"/>
  <c r="D12" i="2"/>
  <c r="R13" i="5"/>
  <c r="S13" i="5"/>
  <c r="D13" i="2"/>
  <c r="R14" i="5"/>
  <c r="S14" i="5"/>
  <c r="D14" i="2"/>
  <c r="R15" i="5"/>
  <c r="S15" i="5"/>
  <c r="D15" i="2"/>
  <c r="D16" i="2"/>
  <c r="R22" i="5"/>
  <c r="S22" i="5"/>
  <c r="D18" i="2"/>
  <c r="R23" i="5"/>
  <c r="S23" i="5"/>
  <c r="D19" i="2"/>
  <c r="R24" i="5"/>
  <c r="S24" i="5"/>
  <c r="D20" i="2"/>
  <c r="R25" i="5"/>
  <c r="S25" i="5"/>
  <c r="D21" i="2"/>
  <c r="R26" i="5"/>
  <c r="S26" i="5"/>
  <c r="D22" i="2"/>
  <c r="R27" i="5"/>
  <c r="S27" i="5"/>
  <c r="D23" i="2"/>
  <c r="R28" i="5"/>
  <c r="S28" i="5"/>
  <c r="D24" i="2"/>
  <c r="R29" i="5"/>
  <c r="S29" i="5"/>
  <c r="D25" i="2"/>
  <c r="R30" i="5"/>
  <c r="S30" i="5"/>
  <c r="D26" i="2"/>
  <c r="R31" i="5"/>
  <c r="S31" i="5"/>
  <c r="D27" i="2"/>
  <c r="D28" i="2"/>
  <c r="D30" i="2"/>
  <c r="D44" i="2"/>
  <c r="R70" i="5"/>
  <c r="S70" i="5"/>
  <c r="D45" i="2"/>
  <c r="R71" i="5"/>
  <c r="S71" i="5"/>
  <c r="D46" i="2"/>
  <c r="R72" i="5"/>
  <c r="S72" i="5"/>
  <c r="D47" i="2"/>
  <c r="R73" i="5"/>
  <c r="S73" i="5"/>
  <c r="D48" i="2"/>
  <c r="R74" i="5"/>
  <c r="S74" i="5"/>
  <c r="D49" i="2"/>
  <c r="R75" i="5"/>
  <c r="S75" i="5"/>
  <c r="D50" i="2"/>
  <c r="R76" i="5"/>
  <c r="S76" i="5"/>
  <c r="D51" i="2"/>
  <c r="R77" i="5"/>
  <c r="S77" i="5"/>
  <c r="D52" i="2"/>
  <c r="R78" i="5"/>
  <c r="S78" i="5"/>
  <c r="D53" i="2"/>
  <c r="D54" i="2"/>
  <c r="D56" i="2"/>
  <c r="R86" i="5"/>
  <c r="S86" i="5"/>
  <c r="C102" i="5"/>
  <c r="K119" i="5"/>
  <c r="K102" i="5"/>
  <c r="R87" i="5"/>
  <c r="S87" i="5"/>
  <c r="C103" i="5"/>
  <c r="K120" i="5"/>
  <c r="K103" i="5"/>
  <c r="R88" i="5"/>
  <c r="S88" i="5"/>
  <c r="C104" i="5"/>
  <c r="K121" i="5"/>
  <c r="K104" i="5"/>
  <c r="R89" i="5"/>
  <c r="S89" i="5"/>
  <c r="C105" i="5"/>
  <c r="K122" i="5"/>
  <c r="K105" i="5"/>
  <c r="R90" i="5"/>
  <c r="S90" i="5"/>
  <c r="C106" i="5"/>
  <c r="K123" i="5"/>
  <c r="K106" i="5"/>
  <c r="R91" i="5"/>
  <c r="S91" i="5"/>
  <c r="C107" i="5"/>
  <c r="K124" i="5"/>
  <c r="K107" i="5"/>
  <c r="R92" i="5"/>
  <c r="S92" i="5"/>
  <c r="C108" i="5"/>
  <c r="K125" i="5"/>
  <c r="K108" i="5"/>
  <c r="R93" i="5"/>
  <c r="S93" i="5"/>
  <c r="C109" i="5"/>
  <c r="K126" i="5"/>
  <c r="K109" i="5"/>
  <c r="R94" i="5"/>
  <c r="S94" i="5"/>
  <c r="C110" i="5"/>
  <c r="K127" i="5"/>
  <c r="K110" i="5"/>
  <c r="R95" i="5"/>
  <c r="S95" i="5"/>
  <c r="C111" i="5"/>
  <c r="K128" i="5"/>
  <c r="K111" i="5"/>
  <c r="D58" i="2"/>
  <c r="D60" i="2"/>
  <c r="F31" i="3"/>
  <c r="F32" i="3"/>
  <c r="D63" i="2"/>
  <c r="D65" i="2"/>
  <c r="D72" i="2"/>
  <c r="D74" i="2"/>
  <c r="L70" i="5"/>
  <c r="D70" i="5"/>
  <c r="E70" i="5"/>
  <c r="F70" i="5"/>
  <c r="G70" i="5"/>
  <c r="G50" i="6"/>
  <c r="G51" i="6"/>
  <c r="G52" i="6"/>
  <c r="G53" i="6"/>
  <c r="G54" i="6"/>
  <c r="G55" i="6"/>
  <c r="G56" i="6"/>
  <c r="G57" i="6"/>
  <c r="R79" i="5"/>
  <c r="S79" i="5"/>
  <c r="G58" i="6"/>
  <c r="G49" i="6"/>
  <c r="G60" i="6"/>
  <c r="G31" i="3"/>
  <c r="G32" i="3"/>
  <c r="E63" i="2"/>
  <c r="H31" i="3"/>
  <c r="H32" i="3"/>
  <c r="F63" i="2"/>
  <c r="I31" i="3"/>
  <c r="I32" i="3"/>
  <c r="G63" i="2"/>
  <c r="J31" i="3"/>
  <c r="J32" i="3"/>
  <c r="H63" i="2"/>
  <c r="T70" i="5"/>
  <c r="E45" i="2"/>
  <c r="T71" i="5"/>
  <c r="E46" i="2"/>
  <c r="T72" i="5"/>
  <c r="E47" i="2"/>
  <c r="T73" i="5"/>
  <c r="E48" i="2"/>
  <c r="T74" i="5"/>
  <c r="E49" i="2"/>
  <c r="T75" i="5"/>
  <c r="E50" i="2"/>
  <c r="T76" i="5"/>
  <c r="E51" i="2"/>
  <c r="T77" i="5"/>
  <c r="E52" i="2"/>
  <c r="T78" i="5"/>
  <c r="E53" i="2"/>
  <c r="E44" i="2"/>
  <c r="E54" i="2"/>
  <c r="T6" i="5"/>
  <c r="E6" i="2"/>
  <c r="L7" i="5"/>
  <c r="T7" i="5"/>
  <c r="E7" i="2"/>
  <c r="T8" i="5"/>
  <c r="E8" i="2"/>
  <c r="T9" i="5"/>
  <c r="E9" i="2"/>
  <c r="T10" i="5"/>
  <c r="E10" i="2"/>
  <c r="T11" i="5"/>
  <c r="E11" i="2"/>
  <c r="T12" i="5"/>
  <c r="E12" i="2"/>
  <c r="T13" i="5"/>
  <c r="E13" i="2"/>
  <c r="T14" i="5"/>
  <c r="E14" i="2"/>
  <c r="T15" i="5"/>
  <c r="E15" i="2"/>
  <c r="E16" i="2"/>
  <c r="T22" i="5"/>
  <c r="E18" i="2"/>
  <c r="T23" i="5"/>
  <c r="E19" i="2"/>
  <c r="T24" i="5"/>
  <c r="E20" i="2"/>
  <c r="T25" i="5"/>
  <c r="E21" i="2"/>
  <c r="T26" i="5"/>
  <c r="E22" i="2"/>
  <c r="T27" i="5"/>
  <c r="E23" i="2"/>
  <c r="T28" i="5"/>
  <c r="E24" i="2"/>
  <c r="T29" i="5"/>
  <c r="E25" i="2"/>
  <c r="T30" i="5"/>
  <c r="E26" i="2"/>
  <c r="T31" i="5"/>
  <c r="E27" i="2"/>
  <c r="E28" i="2"/>
  <c r="E30" i="2"/>
  <c r="E56" i="2"/>
  <c r="L119" i="5"/>
  <c r="T86" i="5"/>
  <c r="D102" i="5"/>
  <c r="L134" i="5"/>
  <c r="L102" i="5"/>
  <c r="L120" i="5"/>
  <c r="T87" i="5"/>
  <c r="D103" i="5"/>
  <c r="L135" i="5"/>
  <c r="L103" i="5"/>
  <c r="L121" i="5"/>
  <c r="T88" i="5"/>
  <c r="D104" i="5"/>
  <c r="L136" i="5"/>
  <c r="L104" i="5"/>
  <c r="L122" i="5"/>
  <c r="T89" i="5"/>
  <c r="D105" i="5"/>
  <c r="L137" i="5"/>
  <c r="L105" i="5"/>
  <c r="L123" i="5"/>
  <c r="T90" i="5"/>
  <c r="D106" i="5"/>
  <c r="L138" i="5"/>
  <c r="L106" i="5"/>
  <c r="L124" i="5"/>
  <c r="T91" i="5"/>
  <c r="D107" i="5"/>
  <c r="L139" i="5"/>
  <c r="L107" i="5"/>
  <c r="L125" i="5"/>
  <c r="T92" i="5"/>
  <c r="D108" i="5"/>
  <c r="L140" i="5"/>
  <c r="L108" i="5"/>
  <c r="L126" i="5"/>
  <c r="T93" i="5"/>
  <c r="D109" i="5"/>
  <c r="L141" i="5"/>
  <c r="L109" i="5"/>
  <c r="L127" i="5"/>
  <c r="T94" i="5"/>
  <c r="D110" i="5"/>
  <c r="L142" i="5"/>
  <c r="L110" i="5"/>
  <c r="L128" i="5"/>
  <c r="T95" i="5"/>
  <c r="D111" i="5"/>
  <c r="L143" i="5"/>
  <c r="L111" i="5"/>
  <c r="E58" i="2"/>
  <c r="E60" i="2"/>
  <c r="E65" i="2"/>
  <c r="E74" i="2"/>
  <c r="E76" i="2"/>
  <c r="G11" i="3"/>
  <c r="U70" i="5"/>
  <c r="F45" i="2"/>
  <c r="U71" i="5"/>
  <c r="F46" i="2"/>
  <c r="U72" i="5"/>
  <c r="F47" i="2"/>
  <c r="U73" i="5"/>
  <c r="F48" i="2"/>
  <c r="U74" i="5"/>
  <c r="F49" i="2"/>
  <c r="U75" i="5"/>
  <c r="F50" i="2"/>
  <c r="U76" i="5"/>
  <c r="F51" i="2"/>
  <c r="U77" i="5"/>
  <c r="F52" i="2"/>
  <c r="U78" i="5"/>
  <c r="F53" i="2"/>
  <c r="F44" i="2"/>
  <c r="F54" i="2"/>
  <c r="U6" i="5"/>
  <c r="F6" i="2"/>
  <c r="M7" i="5"/>
  <c r="U7" i="5"/>
  <c r="F7" i="2"/>
  <c r="U8" i="5"/>
  <c r="F8" i="2"/>
  <c r="U9" i="5"/>
  <c r="F9" i="2"/>
  <c r="U10" i="5"/>
  <c r="F10" i="2"/>
  <c r="U11" i="5"/>
  <c r="F11" i="2"/>
  <c r="U12" i="5"/>
  <c r="F12" i="2"/>
  <c r="U13" i="5"/>
  <c r="F13" i="2"/>
  <c r="U14" i="5"/>
  <c r="F14" i="2"/>
  <c r="U15" i="5"/>
  <c r="F15" i="2"/>
  <c r="F16" i="2"/>
  <c r="U22" i="5"/>
  <c r="F18" i="2"/>
  <c r="U23" i="5"/>
  <c r="F19" i="2"/>
  <c r="U24" i="5"/>
  <c r="F20" i="2"/>
  <c r="U25" i="5"/>
  <c r="F21" i="2"/>
  <c r="U26" i="5"/>
  <c r="F22" i="2"/>
  <c r="U27" i="5"/>
  <c r="F23" i="2"/>
  <c r="U28" i="5"/>
  <c r="F24" i="2"/>
  <c r="U29" i="5"/>
  <c r="F25" i="2"/>
  <c r="U30" i="5"/>
  <c r="F26" i="2"/>
  <c r="U31" i="5"/>
  <c r="F27" i="2"/>
  <c r="F28" i="2"/>
  <c r="F30" i="2"/>
  <c r="F56" i="2"/>
  <c r="M119" i="5"/>
  <c r="M134" i="5"/>
  <c r="U86" i="5"/>
  <c r="E102" i="5"/>
  <c r="M149" i="5"/>
  <c r="M102" i="5"/>
  <c r="M120" i="5"/>
  <c r="M135" i="5"/>
  <c r="U87" i="5"/>
  <c r="E103" i="5"/>
  <c r="M150" i="5"/>
  <c r="M103" i="5"/>
  <c r="M121" i="5"/>
  <c r="M136" i="5"/>
  <c r="U88" i="5"/>
  <c r="E104" i="5"/>
  <c r="M151" i="5"/>
  <c r="M104" i="5"/>
  <c r="M122" i="5"/>
  <c r="M137" i="5"/>
  <c r="U89" i="5"/>
  <c r="E105" i="5"/>
  <c r="M152" i="5"/>
  <c r="M105" i="5"/>
  <c r="M123" i="5"/>
  <c r="M138" i="5"/>
  <c r="U90" i="5"/>
  <c r="E106" i="5"/>
  <c r="M153" i="5"/>
  <c r="M106" i="5"/>
  <c r="M124" i="5"/>
  <c r="M139" i="5"/>
  <c r="U91" i="5"/>
  <c r="E107" i="5"/>
  <c r="M154" i="5"/>
  <c r="M107" i="5"/>
  <c r="M125" i="5"/>
  <c r="M140" i="5"/>
  <c r="U92" i="5"/>
  <c r="E108" i="5"/>
  <c r="M155" i="5"/>
  <c r="M108" i="5"/>
  <c r="M126" i="5"/>
  <c r="M141" i="5"/>
  <c r="U93" i="5"/>
  <c r="E109" i="5"/>
  <c r="M156" i="5"/>
  <c r="M109" i="5"/>
  <c r="M127" i="5"/>
  <c r="M142" i="5"/>
  <c r="U94" i="5"/>
  <c r="E110" i="5"/>
  <c r="M157" i="5"/>
  <c r="M110" i="5"/>
  <c r="M128" i="5"/>
  <c r="M143" i="5"/>
  <c r="U95" i="5"/>
  <c r="E111" i="5"/>
  <c r="M158" i="5"/>
  <c r="M111" i="5"/>
  <c r="F58" i="2"/>
  <c r="F60" i="2"/>
  <c r="F65" i="2"/>
  <c r="F74" i="2"/>
  <c r="F76" i="2"/>
  <c r="H11" i="3"/>
  <c r="V70" i="5"/>
  <c r="G45" i="2"/>
  <c r="V71" i="5"/>
  <c r="G46" i="2"/>
  <c r="V72" i="5"/>
  <c r="G47" i="2"/>
  <c r="V73" i="5"/>
  <c r="G48" i="2"/>
  <c r="V74" i="5"/>
  <c r="G49" i="2"/>
  <c r="V75" i="5"/>
  <c r="G50" i="2"/>
  <c r="V76" i="5"/>
  <c r="G51" i="2"/>
  <c r="V77" i="5"/>
  <c r="G52" i="2"/>
  <c r="V78" i="5"/>
  <c r="G53" i="2"/>
  <c r="G44" i="2"/>
  <c r="G54" i="2"/>
  <c r="V6" i="5"/>
  <c r="G6" i="2"/>
  <c r="N7" i="5"/>
  <c r="V7" i="5"/>
  <c r="G7" i="2"/>
  <c r="V8" i="5"/>
  <c r="G8" i="2"/>
  <c r="V9" i="5"/>
  <c r="G9" i="2"/>
  <c r="V10" i="5"/>
  <c r="G10" i="2"/>
  <c r="V11" i="5"/>
  <c r="G11" i="2"/>
  <c r="V12" i="5"/>
  <c r="G12" i="2"/>
  <c r="V13" i="5"/>
  <c r="G13" i="2"/>
  <c r="V14" i="5"/>
  <c r="G14" i="2"/>
  <c r="V15" i="5"/>
  <c r="G15" i="2"/>
  <c r="G16" i="2"/>
  <c r="V22" i="5"/>
  <c r="G18" i="2"/>
  <c r="V23" i="5"/>
  <c r="G19" i="2"/>
  <c r="V24" i="5"/>
  <c r="G20" i="2"/>
  <c r="V25" i="5"/>
  <c r="G21" i="2"/>
  <c r="V26" i="5"/>
  <c r="G22" i="2"/>
  <c r="V27" i="5"/>
  <c r="G23" i="2"/>
  <c r="V28" i="5"/>
  <c r="G24" i="2"/>
  <c r="V29" i="5"/>
  <c r="G25" i="2"/>
  <c r="V30" i="5"/>
  <c r="G26" i="2"/>
  <c r="V31" i="5"/>
  <c r="G27" i="2"/>
  <c r="G28" i="2"/>
  <c r="G30" i="2"/>
  <c r="G56" i="2"/>
  <c r="N119" i="5"/>
  <c r="N134" i="5"/>
  <c r="N149" i="5"/>
  <c r="V86" i="5"/>
  <c r="F102" i="5"/>
  <c r="N164" i="5"/>
  <c r="N102" i="5"/>
  <c r="N120" i="5"/>
  <c r="N135" i="5"/>
  <c r="N150" i="5"/>
  <c r="V87" i="5"/>
  <c r="F103" i="5"/>
  <c r="N165" i="5"/>
  <c r="N103" i="5"/>
  <c r="N121" i="5"/>
  <c r="N136" i="5"/>
  <c r="N151" i="5"/>
  <c r="V88" i="5"/>
  <c r="F104" i="5"/>
  <c r="N166" i="5"/>
  <c r="N104" i="5"/>
  <c r="N122" i="5"/>
  <c r="N137" i="5"/>
  <c r="N152" i="5"/>
  <c r="V89" i="5"/>
  <c r="F105" i="5"/>
  <c r="N167" i="5"/>
  <c r="N105" i="5"/>
  <c r="N123" i="5"/>
  <c r="N138" i="5"/>
  <c r="N153" i="5"/>
  <c r="V90" i="5"/>
  <c r="F106" i="5"/>
  <c r="N168" i="5"/>
  <c r="N106" i="5"/>
  <c r="N124" i="5"/>
  <c r="N139" i="5"/>
  <c r="N154" i="5"/>
  <c r="V91" i="5"/>
  <c r="F107" i="5"/>
  <c r="N169" i="5"/>
  <c r="N107" i="5"/>
  <c r="N125" i="5"/>
  <c r="N140" i="5"/>
  <c r="N155" i="5"/>
  <c r="V92" i="5"/>
  <c r="F108" i="5"/>
  <c r="N170" i="5"/>
  <c r="N108" i="5"/>
  <c r="N126" i="5"/>
  <c r="N141" i="5"/>
  <c r="N156" i="5"/>
  <c r="V93" i="5"/>
  <c r="F109" i="5"/>
  <c r="N171" i="5"/>
  <c r="N109" i="5"/>
  <c r="N127" i="5"/>
  <c r="N142" i="5"/>
  <c r="N157" i="5"/>
  <c r="V94" i="5"/>
  <c r="F110" i="5"/>
  <c r="N172" i="5"/>
  <c r="N110" i="5"/>
  <c r="N128" i="5"/>
  <c r="N143" i="5"/>
  <c r="N158" i="5"/>
  <c r="V95" i="5"/>
  <c r="F111" i="5"/>
  <c r="N173" i="5"/>
  <c r="N111" i="5"/>
  <c r="G58" i="2"/>
  <c r="G60" i="2"/>
  <c r="G65" i="2"/>
  <c r="G74" i="2"/>
  <c r="G76" i="2"/>
  <c r="I11" i="3"/>
  <c r="W70" i="5"/>
  <c r="H45" i="2"/>
  <c r="W71" i="5"/>
  <c r="H46" i="2"/>
  <c r="W72" i="5"/>
  <c r="H47" i="2"/>
  <c r="W73" i="5"/>
  <c r="H48" i="2"/>
  <c r="W74" i="5"/>
  <c r="H49" i="2"/>
  <c r="W75" i="5"/>
  <c r="H50" i="2"/>
  <c r="W76" i="5"/>
  <c r="H51" i="2"/>
  <c r="W77" i="5"/>
  <c r="H52" i="2"/>
  <c r="W78" i="5"/>
  <c r="H53" i="2"/>
  <c r="H44" i="2"/>
  <c r="H54" i="2"/>
  <c r="W6" i="5"/>
  <c r="H6" i="2"/>
  <c r="O7" i="5"/>
  <c r="W7" i="5"/>
  <c r="H7" i="2"/>
  <c r="W8" i="5"/>
  <c r="H8" i="2"/>
  <c r="W9" i="5"/>
  <c r="H9" i="2"/>
  <c r="W10" i="5"/>
  <c r="H10" i="2"/>
  <c r="W11" i="5"/>
  <c r="H11" i="2"/>
  <c r="W12" i="5"/>
  <c r="H12" i="2"/>
  <c r="W13" i="5"/>
  <c r="H13" i="2"/>
  <c r="W14" i="5"/>
  <c r="H14" i="2"/>
  <c r="W15" i="5"/>
  <c r="H15" i="2"/>
  <c r="H16" i="2"/>
  <c r="W22" i="5"/>
  <c r="H18" i="2"/>
  <c r="W23" i="5"/>
  <c r="H19" i="2"/>
  <c r="W24" i="5"/>
  <c r="H20" i="2"/>
  <c r="W25" i="5"/>
  <c r="H21" i="2"/>
  <c r="W26" i="5"/>
  <c r="H22" i="2"/>
  <c r="W27" i="5"/>
  <c r="H23" i="2"/>
  <c r="W28" i="5"/>
  <c r="H24" i="2"/>
  <c r="W29" i="5"/>
  <c r="H25" i="2"/>
  <c r="W30" i="5"/>
  <c r="H26" i="2"/>
  <c r="W31" i="5"/>
  <c r="H27" i="2"/>
  <c r="H28" i="2"/>
  <c r="H30" i="2"/>
  <c r="H56" i="2"/>
  <c r="O119" i="5"/>
  <c r="O134" i="5"/>
  <c r="O149" i="5"/>
  <c r="O164" i="5"/>
  <c r="W86" i="5"/>
  <c r="G102" i="5"/>
  <c r="O179" i="5"/>
  <c r="O102" i="5"/>
  <c r="O120" i="5"/>
  <c r="O135" i="5"/>
  <c r="O150" i="5"/>
  <c r="O165" i="5"/>
  <c r="W87" i="5"/>
  <c r="G103" i="5"/>
  <c r="O180" i="5"/>
  <c r="O103" i="5"/>
  <c r="O121" i="5"/>
  <c r="O136" i="5"/>
  <c r="O151" i="5"/>
  <c r="O166" i="5"/>
  <c r="W88" i="5"/>
  <c r="G104" i="5"/>
  <c r="O181" i="5"/>
  <c r="O104" i="5"/>
  <c r="O122" i="5"/>
  <c r="O137" i="5"/>
  <c r="O152" i="5"/>
  <c r="O167" i="5"/>
  <c r="W89" i="5"/>
  <c r="G105" i="5"/>
  <c r="O182" i="5"/>
  <c r="O105" i="5"/>
  <c r="O123" i="5"/>
  <c r="O138" i="5"/>
  <c r="O153" i="5"/>
  <c r="O168" i="5"/>
  <c r="W90" i="5"/>
  <c r="G106" i="5"/>
  <c r="O183" i="5"/>
  <c r="O106" i="5"/>
  <c r="O124" i="5"/>
  <c r="O139" i="5"/>
  <c r="O154" i="5"/>
  <c r="O169" i="5"/>
  <c r="W91" i="5"/>
  <c r="G107" i="5"/>
  <c r="O184" i="5"/>
  <c r="O107" i="5"/>
  <c r="O125" i="5"/>
  <c r="O140" i="5"/>
  <c r="O155" i="5"/>
  <c r="O170" i="5"/>
  <c r="W92" i="5"/>
  <c r="G108" i="5"/>
  <c r="O185" i="5"/>
  <c r="O108" i="5"/>
  <c r="O126" i="5"/>
  <c r="O141" i="5"/>
  <c r="O156" i="5"/>
  <c r="O171" i="5"/>
  <c r="W93" i="5"/>
  <c r="G109" i="5"/>
  <c r="O186" i="5"/>
  <c r="O109" i="5"/>
  <c r="O127" i="5"/>
  <c r="O142" i="5"/>
  <c r="O157" i="5"/>
  <c r="O172" i="5"/>
  <c r="W94" i="5"/>
  <c r="G110" i="5"/>
  <c r="O187" i="5"/>
  <c r="O110" i="5"/>
  <c r="O128" i="5"/>
  <c r="O143" i="5"/>
  <c r="O158" i="5"/>
  <c r="O173" i="5"/>
  <c r="W95" i="5"/>
  <c r="G111" i="5"/>
  <c r="O188" i="5"/>
  <c r="O111" i="5"/>
  <c r="H58" i="2"/>
  <c r="H60" i="2"/>
  <c r="H65" i="2"/>
  <c r="H74" i="2"/>
  <c r="H76" i="2"/>
  <c r="J11" i="3"/>
  <c r="D76" i="2"/>
  <c r="F11" i="3"/>
  <c r="E67" i="2"/>
  <c r="E78" i="2"/>
  <c r="G39" i="3"/>
  <c r="F67" i="2"/>
  <c r="F78" i="2"/>
  <c r="H39" i="3"/>
  <c r="G67" i="2"/>
  <c r="G78" i="2"/>
  <c r="I39" i="3"/>
  <c r="H67" i="2"/>
  <c r="H78" i="2"/>
  <c r="J39" i="3"/>
  <c r="D67" i="2"/>
  <c r="D78" i="2"/>
  <c r="F39" i="3"/>
  <c r="C74" i="2"/>
  <c r="C76" i="2"/>
  <c r="C78" i="2"/>
  <c r="F72" i="2"/>
  <c r="E72" i="2"/>
  <c r="G72" i="2"/>
  <c r="H72" i="2"/>
  <c r="C20" i="6"/>
  <c r="A71" i="5"/>
  <c r="Q71" i="5"/>
  <c r="A72" i="5"/>
  <c r="Q72" i="5"/>
  <c r="A73" i="5"/>
  <c r="Q73" i="5"/>
  <c r="A74" i="5"/>
  <c r="Q74" i="5"/>
  <c r="A75" i="5"/>
  <c r="Q75" i="5"/>
  <c r="A76" i="5"/>
  <c r="Q76" i="5"/>
  <c r="A77" i="5"/>
  <c r="Q77" i="5"/>
  <c r="A78" i="5"/>
  <c r="Q78" i="5"/>
  <c r="A79" i="5"/>
  <c r="Q79" i="5"/>
  <c r="A70" i="5"/>
  <c r="Q70" i="5"/>
  <c r="A55" i="5"/>
  <c r="Q55" i="5"/>
  <c r="A56" i="5"/>
  <c r="Q56" i="5"/>
  <c r="A57" i="5"/>
  <c r="Q57" i="5"/>
  <c r="A58" i="5"/>
  <c r="Q58" i="5"/>
  <c r="A59" i="5"/>
  <c r="Q59" i="5"/>
  <c r="A60" i="5"/>
  <c r="Q60" i="5"/>
  <c r="A61" i="5"/>
  <c r="Q61" i="5"/>
  <c r="A62" i="5"/>
  <c r="Q62" i="5"/>
  <c r="A63" i="5"/>
  <c r="Q63" i="5"/>
  <c r="A54" i="5"/>
  <c r="Q54" i="5"/>
  <c r="J6" i="5"/>
  <c r="J63" i="5"/>
  <c r="J62" i="5"/>
  <c r="J61" i="5"/>
  <c r="J60" i="5"/>
  <c r="J59" i="5"/>
  <c r="J58" i="5"/>
  <c r="J57" i="5"/>
  <c r="J56" i="5"/>
  <c r="J55" i="5"/>
  <c r="J54" i="5"/>
  <c r="A23" i="5"/>
  <c r="A24" i="5"/>
  <c r="A25" i="5"/>
  <c r="A26" i="5"/>
  <c r="A27" i="5"/>
  <c r="A28" i="5"/>
  <c r="A29" i="5"/>
  <c r="A30" i="5"/>
  <c r="A31" i="5"/>
  <c r="A22" i="5"/>
  <c r="D52" i="5"/>
  <c r="D68" i="5"/>
  <c r="E52" i="5"/>
  <c r="E68" i="5"/>
  <c r="F52" i="5"/>
  <c r="F68" i="5"/>
  <c r="G52" i="5"/>
  <c r="G68" i="5"/>
  <c r="C52" i="5"/>
  <c r="C68" i="5"/>
  <c r="AB26" i="5"/>
  <c r="AB23" i="5"/>
  <c r="AB22" i="5"/>
  <c r="AB24" i="5"/>
  <c r="AB25" i="5"/>
  <c r="AB27" i="5"/>
  <c r="AB28" i="5"/>
  <c r="AB29" i="5"/>
  <c r="AB30" i="5"/>
  <c r="AB31" i="5"/>
  <c r="G14" i="3"/>
  <c r="AC26" i="5"/>
  <c r="AC23" i="5"/>
  <c r="AC22" i="5"/>
  <c r="AC24" i="5"/>
  <c r="AC25" i="5"/>
  <c r="AC27" i="5"/>
  <c r="AC28" i="5"/>
  <c r="AC29" i="5"/>
  <c r="AC30" i="5"/>
  <c r="AC31" i="5"/>
  <c r="H14" i="3"/>
  <c r="AD26" i="5"/>
  <c r="AD23" i="5"/>
  <c r="AD22" i="5"/>
  <c r="AD24" i="5"/>
  <c r="AD25" i="5"/>
  <c r="AD27" i="5"/>
  <c r="AD28" i="5"/>
  <c r="AD29" i="5"/>
  <c r="AD30" i="5"/>
  <c r="AD31" i="5"/>
  <c r="I14" i="3"/>
  <c r="AE26" i="5"/>
  <c r="AE23" i="5"/>
  <c r="AE22" i="5"/>
  <c r="AE24" i="5"/>
  <c r="AE25" i="5"/>
  <c r="AE27" i="5"/>
  <c r="AE28" i="5"/>
  <c r="AE29" i="5"/>
  <c r="AE30" i="5"/>
  <c r="AE31" i="5"/>
  <c r="J14" i="3"/>
  <c r="AA26" i="5"/>
  <c r="AA23" i="5"/>
  <c r="AA22" i="5"/>
  <c r="AA24" i="5"/>
  <c r="AA25" i="5"/>
  <c r="AA27" i="5"/>
  <c r="AA28" i="5"/>
  <c r="AA29" i="5"/>
  <c r="AA30" i="5"/>
  <c r="AA31" i="5"/>
  <c r="F14" i="3"/>
  <c r="Z31" i="5"/>
  <c r="Z30" i="5"/>
  <c r="Z29" i="5"/>
  <c r="Z28" i="5"/>
  <c r="Z27" i="5"/>
  <c r="Z26" i="5"/>
  <c r="Z25" i="5"/>
  <c r="Z24" i="5"/>
  <c r="Z23" i="5"/>
  <c r="Z22" i="5"/>
  <c r="W4" i="5"/>
  <c r="W20" i="5"/>
  <c r="AE20" i="5"/>
  <c r="V4" i="5"/>
  <c r="V20" i="5"/>
  <c r="AD20" i="5"/>
  <c r="U4" i="5"/>
  <c r="U20" i="5"/>
  <c r="AC20" i="5"/>
  <c r="T4" i="5"/>
  <c r="T20" i="5"/>
  <c r="AB20" i="5"/>
  <c r="S4" i="5"/>
  <c r="S20" i="5"/>
  <c r="AA20" i="5"/>
  <c r="L54" i="5"/>
  <c r="M46" i="6"/>
  <c r="R54" i="5"/>
  <c r="R55" i="5"/>
  <c r="R56" i="5"/>
  <c r="R57" i="5"/>
  <c r="R58" i="5"/>
  <c r="R59" i="5"/>
  <c r="R60" i="5"/>
  <c r="R61" i="5"/>
  <c r="R62" i="5"/>
  <c r="R63" i="5"/>
  <c r="G41" i="3"/>
  <c r="M54" i="5"/>
  <c r="H41" i="3"/>
  <c r="N54" i="5"/>
  <c r="I41" i="3"/>
  <c r="O54" i="5"/>
  <c r="J41" i="3"/>
  <c r="F41" i="3"/>
  <c r="F9" i="4"/>
  <c r="G9" i="4"/>
  <c r="H9" i="4"/>
  <c r="I9" i="4"/>
  <c r="E9" i="4"/>
  <c r="E69" i="2"/>
  <c r="F6" i="4"/>
  <c r="F11" i="4"/>
  <c r="F69" i="2"/>
  <c r="G6" i="4"/>
  <c r="G11" i="4"/>
  <c r="G69" i="2"/>
  <c r="H6" i="4"/>
  <c r="H11" i="4"/>
  <c r="H69" i="2"/>
  <c r="I6" i="4"/>
  <c r="I11" i="4"/>
  <c r="D69" i="2"/>
  <c r="E6" i="4"/>
  <c r="E11" i="4"/>
  <c r="T54" i="5"/>
  <c r="E32" i="2"/>
  <c r="T55" i="5"/>
  <c r="E33" i="2"/>
  <c r="T56" i="5"/>
  <c r="E34" i="2"/>
  <c r="T57" i="5"/>
  <c r="E35" i="2"/>
  <c r="T58" i="5"/>
  <c r="E36" i="2"/>
  <c r="T59" i="5"/>
  <c r="E37" i="2"/>
  <c r="T60" i="5"/>
  <c r="E38" i="2"/>
  <c r="T61" i="5"/>
  <c r="E39" i="2"/>
  <c r="T62" i="5"/>
  <c r="E40" i="2"/>
  <c r="T63" i="5"/>
  <c r="E41" i="2"/>
  <c r="E42" i="2"/>
  <c r="G42" i="3"/>
  <c r="U54" i="5"/>
  <c r="F32" i="2"/>
  <c r="U55" i="5"/>
  <c r="F33" i="2"/>
  <c r="U56" i="5"/>
  <c r="F34" i="2"/>
  <c r="U57" i="5"/>
  <c r="F35" i="2"/>
  <c r="U58" i="5"/>
  <c r="F36" i="2"/>
  <c r="U59" i="5"/>
  <c r="F37" i="2"/>
  <c r="U60" i="5"/>
  <c r="F38" i="2"/>
  <c r="U61" i="5"/>
  <c r="F39" i="2"/>
  <c r="U62" i="5"/>
  <c r="F40" i="2"/>
  <c r="U63" i="5"/>
  <c r="F41" i="2"/>
  <c r="F42" i="2"/>
  <c r="H42" i="3"/>
  <c r="V54" i="5"/>
  <c r="G32" i="2"/>
  <c r="V55" i="5"/>
  <c r="G33" i="2"/>
  <c r="V56" i="5"/>
  <c r="G34" i="2"/>
  <c r="V57" i="5"/>
  <c r="G35" i="2"/>
  <c r="V58" i="5"/>
  <c r="G36" i="2"/>
  <c r="V59" i="5"/>
  <c r="G37" i="2"/>
  <c r="V60" i="5"/>
  <c r="G38" i="2"/>
  <c r="V61" i="5"/>
  <c r="G39" i="2"/>
  <c r="V62" i="5"/>
  <c r="G40" i="2"/>
  <c r="V63" i="5"/>
  <c r="G41" i="2"/>
  <c r="G42" i="2"/>
  <c r="I42" i="3"/>
  <c r="W54" i="5"/>
  <c r="H32" i="2"/>
  <c r="W55" i="5"/>
  <c r="H33" i="2"/>
  <c r="W56" i="5"/>
  <c r="H34" i="2"/>
  <c r="W57" i="5"/>
  <c r="H35" i="2"/>
  <c r="W58" i="5"/>
  <c r="H36" i="2"/>
  <c r="W59" i="5"/>
  <c r="H37" i="2"/>
  <c r="W60" i="5"/>
  <c r="H38" i="2"/>
  <c r="W61" i="5"/>
  <c r="H39" i="2"/>
  <c r="W62" i="5"/>
  <c r="H40" i="2"/>
  <c r="W63" i="5"/>
  <c r="H41" i="2"/>
  <c r="H42" i="2"/>
  <c r="J42" i="3"/>
  <c r="S54" i="5"/>
  <c r="D32" i="2"/>
  <c r="S55" i="5"/>
  <c r="D33" i="2"/>
  <c r="S56" i="5"/>
  <c r="D34" i="2"/>
  <c r="S57" i="5"/>
  <c r="D35" i="2"/>
  <c r="S58" i="5"/>
  <c r="D36" i="2"/>
  <c r="S59" i="5"/>
  <c r="D37" i="2"/>
  <c r="S60" i="5"/>
  <c r="D38" i="2"/>
  <c r="S61" i="5"/>
  <c r="D39" i="2"/>
  <c r="S62" i="5"/>
  <c r="D40" i="2"/>
  <c r="S63" i="5"/>
  <c r="D41" i="2"/>
  <c r="D42" i="2"/>
  <c r="F42" i="3"/>
  <c r="Z54" i="5"/>
  <c r="AB54" i="5"/>
  <c r="Z55" i="5"/>
  <c r="AB55" i="5"/>
  <c r="Z56" i="5"/>
  <c r="AB56" i="5"/>
  <c r="Z57" i="5"/>
  <c r="AB57" i="5"/>
  <c r="Z58" i="5"/>
  <c r="AB58" i="5"/>
  <c r="Z59" i="5"/>
  <c r="AB59" i="5"/>
  <c r="Z60" i="5"/>
  <c r="AB60" i="5"/>
  <c r="Z61" i="5"/>
  <c r="AB61" i="5"/>
  <c r="Z62" i="5"/>
  <c r="AB62" i="5"/>
  <c r="Z63" i="5"/>
  <c r="AB63" i="5"/>
  <c r="G40" i="3"/>
  <c r="AC54" i="5"/>
  <c r="AC55" i="5"/>
  <c r="AC56" i="5"/>
  <c r="AC57" i="5"/>
  <c r="AC58" i="5"/>
  <c r="AC59" i="5"/>
  <c r="AC60" i="5"/>
  <c r="AC61" i="5"/>
  <c r="AC62" i="5"/>
  <c r="AC63" i="5"/>
  <c r="H40" i="3"/>
  <c r="AD54" i="5"/>
  <c r="AD55" i="5"/>
  <c r="AD56" i="5"/>
  <c r="AD57" i="5"/>
  <c r="AD58" i="5"/>
  <c r="AD59" i="5"/>
  <c r="AD60" i="5"/>
  <c r="AD61" i="5"/>
  <c r="AD62" i="5"/>
  <c r="AD63" i="5"/>
  <c r="I40" i="3"/>
  <c r="AE54" i="5"/>
  <c r="AE55" i="5"/>
  <c r="AE56" i="5"/>
  <c r="AE57" i="5"/>
  <c r="AE58" i="5"/>
  <c r="AE59" i="5"/>
  <c r="AE60" i="5"/>
  <c r="AE61" i="5"/>
  <c r="AE62" i="5"/>
  <c r="AE63" i="5"/>
  <c r="J40" i="3"/>
  <c r="AA54" i="5"/>
  <c r="AA55" i="5"/>
  <c r="AA56" i="5"/>
  <c r="AA57" i="5"/>
  <c r="AA58" i="5"/>
  <c r="AA59" i="5"/>
  <c r="AA60" i="5"/>
  <c r="AA61" i="5"/>
  <c r="AA62" i="5"/>
  <c r="AA63" i="5"/>
  <c r="F40" i="3"/>
  <c r="AH63" i="5"/>
  <c r="AH62" i="5"/>
  <c r="AH61" i="5"/>
  <c r="AH60" i="5"/>
  <c r="AH59" i="5"/>
  <c r="AH58" i="5"/>
  <c r="AH57" i="5"/>
  <c r="AH56" i="5"/>
  <c r="AH55" i="5"/>
  <c r="AH54" i="5"/>
  <c r="W36" i="5"/>
  <c r="W52" i="5"/>
  <c r="AE52" i="5"/>
  <c r="AM52" i="5"/>
  <c r="V36" i="5"/>
  <c r="V52" i="5"/>
  <c r="AD52" i="5"/>
  <c r="AL52" i="5"/>
  <c r="U36" i="5"/>
  <c r="U52" i="5"/>
  <c r="AC52" i="5"/>
  <c r="AK52" i="5"/>
  <c r="T36" i="5"/>
  <c r="T52" i="5"/>
  <c r="AB52" i="5"/>
  <c r="AJ52" i="5"/>
  <c r="S36" i="5"/>
  <c r="S52" i="5"/>
  <c r="AA52" i="5"/>
  <c r="AI52" i="5"/>
  <c r="D20" i="3"/>
  <c r="G38" i="3"/>
  <c r="H38" i="3"/>
  <c r="I38" i="3"/>
  <c r="J38" i="3"/>
  <c r="F38" i="3"/>
  <c r="E27" i="4"/>
  <c r="F27" i="4"/>
  <c r="G27" i="4"/>
  <c r="H27" i="4"/>
  <c r="I27" i="4"/>
  <c r="E28" i="4"/>
  <c r="F28" i="4"/>
  <c r="G28" i="4"/>
  <c r="H28" i="4"/>
  <c r="I28" i="4"/>
  <c r="E29" i="4"/>
  <c r="F29" i="4"/>
  <c r="G29" i="4"/>
  <c r="H29" i="4"/>
  <c r="I29" i="4"/>
  <c r="E30" i="4"/>
  <c r="F30" i="4"/>
  <c r="G30" i="4"/>
  <c r="H30" i="4"/>
  <c r="I30" i="4"/>
  <c r="F26" i="4"/>
  <c r="G26" i="4"/>
  <c r="H26" i="4"/>
  <c r="I26" i="4"/>
  <c r="E26" i="4"/>
  <c r="E34" i="3"/>
  <c r="G37" i="3"/>
  <c r="G35" i="3"/>
  <c r="G36" i="3"/>
  <c r="G34" i="3"/>
  <c r="H37" i="3"/>
  <c r="H35" i="3"/>
  <c r="H36" i="3"/>
  <c r="H34" i="3"/>
  <c r="I37" i="3"/>
  <c r="I35" i="3"/>
  <c r="I36" i="3"/>
  <c r="I34" i="3"/>
  <c r="J37" i="3"/>
  <c r="J35" i="3"/>
  <c r="J36" i="3"/>
  <c r="J34" i="3"/>
  <c r="F37" i="3"/>
  <c r="F35" i="3"/>
  <c r="F36" i="3"/>
  <c r="F34" i="3"/>
  <c r="F18" i="3"/>
  <c r="E25" i="4"/>
  <c r="E24" i="4"/>
  <c r="G18" i="3"/>
  <c r="H18" i="3"/>
  <c r="I18" i="3"/>
  <c r="J18" i="3"/>
  <c r="G16" i="3"/>
  <c r="G17" i="3"/>
  <c r="G13" i="3"/>
  <c r="H16" i="3"/>
  <c r="H17" i="3"/>
  <c r="H13" i="3"/>
  <c r="I16" i="3"/>
  <c r="I17" i="3"/>
  <c r="I13" i="3"/>
  <c r="J16" i="3"/>
  <c r="J17" i="3"/>
  <c r="J13" i="3"/>
  <c r="F15" i="3"/>
  <c r="F16" i="3"/>
  <c r="F17" i="3"/>
  <c r="F13" i="3"/>
  <c r="E13" i="3"/>
  <c r="E22" i="4"/>
  <c r="E17" i="4"/>
  <c r="E18" i="4"/>
  <c r="E19" i="4"/>
  <c r="E20" i="4"/>
  <c r="E21" i="4"/>
  <c r="E16" i="4"/>
  <c r="E15" i="4"/>
  <c r="F25" i="4"/>
  <c r="F24" i="4"/>
  <c r="F22" i="4"/>
  <c r="F17" i="4"/>
  <c r="F18" i="4"/>
  <c r="F19" i="4"/>
  <c r="F20" i="4"/>
  <c r="F21" i="4"/>
  <c r="F16" i="4"/>
  <c r="F15" i="4"/>
  <c r="F13" i="4"/>
  <c r="F32" i="4"/>
  <c r="G25" i="4"/>
  <c r="G24" i="4"/>
  <c r="G22" i="4"/>
  <c r="G17" i="4"/>
  <c r="G18" i="4"/>
  <c r="G19" i="4"/>
  <c r="G20" i="4"/>
  <c r="G21" i="4"/>
  <c r="G16" i="4"/>
  <c r="G15" i="4"/>
  <c r="G13" i="4"/>
  <c r="G32" i="4"/>
  <c r="H25" i="4"/>
  <c r="H24" i="4"/>
  <c r="H22" i="4"/>
  <c r="H17" i="4"/>
  <c r="H18" i="4"/>
  <c r="H19" i="4"/>
  <c r="H20" i="4"/>
  <c r="H21" i="4"/>
  <c r="H16" i="4"/>
  <c r="H15" i="4"/>
  <c r="H13" i="4"/>
  <c r="H32" i="4"/>
  <c r="I25" i="4"/>
  <c r="I24" i="4"/>
  <c r="I22" i="4"/>
  <c r="I17" i="4"/>
  <c r="I18" i="4"/>
  <c r="I19" i="4"/>
  <c r="I20" i="4"/>
  <c r="I21" i="4"/>
  <c r="I16" i="4"/>
  <c r="I15" i="4"/>
  <c r="I13" i="4"/>
  <c r="I32" i="4"/>
  <c r="E13" i="4"/>
  <c r="E32" i="4"/>
  <c r="D30" i="4"/>
  <c r="D19" i="4"/>
  <c r="D37" i="3"/>
  <c r="D17" i="3"/>
  <c r="D42" i="3"/>
  <c r="S119" i="5"/>
  <c r="S102" i="5"/>
  <c r="S120" i="5"/>
  <c r="S103" i="5"/>
  <c r="S121" i="5"/>
  <c r="S104" i="5"/>
  <c r="S122" i="5"/>
  <c r="S105" i="5"/>
  <c r="S123" i="5"/>
  <c r="S106" i="5"/>
  <c r="S124" i="5"/>
  <c r="S107" i="5"/>
  <c r="S125" i="5"/>
  <c r="S108" i="5"/>
  <c r="S126" i="5"/>
  <c r="S109" i="5"/>
  <c r="S127" i="5"/>
  <c r="S110" i="5"/>
  <c r="S128" i="5"/>
  <c r="S111" i="5"/>
  <c r="F9" i="3"/>
  <c r="T119" i="5"/>
  <c r="T134" i="5"/>
  <c r="T102" i="5"/>
  <c r="T120" i="5"/>
  <c r="T135" i="5"/>
  <c r="T103" i="5"/>
  <c r="T121" i="5"/>
  <c r="T136" i="5"/>
  <c r="T104" i="5"/>
  <c r="T122" i="5"/>
  <c r="T137" i="5"/>
  <c r="T105" i="5"/>
  <c r="T123" i="5"/>
  <c r="T138" i="5"/>
  <c r="T106" i="5"/>
  <c r="T124" i="5"/>
  <c r="T139" i="5"/>
  <c r="T107" i="5"/>
  <c r="T125" i="5"/>
  <c r="T140" i="5"/>
  <c r="T108" i="5"/>
  <c r="T126" i="5"/>
  <c r="T141" i="5"/>
  <c r="T109" i="5"/>
  <c r="T127" i="5"/>
  <c r="T142" i="5"/>
  <c r="T110" i="5"/>
  <c r="T128" i="5"/>
  <c r="T143" i="5"/>
  <c r="T111" i="5"/>
  <c r="G9" i="3"/>
  <c r="U119" i="5"/>
  <c r="U134" i="5"/>
  <c r="U149" i="5"/>
  <c r="U102" i="5"/>
  <c r="U120" i="5"/>
  <c r="U135" i="5"/>
  <c r="U150" i="5"/>
  <c r="U103" i="5"/>
  <c r="U121" i="5"/>
  <c r="U136" i="5"/>
  <c r="U151" i="5"/>
  <c r="U104" i="5"/>
  <c r="U122" i="5"/>
  <c r="U137" i="5"/>
  <c r="U152" i="5"/>
  <c r="U105" i="5"/>
  <c r="U123" i="5"/>
  <c r="U138" i="5"/>
  <c r="U153" i="5"/>
  <c r="U106" i="5"/>
  <c r="U124" i="5"/>
  <c r="U139" i="5"/>
  <c r="U154" i="5"/>
  <c r="U107" i="5"/>
  <c r="U125" i="5"/>
  <c r="U140" i="5"/>
  <c r="U155" i="5"/>
  <c r="U108" i="5"/>
  <c r="U126" i="5"/>
  <c r="U141" i="5"/>
  <c r="U156" i="5"/>
  <c r="U109" i="5"/>
  <c r="U127" i="5"/>
  <c r="U142" i="5"/>
  <c r="U157" i="5"/>
  <c r="U110" i="5"/>
  <c r="U128" i="5"/>
  <c r="U143" i="5"/>
  <c r="U158" i="5"/>
  <c r="U111" i="5"/>
  <c r="H9" i="3"/>
  <c r="V119" i="5"/>
  <c r="V134" i="5"/>
  <c r="V149" i="5"/>
  <c r="V164" i="5"/>
  <c r="V102" i="5"/>
  <c r="V120" i="5"/>
  <c r="V135" i="5"/>
  <c r="V150" i="5"/>
  <c r="V165" i="5"/>
  <c r="V103" i="5"/>
  <c r="V121" i="5"/>
  <c r="V136" i="5"/>
  <c r="V151" i="5"/>
  <c r="V166" i="5"/>
  <c r="V104" i="5"/>
  <c r="V122" i="5"/>
  <c r="V137" i="5"/>
  <c r="V152" i="5"/>
  <c r="V167" i="5"/>
  <c r="V105" i="5"/>
  <c r="V123" i="5"/>
  <c r="V138" i="5"/>
  <c r="V153" i="5"/>
  <c r="V168" i="5"/>
  <c r="V106" i="5"/>
  <c r="V124" i="5"/>
  <c r="V139" i="5"/>
  <c r="V154" i="5"/>
  <c r="V169" i="5"/>
  <c r="V107" i="5"/>
  <c r="V125" i="5"/>
  <c r="V140" i="5"/>
  <c r="V155" i="5"/>
  <c r="V170" i="5"/>
  <c r="V108" i="5"/>
  <c r="V126" i="5"/>
  <c r="V141" i="5"/>
  <c r="V156" i="5"/>
  <c r="V171" i="5"/>
  <c r="V109" i="5"/>
  <c r="V127" i="5"/>
  <c r="V142" i="5"/>
  <c r="V157" i="5"/>
  <c r="V172" i="5"/>
  <c r="V110" i="5"/>
  <c r="V128" i="5"/>
  <c r="V143" i="5"/>
  <c r="V158" i="5"/>
  <c r="V173" i="5"/>
  <c r="V111" i="5"/>
  <c r="I9" i="3"/>
  <c r="W119" i="5"/>
  <c r="W134" i="5"/>
  <c r="W149" i="5"/>
  <c r="W164" i="5"/>
  <c r="W179" i="5"/>
  <c r="W102" i="5"/>
  <c r="W120" i="5"/>
  <c r="W135" i="5"/>
  <c r="W150" i="5"/>
  <c r="W165" i="5"/>
  <c r="W180" i="5"/>
  <c r="W103" i="5"/>
  <c r="W121" i="5"/>
  <c r="W136" i="5"/>
  <c r="W151" i="5"/>
  <c r="W166" i="5"/>
  <c r="W181" i="5"/>
  <c r="W104" i="5"/>
  <c r="W122" i="5"/>
  <c r="W137" i="5"/>
  <c r="W152" i="5"/>
  <c r="W167" i="5"/>
  <c r="W182" i="5"/>
  <c r="W105" i="5"/>
  <c r="W123" i="5"/>
  <c r="W138" i="5"/>
  <c r="W153" i="5"/>
  <c r="W168" i="5"/>
  <c r="W183" i="5"/>
  <c r="W106" i="5"/>
  <c r="W124" i="5"/>
  <c r="W139" i="5"/>
  <c r="W154" i="5"/>
  <c r="W169" i="5"/>
  <c r="W184" i="5"/>
  <c r="W107" i="5"/>
  <c r="W125" i="5"/>
  <c r="W140" i="5"/>
  <c r="W155" i="5"/>
  <c r="W170" i="5"/>
  <c r="W185" i="5"/>
  <c r="W108" i="5"/>
  <c r="W126" i="5"/>
  <c r="W141" i="5"/>
  <c r="W156" i="5"/>
  <c r="W171" i="5"/>
  <c r="W186" i="5"/>
  <c r="W109" i="5"/>
  <c r="W127" i="5"/>
  <c r="W142" i="5"/>
  <c r="W157" i="5"/>
  <c r="W172" i="5"/>
  <c r="W187" i="5"/>
  <c r="W110" i="5"/>
  <c r="W128" i="5"/>
  <c r="W143" i="5"/>
  <c r="W158" i="5"/>
  <c r="W173" i="5"/>
  <c r="W188" i="5"/>
  <c r="W111" i="5"/>
  <c r="J9" i="3"/>
  <c r="A33" i="2"/>
  <c r="A34" i="2"/>
  <c r="A35" i="2"/>
  <c r="A36" i="2"/>
  <c r="A37" i="2"/>
  <c r="A38" i="2"/>
  <c r="A39" i="2"/>
  <c r="A40" i="2"/>
  <c r="A41" i="2"/>
  <c r="A32" i="2"/>
  <c r="C42" i="2"/>
  <c r="F34" i="4"/>
  <c r="G34" i="4"/>
  <c r="H34" i="4"/>
  <c r="I34" i="4"/>
  <c r="E34" i="4"/>
  <c r="F44" i="4"/>
  <c r="G44" i="4"/>
  <c r="H44" i="4"/>
  <c r="I44" i="4"/>
  <c r="E44" i="4"/>
  <c r="D40" i="4"/>
  <c r="D41" i="4"/>
  <c r="D42" i="4"/>
  <c r="F37" i="4"/>
  <c r="G37" i="4"/>
  <c r="H37" i="4"/>
  <c r="I37" i="4"/>
  <c r="E37" i="4"/>
  <c r="D9" i="4"/>
  <c r="D35" i="4"/>
  <c r="D34" i="4"/>
  <c r="D6" i="4"/>
  <c r="E25" i="3"/>
  <c r="E47" i="4"/>
  <c r="D47" i="4"/>
  <c r="D44" i="4"/>
  <c r="D39" i="4"/>
  <c r="D37" i="4"/>
  <c r="D32" i="4"/>
  <c r="D22" i="4"/>
  <c r="D29" i="4"/>
  <c r="D28" i="4"/>
  <c r="D27" i="4"/>
  <c r="D26" i="4"/>
  <c r="D21" i="4"/>
  <c r="D20" i="4"/>
  <c r="D18" i="4"/>
  <c r="D25" i="4"/>
  <c r="D17" i="4"/>
  <c r="D16" i="4"/>
  <c r="D15" i="4"/>
  <c r="D11" i="4"/>
  <c r="C72" i="2"/>
  <c r="C69" i="2"/>
  <c r="C67" i="2"/>
  <c r="C65" i="2"/>
  <c r="C60" i="2"/>
  <c r="C58" i="2"/>
  <c r="C56" i="2"/>
  <c r="C54" i="2"/>
  <c r="C30" i="2"/>
  <c r="C28" i="2"/>
  <c r="C16" i="2"/>
  <c r="D36" i="3"/>
  <c r="D41" i="3"/>
  <c r="D40" i="3"/>
  <c r="D39" i="3"/>
  <c r="D38" i="3"/>
  <c r="D35" i="3"/>
  <c r="D34" i="3"/>
  <c r="D32" i="3"/>
  <c r="D31" i="3"/>
  <c r="D30" i="3"/>
  <c r="D28" i="3"/>
  <c r="D27" i="3"/>
  <c r="D26" i="3"/>
  <c r="D25" i="3"/>
  <c r="D24" i="3"/>
  <c r="D22" i="3"/>
  <c r="D6" i="3"/>
  <c r="D16" i="3"/>
  <c r="D18" i="3"/>
  <c r="D15" i="3"/>
  <c r="D14" i="3"/>
  <c r="D13" i="3"/>
  <c r="D9" i="3"/>
  <c r="D10" i="3"/>
  <c r="D11" i="3"/>
  <c r="D8" i="3"/>
  <c r="F26" i="3"/>
  <c r="G26" i="3"/>
  <c r="H26" i="3"/>
  <c r="I26" i="3"/>
  <c r="J26" i="3"/>
  <c r="E20" i="3"/>
  <c r="F47" i="4"/>
  <c r="G20" i="3"/>
  <c r="G47" i="4"/>
  <c r="H20" i="3"/>
  <c r="H47" i="4"/>
  <c r="I20" i="3"/>
  <c r="I47" i="4"/>
  <c r="J20" i="3"/>
  <c r="F20" i="3"/>
  <c r="I39" i="5"/>
  <c r="I40" i="5"/>
  <c r="I41" i="5"/>
  <c r="I42" i="5"/>
  <c r="I43" i="5"/>
  <c r="I44" i="5"/>
  <c r="I45" i="5"/>
  <c r="I46" i="5"/>
  <c r="I47" i="5"/>
  <c r="I38" i="5"/>
  <c r="Q23" i="5"/>
  <c r="Q24" i="5"/>
  <c r="Q25" i="5"/>
  <c r="Q26" i="5"/>
  <c r="Q27" i="5"/>
  <c r="Q28" i="5"/>
  <c r="Q29" i="5"/>
  <c r="Q30" i="5"/>
  <c r="Q31" i="5"/>
  <c r="Q22" i="5"/>
  <c r="Q7" i="5"/>
  <c r="Q8" i="5"/>
  <c r="Q9" i="5"/>
  <c r="Q10" i="5"/>
  <c r="Q11" i="5"/>
  <c r="Q12" i="5"/>
  <c r="Q13" i="5"/>
  <c r="Q14" i="5"/>
  <c r="Q15" i="5"/>
  <c r="Q6" i="5"/>
  <c r="A7" i="5"/>
  <c r="A8" i="5"/>
  <c r="A9" i="5"/>
  <c r="A10" i="5"/>
  <c r="A11" i="5"/>
  <c r="A12" i="5"/>
  <c r="A13" i="5"/>
  <c r="A14" i="5"/>
  <c r="A15" i="5"/>
  <c r="A6" i="5"/>
  <c r="Q39" i="5"/>
  <c r="Q40" i="5"/>
  <c r="Q41" i="5"/>
  <c r="Q42" i="5"/>
  <c r="Q43" i="5"/>
  <c r="Q44" i="5"/>
  <c r="Q45" i="5"/>
  <c r="Q46" i="5"/>
  <c r="Q47" i="5"/>
  <c r="Q38" i="5"/>
  <c r="G28" i="3"/>
  <c r="H28" i="3"/>
  <c r="I28" i="3"/>
  <c r="J28" i="3"/>
  <c r="F28" i="3"/>
  <c r="F27" i="3"/>
  <c r="G27" i="3"/>
  <c r="H27" i="3"/>
  <c r="I27" i="3"/>
  <c r="J27" i="3"/>
  <c r="F25" i="3"/>
  <c r="G25" i="3"/>
  <c r="H25" i="3"/>
  <c r="I25" i="3"/>
  <c r="J25" i="3"/>
  <c r="F30" i="3"/>
  <c r="G30" i="3"/>
  <c r="H30" i="3"/>
  <c r="I30" i="3"/>
  <c r="J30" i="3"/>
  <c r="F24" i="3"/>
  <c r="G24" i="3"/>
  <c r="H24" i="3"/>
  <c r="I24" i="3"/>
  <c r="J24" i="3"/>
  <c r="F8" i="3"/>
  <c r="F6" i="3"/>
  <c r="F22" i="3"/>
  <c r="F46" i="3"/>
  <c r="G8" i="3"/>
  <c r="G6" i="3"/>
  <c r="G22" i="3"/>
  <c r="G46" i="3"/>
  <c r="H8" i="3"/>
  <c r="H6" i="3"/>
  <c r="H22" i="3"/>
  <c r="H46" i="3"/>
  <c r="I8" i="3"/>
  <c r="I6" i="3"/>
  <c r="I22" i="3"/>
  <c r="I46" i="3"/>
  <c r="J8" i="3"/>
  <c r="J6" i="3"/>
  <c r="J22" i="3"/>
  <c r="J46" i="3"/>
  <c r="E8" i="3"/>
  <c r="E6" i="3"/>
  <c r="E24" i="3"/>
  <c r="E30" i="3"/>
  <c r="E22" i="3"/>
  <c r="E46" i="3"/>
  <c r="F4" i="3"/>
  <c r="E4" i="3"/>
  <c r="G4" i="3"/>
  <c r="H4" i="3"/>
  <c r="I4" i="3"/>
  <c r="J4" i="3"/>
  <c r="R188" i="5"/>
  <c r="R187" i="5"/>
  <c r="R186" i="5"/>
  <c r="R185" i="5"/>
  <c r="R184" i="5"/>
  <c r="R183" i="5"/>
  <c r="R182" i="5"/>
  <c r="R181" i="5"/>
  <c r="R180" i="5"/>
  <c r="R179" i="5"/>
  <c r="J188" i="5"/>
  <c r="J187" i="5"/>
  <c r="J186" i="5"/>
  <c r="J185" i="5"/>
  <c r="J184" i="5"/>
  <c r="J183" i="5"/>
  <c r="J182" i="5"/>
  <c r="J181" i="5"/>
  <c r="J180" i="5"/>
  <c r="J179" i="5"/>
  <c r="R173" i="5"/>
  <c r="R172" i="5"/>
  <c r="R171" i="5"/>
  <c r="R170" i="5"/>
  <c r="R169" i="5"/>
  <c r="R168" i="5"/>
  <c r="R167" i="5"/>
  <c r="R166" i="5"/>
  <c r="R165" i="5"/>
  <c r="R164" i="5"/>
  <c r="J173" i="5"/>
  <c r="J172" i="5"/>
  <c r="J171" i="5"/>
  <c r="J170" i="5"/>
  <c r="J169" i="5"/>
  <c r="J168" i="5"/>
  <c r="J167" i="5"/>
  <c r="J166" i="5"/>
  <c r="J165" i="5"/>
  <c r="J164" i="5"/>
  <c r="R158" i="5"/>
  <c r="R157" i="5"/>
  <c r="R156" i="5"/>
  <c r="R155" i="5"/>
  <c r="R154" i="5"/>
  <c r="R153" i="5"/>
  <c r="R152" i="5"/>
  <c r="R151" i="5"/>
  <c r="R150" i="5"/>
  <c r="R149" i="5"/>
  <c r="R143" i="5"/>
  <c r="R142" i="5"/>
  <c r="R141" i="5"/>
  <c r="R140" i="5"/>
  <c r="R139" i="5"/>
  <c r="R138" i="5"/>
  <c r="R137" i="5"/>
  <c r="R136" i="5"/>
  <c r="R135" i="5"/>
  <c r="R134" i="5"/>
  <c r="R128" i="5"/>
  <c r="R127" i="5"/>
  <c r="R126" i="5"/>
  <c r="R125" i="5"/>
  <c r="R124" i="5"/>
  <c r="R123" i="5"/>
  <c r="R122" i="5"/>
  <c r="R121" i="5"/>
  <c r="R120" i="5"/>
  <c r="R119" i="5"/>
  <c r="J158" i="5"/>
  <c r="J157" i="5"/>
  <c r="J156" i="5"/>
  <c r="J155" i="5"/>
  <c r="J154" i="5"/>
  <c r="J153" i="5"/>
  <c r="J152" i="5"/>
  <c r="J151" i="5"/>
  <c r="J150" i="5"/>
  <c r="J149" i="5"/>
  <c r="J143" i="5"/>
  <c r="J142" i="5"/>
  <c r="J141" i="5"/>
  <c r="J140" i="5"/>
  <c r="J139" i="5"/>
  <c r="J138" i="5"/>
  <c r="J137" i="5"/>
  <c r="J136" i="5"/>
  <c r="J135" i="5"/>
  <c r="J134" i="5"/>
  <c r="J128" i="5"/>
  <c r="J127" i="5"/>
  <c r="J126" i="5"/>
  <c r="J125" i="5"/>
  <c r="J124" i="5"/>
  <c r="J123" i="5"/>
  <c r="J122" i="5"/>
  <c r="J121" i="5"/>
  <c r="J120" i="5"/>
  <c r="J119" i="5"/>
  <c r="R111" i="5"/>
  <c r="R110" i="5"/>
  <c r="R109" i="5"/>
  <c r="R108" i="5"/>
  <c r="R107" i="5"/>
  <c r="R106" i="5"/>
  <c r="R105" i="5"/>
  <c r="R104" i="5"/>
  <c r="R103" i="5"/>
  <c r="R102" i="5"/>
  <c r="J111" i="5"/>
  <c r="J110" i="5"/>
  <c r="J109" i="5"/>
  <c r="J108" i="5"/>
  <c r="J107" i="5"/>
  <c r="J106" i="5"/>
  <c r="J105" i="5"/>
  <c r="J104" i="5"/>
  <c r="J103" i="5"/>
  <c r="J102" i="5"/>
  <c r="A86" i="5"/>
  <c r="Q102" i="5"/>
  <c r="Q119" i="5"/>
  <c r="Q134" i="5"/>
  <c r="Q149" i="5"/>
  <c r="Q164" i="5"/>
  <c r="Q179" i="5"/>
  <c r="A87" i="5"/>
  <c r="Q103" i="5"/>
  <c r="Q120" i="5"/>
  <c r="Q135" i="5"/>
  <c r="Q150" i="5"/>
  <c r="Q165" i="5"/>
  <c r="A88" i="5"/>
  <c r="Q104" i="5"/>
  <c r="Q121" i="5"/>
  <c r="Q136" i="5"/>
  <c r="Q151" i="5"/>
  <c r="Q166" i="5"/>
  <c r="A89" i="5"/>
  <c r="Q105" i="5"/>
  <c r="Q122" i="5"/>
  <c r="Q137" i="5"/>
  <c r="Q152" i="5"/>
  <c r="Q167" i="5"/>
  <c r="A90" i="5"/>
  <c r="Q106" i="5"/>
  <c r="Q123" i="5"/>
  <c r="Q138" i="5"/>
  <c r="Q153" i="5"/>
  <c r="Q168" i="5"/>
  <c r="A91" i="5"/>
  <c r="Q107" i="5"/>
  <c r="Q124" i="5"/>
  <c r="Q139" i="5"/>
  <c r="Q154" i="5"/>
  <c r="Q169" i="5"/>
  <c r="A92" i="5"/>
  <c r="Q108" i="5"/>
  <c r="Q125" i="5"/>
  <c r="Q140" i="5"/>
  <c r="Q155" i="5"/>
  <c r="Q170" i="5"/>
  <c r="A93" i="5"/>
  <c r="Q109" i="5"/>
  <c r="Q126" i="5"/>
  <c r="Q141" i="5"/>
  <c r="Q156" i="5"/>
  <c r="Q171" i="5"/>
  <c r="A94" i="5"/>
  <c r="Q110" i="5"/>
  <c r="Q127" i="5"/>
  <c r="Q142" i="5"/>
  <c r="Q157" i="5"/>
  <c r="Q172" i="5"/>
  <c r="A95" i="5"/>
  <c r="Q111" i="5"/>
  <c r="Q128" i="5"/>
  <c r="Q143" i="5"/>
  <c r="Q158" i="5"/>
  <c r="Q173" i="5"/>
  <c r="Q188" i="5"/>
  <c r="Q187" i="5"/>
  <c r="Q186" i="5"/>
  <c r="Q185" i="5"/>
  <c r="Q184" i="5"/>
  <c r="Q183" i="5"/>
  <c r="Q182" i="5"/>
  <c r="Q181" i="5"/>
  <c r="Q180" i="5"/>
  <c r="W68" i="5"/>
  <c r="W84" i="5"/>
  <c r="W100" i="5"/>
  <c r="W117" i="5"/>
  <c r="W132" i="5"/>
  <c r="W147" i="5"/>
  <c r="W162" i="5"/>
  <c r="W177" i="5"/>
  <c r="V68" i="5"/>
  <c r="V84" i="5"/>
  <c r="V100" i="5"/>
  <c r="V117" i="5"/>
  <c r="V132" i="5"/>
  <c r="V147" i="5"/>
  <c r="V162" i="5"/>
  <c r="V177" i="5"/>
  <c r="U68" i="5"/>
  <c r="U84" i="5"/>
  <c r="U100" i="5"/>
  <c r="U117" i="5"/>
  <c r="U132" i="5"/>
  <c r="U147" i="5"/>
  <c r="U162" i="5"/>
  <c r="U177" i="5"/>
  <c r="T68" i="5"/>
  <c r="T84" i="5"/>
  <c r="T100" i="5"/>
  <c r="T117" i="5"/>
  <c r="T132" i="5"/>
  <c r="T147" i="5"/>
  <c r="T162" i="5"/>
  <c r="T177" i="5"/>
  <c r="S68" i="5"/>
  <c r="S84" i="5"/>
  <c r="S100" i="5"/>
  <c r="S117" i="5"/>
  <c r="S132" i="5"/>
  <c r="S147" i="5"/>
  <c r="S162" i="5"/>
  <c r="S177" i="5"/>
  <c r="L4" i="5"/>
  <c r="L20" i="5"/>
  <c r="L36" i="5"/>
  <c r="L68" i="5"/>
  <c r="L84" i="5"/>
  <c r="L100" i="5"/>
  <c r="L117" i="5"/>
  <c r="L132" i="5"/>
  <c r="L147" i="5"/>
  <c r="M4" i="5"/>
  <c r="M20" i="5"/>
  <c r="M36" i="5"/>
  <c r="M68" i="5"/>
  <c r="M84" i="5"/>
  <c r="M100" i="5"/>
  <c r="M117" i="5"/>
  <c r="M132" i="5"/>
  <c r="M147" i="5"/>
  <c r="N4" i="5"/>
  <c r="N20" i="5"/>
  <c r="N36" i="5"/>
  <c r="N68" i="5"/>
  <c r="N84" i="5"/>
  <c r="N100" i="5"/>
  <c r="N117" i="5"/>
  <c r="N132" i="5"/>
  <c r="N147" i="5"/>
  <c r="O4" i="5"/>
  <c r="O20" i="5"/>
  <c r="O36" i="5"/>
  <c r="O68" i="5"/>
  <c r="O84" i="5"/>
  <c r="O100" i="5"/>
  <c r="O117" i="5"/>
  <c r="O132" i="5"/>
  <c r="O147" i="5"/>
  <c r="K4" i="5"/>
  <c r="K20" i="5"/>
  <c r="K36" i="5"/>
  <c r="K68" i="5"/>
  <c r="K84" i="5"/>
  <c r="K100" i="5"/>
  <c r="K117" i="5"/>
  <c r="K132" i="5"/>
  <c r="K147" i="5"/>
  <c r="I180" i="5"/>
  <c r="I181" i="5"/>
  <c r="I182" i="5"/>
  <c r="I183" i="5"/>
  <c r="I184" i="5"/>
  <c r="I185" i="5"/>
  <c r="I186" i="5"/>
  <c r="I187" i="5"/>
  <c r="I188" i="5"/>
  <c r="I179" i="5"/>
  <c r="I165" i="5"/>
  <c r="I166" i="5"/>
  <c r="I167" i="5"/>
  <c r="I168" i="5"/>
  <c r="I169" i="5"/>
  <c r="I170" i="5"/>
  <c r="I171" i="5"/>
  <c r="I172" i="5"/>
  <c r="I173" i="5"/>
  <c r="I164" i="5"/>
  <c r="I150" i="5"/>
  <c r="I151" i="5"/>
  <c r="I152" i="5"/>
  <c r="I153" i="5"/>
  <c r="I154" i="5"/>
  <c r="I155" i="5"/>
  <c r="I156" i="5"/>
  <c r="I157" i="5"/>
  <c r="I158" i="5"/>
  <c r="I149" i="5"/>
  <c r="I135" i="5"/>
  <c r="I136" i="5"/>
  <c r="I137" i="5"/>
  <c r="I138" i="5"/>
  <c r="I139" i="5"/>
  <c r="I140" i="5"/>
  <c r="I141" i="5"/>
  <c r="I142" i="5"/>
  <c r="I143" i="5"/>
  <c r="I134" i="5"/>
  <c r="I120" i="5"/>
  <c r="I121" i="5"/>
  <c r="I122" i="5"/>
  <c r="I123" i="5"/>
  <c r="I124" i="5"/>
  <c r="I125" i="5"/>
  <c r="I126" i="5"/>
  <c r="I127" i="5"/>
  <c r="I128" i="5"/>
  <c r="I119" i="5"/>
  <c r="O162" i="5"/>
  <c r="O177" i="5"/>
  <c r="N162" i="5"/>
  <c r="N177" i="5"/>
  <c r="M162" i="5"/>
  <c r="M177" i="5"/>
  <c r="L162" i="5"/>
  <c r="L177" i="5"/>
  <c r="K162" i="5"/>
  <c r="K177" i="5"/>
  <c r="A111" i="5"/>
  <c r="A110" i="5"/>
  <c r="A109" i="5"/>
  <c r="A108" i="5"/>
  <c r="A107" i="5"/>
  <c r="A106" i="5"/>
  <c r="A105" i="5"/>
  <c r="A104" i="5"/>
  <c r="A103" i="5"/>
  <c r="I103" i="5"/>
  <c r="I104" i="5"/>
  <c r="I105" i="5"/>
  <c r="I106" i="5"/>
  <c r="I107" i="5"/>
  <c r="I108" i="5"/>
  <c r="I109" i="5"/>
  <c r="I110" i="5"/>
  <c r="I111" i="5"/>
  <c r="I102" i="5"/>
  <c r="A102" i="5"/>
  <c r="O52" i="5"/>
  <c r="N52" i="5"/>
  <c r="M52" i="5"/>
  <c r="L52" i="5"/>
  <c r="K52" i="5"/>
  <c r="E4" i="4"/>
  <c r="F4" i="4"/>
  <c r="G4" i="4"/>
  <c r="H4" i="4"/>
  <c r="I4" i="4"/>
  <c r="J95" i="5"/>
  <c r="J94" i="5"/>
  <c r="J93" i="5"/>
  <c r="J92" i="5"/>
  <c r="J91" i="5"/>
  <c r="J90" i="5"/>
  <c r="J89" i="5"/>
  <c r="J88" i="5"/>
  <c r="J87" i="5"/>
  <c r="J86" i="5"/>
  <c r="D84" i="5"/>
  <c r="E84" i="5"/>
  <c r="F84" i="5"/>
  <c r="G84" i="5"/>
  <c r="C84" i="5"/>
  <c r="A45" i="2"/>
  <c r="A46" i="2"/>
  <c r="A47" i="2"/>
  <c r="A48" i="2"/>
  <c r="A49" i="2"/>
  <c r="A50" i="2"/>
  <c r="A51" i="2"/>
  <c r="A52" i="2"/>
  <c r="A53" i="2"/>
  <c r="A44" i="2"/>
  <c r="W79" i="5"/>
  <c r="V79" i="5"/>
  <c r="U79" i="5"/>
  <c r="T79" i="5"/>
  <c r="J79" i="5"/>
  <c r="J78" i="5"/>
  <c r="J77" i="5"/>
  <c r="J76" i="5"/>
  <c r="J75" i="5"/>
  <c r="J74" i="5"/>
  <c r="J73" i="5"/>
  <c r="J72" i="5"/>
  <c r="J71" i="5"/>
  <c r="J70" i="5"/>
  <c r="A19" i="2"/>
  <c r="A20" i="2"/>
  <c r="A21" i="2"/>
  <c r="A22" i="2"/>
  <c r="A23" i="2"/>
  <c r="A24" i="2"/>
  <c r="A25" i="2"/>
  <c r="A26" i="2"/>
  <c r="A27" i="2"/>
  <c r="A18" i="2"/>
  <c r="A7" i="2"/>
  <c r="A8" i="2"/>
  <c r="A9" i="2"/>
  <c r="A10" i="2"/>
  <c r="A11" i="2"/>
  <c r="A12" i="2"/>
  <c r="A13" i="2"/>
  <c r="A14" i="2"/>
  <c r="A15" i="2"/>
  <c r="A6" i="2"/>
  <c r="D4" i="2"/>
  <c r="E4" i="2"/>
  <c r="F4" i="2"/>
  <c r="G4" i="2"/>
  <c r="H4" i="2"/>
  <c r="R47" i="5"/>
  <c r="R46" i="5"/>
  <c r="R45" i="5"/>
  <c r="R44" i="5"/>
  <c r="R43" i="5"/>
  <c r="R42" i="5"/>
  <c r="R41" i="5"/>
  <c r="R40" i="5"/>
  <c r="R39" i="5"/>
  <c r="R38" i="5"/>
  <c r="S39" i="5"/>
  <c r="K39" i="5"/>
  <c r="T39" i="5"/>
  <c r="L39" i="5"/>
  <c r="U39" i="5"/>
  <c r="M39" i="5"/>
  <c r="V39" i="5"/>
  <c r="N39" i="5"/>
  <c r="W39" i="5"/>
  <c r="O39" i="5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K46" i="5"/>
  <c r="L46" i="5"/>
  <c r="M46" i="5"/>
  <c r="N46" i="5"/>
  <c r="O46" i="5"/>
  <c r="K47" i="5"/>
  <c r="L47" i="5"/>
  <c r="M47" i="5"/>
  <c r="N47" i="5"/>
  <c r="O47" i="5"/>
  <c r="T38" i="5"/>
  <c r="L38" i="5"/>
  <c r="U38" i="5"/>
  <c r="M38" i="5"/>
  <c r="V38" i="5"/>
  <c r="N38" i="5"/>
  <c r="W38" i="5"/>
  <c r="O38" i="5"/>
  <c r="S38" i="5"/>
  <c r="K38" i="5"/>
  <c r="S40" i="5"/>
  <c r="T40" i="5"/>
  <c r="U40" i="5"/>
  <c r="V40" i="5"/>
  <c r="W40" i="5"/>
  <c r="S41" i="5"/>
  <c r="T41" i="5"/>
  <c r="U41" i="5"/>
  <c r="V41" i="5"/>
  <c r="W41" i="5"/>
  <c r="S42" i="5"/>
  <c r="T42" i="5"/>
  <c r="U42" i="5"/>
  <c r="V42" i="5"/>
  <c r="W42" i="5"/>
  <c r="S43" i="5"/>
  <c r="T43" i="5"/>
  <c r="U43" i="5"/>
  <c r="V43" i="5"/>
  <c r="W43" i="5"/>
  <c r="S44" i="5"/>
  <c r="T44" i="5"/>
  <c r="U44" i="5"/>
  <c r="V44" i="5"/>
  <c r="W44" i="5"/>
  <c r="S45" i="5"/>
  <c r="T45" i="5"/>
  <c r="U45" i="5"/>
  <c r="V45" i="5"/>
  <c r="W45" i="5"/>
  <c r="S46" i="5"/>
  <c r="T46" i="5"/>
  <c r="U46" i="5"/>
  <c r="V46" i="5"/>
  <c r="W46" i="5"/>
  <c r="S47" i="5"/>
  <c r="T47" i="5"/>
  <c r="U47" i="5"/>
  <c r="V47" i="5"/>
  <c r="W47" i="5"/>
  <c r="J22" i="5"/>
  <c r="J31" i="5"/>
  <c r="J30" i="5"/>
  <c r="J29" i="5"/>
  <c r="J28" i="5"/>
  <c r="J27" i="5"/>
  <c r="J26" i="5"/>
  <c r="J25" i="5"/>
  <c r="J24" i="5"/>
  <c r="J23" i="5"/>
  <c r="J8" i="5"/>
  <c r="J9" i="5"/>
  <c r="J10" i="5"/>
  <c r="J11" i="5"/>
  <c r="J12" i="5"/>
  <c r="J13" i="5"/>
  <c r="J14" i="5"/>
  <c r="J15" i="5"/>
  <c r="J7" i="5"/>
</calcChain>
</file>

<file path=xl/comments1.xml><?xml version="1.0" encoding="utf-8"?>
<comments xmlns="http://schemas.openxmlformats.org/spreadsheetml/2006/main">
  <authors>
    <author>Jan Geert van Hall</author>
  </authors>
  <commentList>
    <comment ref="E76" authorId="0" shapeId="0">
      <text>
        <r>
          <rPr>
            <b/>
            <sz val="9"/>
            <color indexed="81"/>
            <rFont val="Calibri"/>
            <family val="2"/>
          </rPr>
          <t>Jan Geert van Hall:</t>
        </r>
        <r>
          <rPr>
            <sz val="9"/>
            <color indexed="81"/>
            <rFont val="Calibri"/>
            <family val="2"/>
          </rPr>
          <t xml:space="preserve">
PM how to link this to the Diret costs
</t>
        </r>
      </text>
    </comment>
  </commentList>
</comments>
</file>

<file path=xl/sharedStrings.xml><?xml version="1.0" encoding="utf-8"?>
<sst xmlns="http://schemas.openxmlformats.org/spreadsheetml/2006/main" count="389" uniqueCount="224">
  <si>
    <t>#</t>
  </si>
  <si>
    <t>Price/ #</t>
  </si>
  <si>
    <t>Starting year</t>
  </si>
  <si>
    <t>Currency</t>
  </si>
  <si>
    <t>€</t>
  </si>
  <si>
    <t>Revenues</t>
  </si>
  <si>
    <t>Currency magnitude P&amp;L</t>
  </si>
  <si>
    <t>Gross margin</t>
  </si>
  <si>
    <t>Working capital</t>
  </si>
  <si>
    <t>VAT</t>
  </si>
  <si>
    <t>Days Accounts receivables outstanding</t>
  </si>
  <si>
    <t>Days accounts payable outstanding</t>
  </si>
  <si>
    <t>Days in stock of inventory</t>
  </si>
  <si>
    <t>Interest</t>
  </si>
  <si>
    <t>Payable on overdraft</t>
  </si>
  <si>
    <t>Payable on loans</t>
  </si>
  <si>
    <t>Receivable on credit</t>
  </si>
  <si>
    <t>Volume</t>
  </si>
  <si>
    <t>Price</t>
  </si>
  <si>
    <t>Value</t>
  </si>
  <si>
    <t>Cost/ #</t>
  </si>
  <si>
    <t>%</t>
  </si>
  <si>
    <t>Profit &amp; loss</t>
  </si>
  <si>
    <t>Total revenues</t>
  </si>
  <si>
    <t>Total direct costs</t>
  </si>
  <si>
    <t>EBITDA</t>
  </si>
  <si>
    <t>Investments</t>
  </si>
  <si>
    <t>Balance sheet</t>
  </si>
  <si>
    <t>Fixed assets</t>
  </si>
  <si>
    <t>Asset type 1</t>
  </si>
  <si>
    <t>Asset type 2</t>
  </si>
  <si>
    <t>Asset type 3</t>
  </si>
  <si>
    <t>Asset type 4</t>
  </si>
  <si>
    <t>Asset type 5</t>
  </si>
  <si>
    <t>Asset type 6</t>
  </si>
  <si>
    <t>Asset type 7</t>
  </si>
  <si>
    <t>Asset type 8</t>
  </si>
  <si>
    <t>Asset type 9</t>
  </si>
  <si>
    <t>Asset type 10</t>
  </si>
  <si>
    <t>Investment asset type 1</t>
  </si>
  <si>
    <t>Investment asset type 2</t>
  </si>
  <si>
    <t>Investment asset type 3</t>
  </si>
  <si>
    <t>Investment asset type 4</t>
  </si>
  <si>
    <t>Investment asset type 5</t>
  </si>
  <si>
    <t>Investment asset type 6</t>
  </si>
  <si>
    <t>Investment asset type 7</t>
  </si>
  <si>
    <t>Investment asset type 8</t>
  </si>
  <si>
    <t>Investment asset type 9</t>
  </si>
  <si>
    <t>Investment asset type 10</t>
  </si>
  <si>
    <t>months</t>
  </si>
  <si>
    <t>Cashflow</t>
  </si>
  <si>
    <t>Depreciation &amp; amortization</t>
  </si>
  <si>
    <t>EBIT</t>
  </si>
  <si>
    <t>Interest received</t>
  </si>
  <si>
    <t>Interest paid</t>
  </si>
  <si>
    <t>EBT</t>
  </si>
  <si>
    <t>Corporate Taxes</t>
  </si>
  <si>
    <t>Net result</t>
  </si>
  <si>
    <t>Other Indirect cost</t>
  </si>
  <si>
    <t>Salaries and wages</t>
  </si>
  <si>
    <t>Cost of goods sold</t>
  </si>
  <si>
    <t>estimated useful life</t>
  </si>
  <si>
    <t>Depreciation &amp; balance</t>
  </si>
  <si>
    <t>Annual depreciation</t>
  </si>
  <si>
    <t>Fixed assets balance</t>
  </si>
  <si>
    <t>Asset type</t>
  </si>
  <si>
    <t>Fixed assets and depreciation</t>
  </si>
  <si>
    <t>(generic name)</t>
  </si>
  <si>
    <t>Obligatory fiscal depreciation period (default)</t>
  </si>
  <si>
    <t>Annual  D&amp;A amount for investment year</t>
  </si>
  <si>
    <t>D&amp;A Investments Year 1</t>
  </si>
  <si>
    <t>D&amp;A Investments Year 2</t>
  </si>
  <si>
    <t>D&amp;A Investments Year 3</t>
  </si>
  <si>
    <t>D&amp;A Investments Year 4</t>
  </si>
  <si>
    <t>D&amp;A Investments Year 5</t>
  </si>
  <si>
    <t>Balance assets purchased Year 1</t>
  </si>
  <si>
    <t>Balance assets purchased Year 2</t>
  </si>
  <si>
    <t>1000/Y</t>
  </si>
  <si>
    <t>Depreciation and amortization</t>
  </si>
  <si>
    <t>Financial fixed assets</t>
  </si>
  <si>
    <t>Deferred tax asset</t>
  </si>
  <si>
    <t>Receivable VAT</t>
  </si>
  <si>
    <t>Cash &amp; bank</t>
  </si>
  <si>
    <t>Assets</t>
  </si>
  <si>
    <t>Liabilities</t>
  </si>
  <si>
    <t>Equity</t>
  </si>
  <si>
    <t>Paid-in capital</t>
  </si>
  <si>
    <t>Profit/loss for the year</t>
  </si>
  <si>
    <t>Long-term debt</t>
  </si>
  <si>
    <t>Bank loans</t>
  </si>
  <si>
    <t>other long-term interest bearing debt</t>
  </si>
  <si>
    <t>Short-term liabilities</t>
  </si>
  <si>
    <t>Trade creditors</t>
  </si>
  <si>
    <t>Payable VAT</t>
  </si>
  <si>
    <t>Payable Coporate tax</t>
  </si>
  <si>
    <t>Payable income tax</t>
  </si>
  <si>
    <t>Accurals</t>
  </si>
  <si>
    <t>Trade receivables</t>
  </si>
  <si>
    <t>Prepayments</t>
  </si>
  <si>
    <t>Goods in stock</t>
  </si>
  <si>
    <t>VAT Rate in your country</t>
  </si>
  <si>
    <t>Corporate tax rate in your country</t>
  </si>
  <si>
    <t>Starting capital</t>
  </si>
  <si>
    <t>Income tax</t>
  </si>
  <si>
    <t>Corporate tax</t>
  </si>
  <si>
    <t>Days prepayment of expenditure</t>
  </si>
  <si>
    <t>Days accrual of income</t>
  </si>
  <si>
    <t>Balance sheet items</t>
  </si>
  <si>
    <t>P&amp;L items</t>
  </si>
  <si>
    <t>Social security contributions</t>
  </si>
  <si>
    <t>Payable Social security contributions</t>
  </si>
  <si>
    <t>Tangibles &amp; intangibles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</si>
  <si>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</si>
  <si>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</si>
  <si>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</si>
  <si>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</si>
  <si>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</si>
  <si>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</si>
  <si>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</si>
  <si>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</si>
  <si>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</si>
  <si>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</si>
  <si>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koekjes</t>
  </si>
  <si>
    <t>Correction on paid Corporate tax</t>
  </si>
  <si>
    <t>NOPLAT</t>
  </si>
  <si>
    <t>changes in stock</t>
  </si>
  <si>
    <t>changes in accounts receivables</t>
  </si>
  <si>
    <t>Changes in VAT receivable</t>
  </si>
  <si>
    <t>Changes in prepayments</t>
  </si>
  <si>
    <t>Changes in accounts payables</t>
  </si>
  <si>
    <t>Changes In VAT payable</t>
  </si>
  <si>
    <t>Changes in corporate tax payable</t>
  </si>
  <si>
    <t>Changes in income tax payable</t>
  </si>
  <si>
    <t>Changes in social security contributions payable</t>
  </si>
  <si>
    <t>Channges in accruals</t>
  </si>
  <si>
    <t>Changes in working capital</t>
  </si>
  <si>
    <t>Cashflow from operations</t>
  </si>
  <si>
    <t>Cashflow from Investments</t>
  </si>
  <si>
    <t>Cashflow from financing</t>
  </si>
  <si>
    <t>Total cash balance EoP</t>
  </si>
  <si>
    <t>Products</t>
  </si>
  <si>
    <t>Personnel</t>
  </si>
  <si>
    <t>Equity contibutions</t>
  </si>
  <si>
    <t>Reserves</t>
  </si>
  <si>
    <t>Agio</t>
  </si>
  <si>
    <t>Current assets</t>
  </si>
  <si>
    <t>Investments in fixed assets</t>
  </si>
  <si>
    <t>Investments in participations</t>
  </si>
  <si>
    <t>Changes in deferred tax assets</t>
  </si>
  <si>
    <t>Bank loans capital calls</t>
  </si>
  <si>
    <t>Bank loans redemption installments</t>
  </si>
  <si>
    <t>Total other direct cost</t>
  </si>
  <si>
    <t>Total personel cost</t>
  </si>
  <si>
    <t>Default over-all price increase/ decrease</t>
  </si>
  <si>
    <t>Taxes &amp; contributions</t>
  </si>
  <si>
    <t>Paid after</t>
  </si>
  <si>
    <t>income tax</t>
  </si>
  <si>
    <t>annual change</t>
  </si>
  <si>
    <t>SSC employer</t>
  </si>
  <si>
    <t>SSC employee</t>
  </si>
  <si>
    <t>Over-all value</t>
  </si>
  <si>
    <t>Provisions</t>
  </si>
  <si>
    <t>Holiday Provisions</t>
  </si>
  <si>
    <t>Provision holiday pay</t>
  </si>
  <si>
    <t>Accrued income</t>
  </si>
  <si>
    <t>Deferred Income</t>
  </si>
  <si>
    <t>Days Accrual of cost</t>
  </si>
  <si>
    <t>Changes in accrued income</t>
  </si>
  <si>
    <t>Changes in taxes &amp; social security contributions</t>
  </si>
  <si>
    <t>Channges in deferred income</t>
  </si>
  <si>
    <t>Holiday payment</t>
  </si>
  <si>
    <t>Days deferred income</t>
  </si>
  <si>
    <t>Other sources of finance</t>
  </si>
  <si>
    <t>Of which: income tax</t>
  </si>
  <si>
    <t>Of which: social security</t>
  </si>
  <si>
    <t>Holiday payments</t>
  </si>
  <si>
    <t>month of pay-out</t>
  </si>
  <si>
    <t>%/year</t>
  </si>
  <si>
    <t>{other provisions tba}</t>
  </si>
  <si>
    <t>Y=1, N=0</t>
  </si>
  <si>
    <t>is this a stock/ retail item?</t>
  </si>
  <si>
    <t>Of which: purchased goods/ stock item</t>
  </si>
  <si>
    <t>Monthly gross salary</t>
  </si>
  <si>
    <t>general manager</t>
  </si>
  <si>
    <t>{Average remaining lifetime of assets on starting balance}</t>
  </si>
  <si>
    <t>days</t>
  </si>
  <si>
    <t>sold after</t>
  </si>
  <si>
    <t>Received after</t>
  </si>
  <si>
    <t>goods received</t>
  </si>
  <si>
    <t>invoice sent after</t>
  </si>
  <si>
    <t>invoice paid after</t>
  </si>
  <si>
    <t xml:space="preserve">inoice received </t>
  </si>
  <si>
    <t xml:space="preserve">service delivered </t>
  </si>
  <si>
    <t>Indirect costs</t>
  </si>
  <si>
    <t>function 1</t>
  </si>
  <si>
    <t>function 2</t>
  </si>
  <si>
    <t>function 3</t>
  </si>
  <si>
    <t>function 4</t>
  </si>
  <si>
    <t>function 5</t>
  </si>
  <si>
    <t>function 6</t>
  </si>
  <si>
    <t>function 7</t>
  </si>
  <si>
    <t>function 8</t>
  </si>
  <si>
    <t>function 9</t>
  </si>
  <si>
    <t>function 10</t>
  </si>
  <si>
    <t>Indirect cost tye 1</t>
  </si>
  <si>
    <t>Indirect cost tye 2</t>
  </si>
  <si>
    <t>Indirect cost tye 3</t>
  </si>
  <si>
    <t>Indirect cost tye 4</t>
  </si>
  <si>
    <t>Indirect cost tye 5</t>
  </si>
  <si>
    <t>Indirect cost tye 6</t>
  </si>
  <si>
    <t>Indirect cost tye 7</t>
  </si>
  <si>
    <t>Indirect cost tye 8</t>
  </si>
  <si>
    <t>Indirect cost tye 9</t>
  </si>
  <si>
    <t>Indirect cost tye 10</t>
  </si>
  <si>
    <t>rent of office space</t>
  </si>
  <si>
    <t>Direct Costs</t>
  </si>
  <si>
    <t>margin %</t>
  </si>
  <si>
    <t>annual price delta</t>
  </si>
  <si>
    <t>Loss carry forward for the year</t>
  </si>
  <si>
    <t>Loss carry forward accumulated</t>
  </si>
  <si>
    <t>Corporate Tax to be paid for the year</t>
  </si>
  <si>
    <t>gebak</t>
  </si>
  <si>
    <t>av. FTE/ year</t>
  </si>
  <si>
    <t>per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</si>
</sst>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_ ;[Red]\-0\ 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29">
    <xf numFmtId="0" fontId="0" fillId="0" borderId="0"/>
    <xf numFmtId="9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3" borderId="3" applyNumberFormat="0" applyAlignment="0" applyProtection="0"/>
    <xf numFmtId="0" fontId="7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5" borderId="6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0" fillId="4" borderId="0" xfId="0" applyFill="1"/>
    <xf numFmtId="0" fontId="5" fillId="2" borderId="3" xfId="4"/>
    <xf numFmtId="0" fontId="6" fillId="3" borderId="3" xfId="5"/>
    <xf numFmtId="0" fontId="0" fillId="4" borderId="0" xfId="0" applyFill="1" applyAlignment="1">
      <alignment horizontal="left"/>
    </xf>
    <xf numFmtId="0" fontId="5" fillId="2" borderId="3" xfId="4" quotePrefix="1"/>
    <xf numFmtId="0" fontId="10" fillId="4" borderId="0" xfId="0" applyFont="1" applyFill="1"/>
    <xf numFmtId="0" fontId="5" fillId="2" borderId="3" xfId="4" applyAlignment="1">
      <alignment horizontal="right"/>
    </xf>
    <xf numFmtId="9" fontId="5" fillId="2" borderId="3" xfId="4" applyNumberFormat="1"/>
    <xf numFmtId="9" fontId="6" fillId="3" borderId="3" xfId="1" applyFont="1" applyFill="1" applyBorder="1"/>
    <xf numFmtId="0" fontId="3" fillId="4" borderId="1" xfId="2" applyFill="1"/>
    <xf numFmtId="0" fontId="4" fillId="4" borderId="2" xfId="3" applyFill="1" applyAlignment="1">
      <alignment horizontal="right"/>
    </xf>
    <xf numFmtId="0" fontId="5" fillId="6" borderId="3" xfId="4" applyFill="1"/>
    <xf numFmtId="164" fontId="6" fillId="3" borderId="3" xfId="5" applyNumberFormat="1"/>
    <xf numFmtId="1" fontId="6" fillId="3" borderId="3" xfId="5" applyNumberFormat="1"/>
    <xf numFmtId="0" fontId="7" fillId="4" borderId="0" xfId="0" applyFont="1" applyFill="1"/>
    <xf numFmtId="0" fontId="15" fillId="7" borderId="0" xfId="0" applyFont="1" applyFill="1"/>
    <xf numFmtId="1" fontId="0" fillId="4" borderId="0" xfId="0" applyNumberFormat="1" applyFill="1"/>
    <xf numFmtId="1" fontId="7" fillId="3" borderId="4" xfId="6" applyNumberFormat="1" applyFill="1"/>
    <xf numFmtId="1" fontId="1" fillId="3" borderId="4" xfId="6" applyNumberFormat="1" applyFont="1" applyFill="1"/>
    <xf numFmtId="0" fontId="16" fillId="4" borderId="0" xfId="0" applyFont="1" applyFill="1"/>
    <xf numFmtId="1" fontId="13" fillId="3" borderId="3" xfId="5" applyNumberFormat="1" applyFont="1"/>
    <xf numFmtId="0" fontId="7" fillId="4" borderId="4" xfId="6" applyFill="1"/>
    <xf numFmtId="1" fontId="7" fillId="4" borderId="4" xfId="6" applyNumberFormat="1" applyFill="1"/>
    <xf numFmtId="164" fontId="0" fillId="4" borderId="0" xfId="0" applyNumberFormat="1" applyFill="1"/>
    <xf numFmtId="0" fontId="17" fillId="4" borderId="0" xfId="0" applyFont="1" applyFill="1"/>
    <xf numFmtId="0" fontId="13" fillId="0" borderId="5" xfId="79"/>
    <xf numFmtId="1" fontId="13" fillId="4" borderId="5" xfId="79" applyNumberFormat="1" applyFill="1"/>
    <xf numFmtId="164" fontId="13" fillId="4" borderId="5" xfId="79" applyNumberFormat="1" applyFill="1"/>
    <xf numFmtId="164" fontId="6" fillId="3" borderId="3" xfId="5" applyNumberFormat="1" applyFont="1"/>
    <xf numFmtId="164" fontId="13" fillId="3" borderId="3" xfId="5" applyNumberFormat="1" applyFont="1"/>
    <xf numFmtId="164" fontId="7" fillId="4" borderId="4" xfId="6" applyNumberFormat="1" applyFill="1"/>
    <xf numFmtId="165" fontId="0" fillId="4" borderId="0" xfId="0" applyNumberFormat="1" applyFill="1"/>
    <xf numFmtId="164" fontId="7" fillId="3" borderId="4" xfId="6" applyNumberFormat="1" applyFill="1"/>
    <xf numFmtId="164" fontId="5" fillId="6" borderId="3" xfId="4" applyNumberFormat="1" applyFill="1"/>
    <xf numFmtId="1" fontId="5" fillId="6" borderId="3" xfId="4" applyNumberFormat="1" applyFill="1"/>
    <xf numFmtId="2" fontId="14" fillId="5" borderId="6" xfId="80" applyNumberFormat="1"/>
    <xf numFmtId="164" fontId="13" fillId="6" borderId="3" xfId="5" applyNumberFormat="1" applyFont="1" applyFill="1"/>
    <xf numFmtId="9" fontId="5" fillId="6" borderId="3" xfId="4" applyNumberFormat="1" applyFill="1"/>
    <xf numFmtId="0" fontId="5" fillId="6" borderId="8" xfId="4" applyFill="1" applyBorder="1"/>
    <xf numFmtId="0" fontId="5" fillId="2" borderId="9" xfId="4" applyBorder="1"/>
    <xf numFmtId="0" fontId="5" fillId="2" borderId="7" xfId="4" applyBorder="1"/>
    <xf numFmtId="1" fontId="5" fillId="6" borderId="8" xfId="4" applyNumberFormat="1" applyFill="1" applyBorder="1"/>
    <xf numFmtId="0" fontId="5" fillId="2" borderId="8" xfId="4" applyBorder="1"/>
    <xf numFmtId="1" fontId="5" fillId="2" borderId="7" xfId="4" applyNumberFormat="1" applyBorder="1"/>
    <xf numFmtId="0" fontId="10" fillId="4" borderId="0" xfId="0" applyFont="1" applyFill="1" applyAlignment="1">
      <alignment horizontal="center"/>
    </xf>
  </cellXfs>
  <cellStyles count="229">
    <cellStyle name="Berekening" xfId="5" builtinId="22"/>
    <cellStyle name="Controlecel" xfId="80" builtinId="23"/>
    <cellStyle name="Gekoppelde cel" xfId="79" builtinId="24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Gevolgde hyperlink" xfId="136" builtinId="9" hidden="1"/>
    <cellStyle name="Gevolgde hyperlink" xfId="138" builtinId="9" hidden="1"/>
    <cellStyle name="Gevolgde hyperlink" xfId="140" builtinId="9" hidden="1"/>
    <cellStyle name="Gevolgde hyperlink" xfId="142" builtinId="9" hidden="1"/>
    <cellStyle name="Gevolgde hyperlink" xfId="144" builtinId="9" hidden="1"/>
    <cellStyle name="Gevolgde hyperlink" xfId="146" builtinId="9" hidden="1"/>
    <cellStyle name="Gevolgde hyperlink" xfId="148" builtinId="9" hidden="1"/>
    <cellStyle name="Gevolgde hyperlink" xfId="150" builtinId="9" hidden="1"/>
    <cellStyle name="Gevolgde hyperlink" xfId="152" builtinId="9" hidden="1"/>
    <cellStyle name="Gevolgde hyperlink" xfId="154" builtinId="9" hidden="1"/>
    <cellStyle name="Gevolgde hyperlink" xfId="156" builtinId="9" hidden="1"/>
    <cellStyle name="Gevolgde hyperlink" xfId="158" builtinId="9" hidden="1"/>
    <cellStyle name="Gevolgde hyperlink" xfId="160" builtinId="9" hidden="1"/>
    <cellStyle name="Gevolgde hyperlink" xfId="162" builtinId="9" hidden="1"/>
    <cellStyle name="Gevolgde hyperlink" xfId="164" builtinId="9" hidden="1"/>
    <cellStyle name="Gevolgde hyperlink" xfId="166" builtinId="9" hidden="1"/>
    <cellStyle name="Gevolgde hyperlink" xfId="168" builtinId="9" hidden="1"/>
    <cellStyle name="Gevolgde hyperlink" xfId="170" builtinId="9" hidden="1"/>
    <cellStyle name="Gevolgde hyperlink" xfId="172" builtinId="9" hidden="1"/>
    <cellStyle name="Gevolgde hyperlink" xfId="174" builtinId="9" hidden="1"/>
    <cellStyle name="Gevolgde hyperlink" xfId="176" builtinId="9" hidden="1"/>
    <cellStyle name="Gevolgde hyperlink" xfId="178" builtinId="9" hidden="1"/>
    <cellStyle name="Gevolgde hyperlink" xfId="180" builtinId="9" hidden="1"/>
    <cellStyle name="Gevolgde hyperlink" xfId="182" builtinId="9" hidden="1"/>
    <cellStyle name="Gevolgde hyperlink" xfId="184" builtinId="9" hidden="1"/>
    <cellStyle name="Gevolgde hyperlink" xfId="186" builtinId="9" hidden="1"/>
    <cellStyle name="Gevolgde hyperlink" xfId="188" builtinId="9" hidden="1"/>
    <cellStyle name="Gevolgde hyperlink" xfId="190" builtinId="9" hidden="1"/>
    <cellStyle name="Gevolgde hyperlink" xfId="192" builtinId="9" hidden="1"/>
    <cellStyle name="Gevolgde hyperlink" xfId="194" builtinId="9" hidden="1"/>
    <cellStyle name="Gevolgde hyperlink" xfId="196" builtinId="9" hidden="1"/>
    <cellStyle name="Gevolgde hyperlink" xfId="198" builtinId="9" hidden="1"/>
    <cellStyle name="Gevolgde hyperlink" xfId="200" builtinId="9" hidden="1"/>
    <cellStyle name="Gevolgde hyperlink" xfId="202" builtinId="9" hidden="1"/>
    <cellStyle name="Gevolgde hyperlink" xfId="204" builtinId="9" hidden="1"/>
    <cellStyle name="Gevolgde hyperlink" xfId="206" builtinId="9" hidden="1"/>
    <cellStyle name="Gevolgde hyperlink" xfId="208" builtinId="9" hidden="1"/>
    <cellStyle name="Gevolgde hyperlink" xfId="210" builtinId="9" hidden="1"/>
    <cellStyle name="Gevolgde hyperlink" xfId="212" builtinId="9" hidden="1"/>
    <cellStyle name="Gevolgde hyperlink" xfId="214" builtinId="9" hidden="1"/>
    <cellStyle name="Gevolgde hyperlink" xfId="216" builtinId="9" hidden="1"/>
    <cellStyle name="Gevolgde hyperlink" xfId="218" builtinId="9" hidden="1"/>
    <cellStyle name="Gevolgde hyperlink" xfId="220" builtinId="9" hidden="1"/>
    <cellStyle name="Gevolgde hyperlink" xfId="222" builtinId="9" hidden="1"/>
    <cellStyle name="Gevolgde hyperlink" xfId="224" builtinId="9" hidden="1"/>
    <cellStyle name="Gevolgde hyperlink" xfId="226" builtinId="9" hidden="1"/>
    <cellStyle name="Gevolgde hyperlink" xfId="228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Invoer" xfId="4" builtinId="20"/>
    <cellStyle name="Kop 1" xfId="2" builtinId="16"/>
    <cellStyle name="Kop 2" xfId="3" builtinId="17"/>
    <cellStyle name="Procent" xfId="1" builtinId="5"/>
    <cellStyle name="Standaard" xfId="0" builtinId="0"/>
    <cellStyle name="Totaal" xfId="6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D20"/>
  <sheetViews>
    <sheetView workbookViewId="0">
      <selection activeCell="D14" sqref="D14"/>
    </sheetView>
  </sheetViews>
  <sheetFormatPr defaultColWidth="10.875" defaultRowHeight="15.75" x14ac:dyDescent="0.25"/>
  <cols>
    <col min="1" max="2" width="10.875" style="1"/>
    <col min="3" max="3" width="22.5" style="1" customWidth="1"/>
    <col min="4" max="16384" width="10.875" style="1"/>
  </cols>
  <sheetData>
    <row r="13" spans="2:4" x14ac:dyDescent="0.25">
      <c r="B13" s="1" t="s">
        <v>2</v>
      </c>
      <c r="D13" s="2">
        <v>2016</v>
      </c>
    </row>
    <row r="14" spans="2:4" x14ac:dyDescent="0.25">
      <c r="B14" s="1" t="s">
        <v>3</v>
      </c>
      <c r="D14" s="7" t="s">
        <v>4</v>
      </c>
    </row>
    <row r="15" spans="2:4" x14ac:dyDescent="0.25">
      <c r="B15" s="1" t="s">
        <v>6</v>
      </c>
      <c r="D15" s="5">
        <v>1000</v>
      </c>
    </row>
    <row r="17" spans="2:4" x14ac:dyDescent="0.25">
      <c r="B17" s="1" t="s">
        <v>102</v>
      </c>
      <c r="D17" s="2">
        <v>10</v>
      </c>
    </row>
    <row r="19" spans="2:4" x14ac:dyDescent="0.25">
      <c r="B19" s="1" t="s">
        <v>100</v>
      </c>
      <c r="D19" s="8">
        <v>0.21</v>
      </c>
    </row>
    <row r="20" spans="2:4" x14ac:dyDescent="0.25">
      <c r="B20" s="1" t="s">
        <v>101</v>
      </c>
      <c r="D20" s="8">
        <v>0.25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7" sqref="E47"/>
    </sheetView>
  </sheetViews>
  <sheetFormatPr defaultColWidth="10.875" defaultRowHeight="15.75" x14ac:dyDescent="0.25"/>
  <cols>
    <col min="1" max="16384" width="10.875" style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8"/>
  <sheetViews>
    <sheetView topLeftCell="AB26" workbookViewId="0">
      <selection activeCell="AI54" sqref="AI54"/>
    </sheetView>
  </sheetViews>
  <sheetFormatPr defaultColWidth="10.875" defaultRowHeight="15.75" x14ac:dyDescent="0.25"/>
  <cols>
    <col min="1" max="1" width="20.375" style="1" customWidth="1"/>
    <col min="2" max="2" width="11.375" style="1" customWidth="1"/>
    <col min="3" max="8" width="10.875" style="1"/>
    <col min="9" max="9" width="22.375" style="1" customWidth="1"/>
    <col min="10" max="10" width="7.375" style="1" customWidth="1"/>
    <col min="11" max="14" width="10.875" style="1"/>
    <col min="15" max="16" width="10.875" style="1" customWidth="1"/>
    <col min="17" max="17" width="24.875" style="1" customWidth="1"/>
    <col min="18" max="18" width="8.625" style="1" customWidth="1"/>
    <col min="19" max="24" width="10.875" style="1" customWidth="1"/>
    <col min="25" max="25" width="21.125" style="1" customWidth="1"/>
    <col min="26" max="32" width="10.875" style="1" customWidth="1"/>
    <col min="33" max="33" width="21.375" style="1" customWidth="1"/>
    <col min="34" max="42" width="10.875" style="1" customWidth="1"/>
    <col min="43" max="16384" width="10.875" style="1"/>
  </cols>
  <sheetData>
    <row r="1" spans="1:23" ht="21" x14ac:dyDescent="0.35">
      <c r="C1" s="45" t="s">
        <v>17</v>
      </c>
      <c r="D1" s="45"/>
      <c r="E1" s="45"/>
      <c r="F1" s="45"/>
      <c r="G1" s="45"/>
      <c r="K1" s="45" t="s">
        <v>18</v>
      </c>
      <c r="L1" s="45"/>
      <c r="M1" s="45"/>
      <c r="N1" s="45"/>
      <c r="O1" s="45"/>
      <c r="S1" s="45" t="s">
        <v>19</v>
      </c>
      <c r="T1" s="45"/>
      <c r="U1" s="45"/>
      <c r="V1" s="45"/>
      <c r="W1" s="45"/>
    </row>
    <row r="4" spans="1:23" ht="20.25" thickBot="1" x14ac:dyDescent="0.35">
      <c r="A4" s="10" t="s">
        <v>5</v>
      </c>
      <c r="C4" s="11">
        <f>IF(Cover!$D$13&gt;0,Cover!$D$13,"year 1")</f>
        <v>2016</v>
      </c>
      <c r="D4" s="11">
        <f>IF(Cover!$D$13&gt;0,C4+1,"year 2")</f>
        <v>2017</v>
      </c>
      <c r="E4" s="11">
        <f>IF(Cover!$D$13&gt;0,D4+1,"year 3")</f>
        <v>2018</v>
      </c>
      <c r="F4" s="11">
        <f>IF(Cover!$D$13&gt;0,E4+1,"year 4")</f>
        <v>2019</v>
      </c>
      <c r="G4" s="11">
        <f>IF(Cover!$D$13&gt;0,F4+1,"year 5")</f>
        <v>2020</v>
      </c>
      <c r="K4" s="11">
        <f>C4</f>
        <v>2016</v>
      </c>
      <c r="L4" s="11">
        <f t="shared" ref="L4:O4" si="0">D4</f>
        <v>2017</v>
      </c>
      <c r="M4" s="11">
        <f t="shared" si="0"/>
        <v>2018</v>
      </c>
      <c r="N4" s="11">
        <f t="shared" si="0"/>
        <v>2019</v>
      </c>
      <c r="O4" s="11">
        <f t="shared" si="0"/>
        <v>2020</v>
      </c>
      <c r="S4" s="11">
        <f>C4</f>
        <v>2016</v>
      </c>
      <c r="T4" s="11">
        <f t="shared" ref="T4:W4" si="1">D4</f>
        <v>2017</v>
      </c>
      <c r="U4" s="11">
        <f t="shared" si="1"/>
        <v>2018</v>
      </c>
      <c r="V4" s="11">
        <f t="shared" si="1"/>
        <v>2019</v>
      </c>
      <c r="W4" s="11">
        <f t="shared" si="1"/>
        <v>2020</v>
      </c>
    </row>
    <row r="5" spans="1:23" ht="17.25" thickTop="1" thickBot="1" x14ac:dyDescent="0.3"/>
    <row r="6" spans="1:23" ht="16.5" thickBot="1" x14ac:dyDescent="0.3">
      <c r="A6" s="1" t="str">
        <f>IF(Parameters!C6&gt;0,"Sales"&amp;" "&amp;Parameters!C6,"Sales"&amp;" "&amp;Parameters!O6)</f>
        <v>Sales koekjes</v>
      </c>
      <c r="B6" s="1" t="s">
        <v>0</v>
      </c>
      <c r="C6" s="41">
        <v>100</v>
      </c>
      <c r="D6" s="39">
        <v>200</v>
      </c>
      <c r="E6" s="12">
        <v>400</v>
      </c>
      <c r="F6" s="12">
        <v>800</v>
      </c>
      <c r="G6" s="12">
        <v>1600</v>
      </c>
      <c r="I6" s="1" t="s">
        <v>1</v>
      </c>
      <c r="J6" s="4" t="str">
        <f>IF(Cover!D14&gt;0,Cover!D14," ")</f>
        <v>€</v>
      </c>
      <c r="K6" s="41">
        <v>200</v>
      </c>
      <c r="L6" s="42">
        <v>200</v>
      </c>
      <c r="M6" s="35">
        <v>200</v>
      </c>
      <c r="N6" s="35">
        <v>200</v>
      </c>
      <c r="O6" s="35">
        <v>200</v>
      </c>
      <c r="Q6" s="1" t="str">
        <f>IF(Parameters!C6&gt;0,"Revenue "&amp;Parameters!C6,"Revenue "&amp;Parameters!O6)</f>
        <v>Revenue koekjes</v>
      </c>
      <c r="R6" s="4">
        <f>Cover!D15</f>
        <v>1000</v>
      </c>
      <c r="S6" s="13">
        <f t="shared" ref="S6:S15" si="2">C6*K6/$R6</f>
        <v>20</v>
      </c>
      <c r="T6" s="13">
        <f t="shared" ref="T6:W6" si="3">D6*L6/$R6</f>
        <v>40</v>
      </c>
      <c r="U6" s="13">
        <f t="shared" si="3"/>
        <v>80</v>
      </c>
      <c r="V6" s="13">
        <f t="shared" si="3"/>
        <v>160</v>
      </c>
      <c r="W6" s="13">
        <f t="shared" si="3"/>
        <v>320</v>
      </c>
    </row>
    <row r="7" spans="1:23" x14ac:dyDescent="0.25">
      <c r="A7" s="1" t="str">
        <f>IF(Parameters!C7&gt;0,"Sales"&amp;" "&amp;Parameters!C7,"Sales"&amp;" "&amp;Parameters!O7)</f>
        <v>Sales gebak</v>
      </c>
      <c r="B7" s="1" t="s">
        <v>0</v>
      </c>
      <c r="C7" s="40">
        <v>100</v>
      </c>
      <c r="D7" s="12">
        <v>100</v>
      </c>
      <c r="E7" s="12">
        <v>100</v>
      </c>
      <c r="F7" s="12">
        <v>400</v>
      </c>
      <c r="G7" s="12">
        <v>1600</v>
      </c>
      <c r="I7" s="1" t="s">
        <v>1</v>
      </c>
      <c r="J7" s="1" t="str">
        <f>$J$6</f>
        <v>€</v>
      </c>
      <c r="K7" s="40">
        <v>150</v>
      </c>
      <c r="L7" s="35">
        <f>K7*(1+(IF(Parameters!$E7=0,Parameters!$E$17,Parameters!$E7)))</f>
        <v>157.5</v>
      </c>
      <c r="M7" s="35">
        <f>L7*(1+(IF(Parameters!$E7=0,Parameters!$E$17,Parameters!$E7)))</f>
        <v>165.375</v>
      </c>
      <c r="N7" s="35">
        <f>M7*(1+(IF(Parameters!$E7=0,Parameters!$E$17,Parameters!$E7)))</f>
        <v>173.64375000000001</v>
      </c>
      <c r="O7" s="35">
        <f>N7*(1+(IF(Parameters!$E7=0,Parameters!$E$17,Parameters!$E7)))</f>
        <v>182.32593750000001</v>
      </c>
      <c r="Q7" s="1" t="str">
        <f>IF(Parameters!C7&gt;0,"Revenue "&amp;Parameters!C7,"Revenue "&amp;Parameters!O7)</f>
        <v>Revenue gebak</v>
      </c>
      <c r="R7" s="4">
        <f>$R$6</f>
        <v>1000</v>
      </c>
      <c r="S7" s="13">
        <f t="shared" si="2"/>
        <v>15</v>
      </c>
      <c r="T7" s="13">
        <f t="shared" ref="T7:T15" si="4">D7*L7/$R7</f>
        <v>15.75</v>
      </c>
      <c r="U7" s="13">
        <f t="shared" ref="U7:U15" si="5">E7*M7/$R7</f>
        <v>16.537500000000001</v>
      </c>
      <c r="V7" s="13">
        <f t="shared" ref="V7:V15" si="6">F7*N7/$R7</f>
        <v>69.457499999999996</v>
      </c>
      <c r="W7" s="13">
        <f t="shared" ref="W7:W15" si="7">G7*O7/$R7</f>
        <v>291.72149999999999</v>
      </c>
    </row>
    <row r="8" spans="1:23" x14ac:dyDescent="0.25">
      <c r="A8" s="1" t="str">
        <f>IF(Parameters!C8&gt;0,"Sales"&amp;" "&amp;Parameters!C8,"Sales"&amp;" "&amp;Parameters!O8)</f>
        <v>Sales product 3</v>
      </c>
      <c r="B8" s="1" t="s">
        <v>0</v>
      </c>
      <c r="C8" s="2"/>
      <c r="D8" s="12"/>
      <c r="E8" s="12"/>
      <c r="F8" s="12"/>
      <c r="G8" s="12"/>
      <c r="I8" s="1" t="s">
        <v>1</v>
      </c>
      <c r="J8" s="1" t="str">
        <f t="shared" ref="J8:J15" si="8">$J$6</f>
        <v>€</v>
      </c>
      <c r="K8" s="2"/>
      <c r="L8" s="12"/>
      <c r="M8" s="12"/>
      <c r="N8" s="12"/>
      <c r="O8" s="12"/>
      <c r="Q8" s="1" t="str">
        <f>IF(Parameters!C8&gt;0,"Revenue "&amp;Parameters!C8,"Revenue "&amp;Parameters!O8)</f>
        <v>Revenue product 3</v>
      </c>
      <c r="R8" s="4">
        <f t="shared" ref="R8:R15" si="9">$R$6</f>
        <v>1000</v>
      </c>
      <c r="S8" s="13">
        <f t="shared" si="2"/>
        <v>0</v>
      </c>
      <c r="T8" s="13">
        <f t="shared" si="4"/>
        <v>0</v>
      </c>
      <c r="U8" s="13">
        <f t="shared" si="5"/>
        <v>0</v>
      </c>
      <c r="V8" s="13">
        <f t="shared" si="6"/>
        <v>0</v>
      </c>
      <c r="W8" s="13">
        <f t="shared" si="7"/>
        <v>0</v>
      </c>
    </row>
    <row r="9" spans="1:23" x14ac:dyDescent="0.25">
      <c r="A9" s="1" t="str">
        <f>IF(Parameters!C9&gt;0,"Sales"&amp;" "&amp;Parameters!C9,"Sales"&amp;" "&amp;Parameters!O9)</f>
        <v>Sales product 4</v>
      </c>
      <c r="B9" s="1" t="s">
        <v>0</v>
      </c>
      <c r="C9" s="2"/>
      <c r="D9" s="12"/>
      <c r="E9" s="12"/>
      <c r="F9" s="12"/>
      <c r="G9" s="12"/>
      <c r="I9" s="1" t="s">
        <v>1</v>
      </c>
      <c r="J9" s="1" t="str">
        <f t="shared" si="8"/>
        <v>€</v>
      </c>
      <c r="K9" s="2"/>
      <c r="L9" s="12"/>
      <c r="M9" s="12"/>
      <c r="N9" s="12"/>
      <c r="O9" s="12"/>
      <c r="Q9" s="1" t="str">
        <f>IF(Parameters!C9&gt;0,"Revenue "&amp;Parameters!C9,"Revenue "&amp;Parameters!O9)</f>
        <v>Revenue product 4</v>
      </c>
      <c r="R9" s="4">
        <f t="shared" si="9"/>
        <v>1000</v>
      </c>
      <c r="S9" s="13">
        <f t="shared" si="2"/>
        <v>0</v>
      </c>
      <c r="T9" s="13">
        <f t="shared" si="4"/>
        <v>0</v>
      </c>
      <c r="U9" s="13">
        <f t="shared" si="5"/>
        <v>0</v>
      </c>
      <c r="V9" s="13">
        <f t="shared" si="6"/>
        <v>0</v>
      </c>
      <c r="W9" s="13">
        <f t="shared" si="7"/>
        <v>0</v>
      </c>
    </row>
    <row r="10" spans="1:23" x14ac:dyDescent="0.25">
      <c r="A10" s="1" t="str">
        <f>IF(Parameters!C10&gt;0,"Sales"&amp;" "&amp;Parameters!C10,"Sales"&amp;" "&amp;Parameters!O10)</f>
        <v>Sales product 5</v>
      </c>
      <c r="B10" s="1" t="s">
        <v>0</v>
      </c>
      <c r="C10" s="2"/>
      <c r="D10" s="12"/>
      <c r="E10" s="12"/>
      <c r="F10" s="12"/>
      <c r="G10" s="12"/>
      <c r="I10" s="1" t="s">
        <v>1</v>
      </c>
      <c r="J10" s="1" t="str">
        <f t="shared" si="8"/>
        <v>€</v>
      </c>
      <c r="K10" s="2"/>
      <c r="L10" s="12"/>
      <c r="M10" s="12"/>
      <c r="N10" s="12"/>
      <c r="O10" s="12"/>
      <c r="Q10" s="1" t="str">
        <f>IF(Parameters!C10&gt;0,"Revenue "&amp;Parameters!C10,"Revenue "&amp;Parameters!O10)</f>
        <v>Revenue product 5</v>
      </c>
      <c r="R10" s="4">
        <f t="shared" si="9"/>
        <v>1000</v>
      </c>
      <c r="S10" s="13">
        <f t="shared" si="2"/>
        <v>0</v>
      </c>
      <c r="T10" s="13">
        <f t="shared" si="4"/>
        <v>0</v>
      </c>
      <c r="U10" s="13">
        <f t="shared" si="5"/>
        <v>0</v>
      </c>
      <c r="V10" s="13">
        <f t="shared" si="6"/>
        <v>0</v>
      </c>
      <c r="W10" s="13">
        <f t="shared" si="7"/>
        <v>0</v>
      </c>
    </row>
    <row r="11" spans="1:23" x14ac:dyDescent="0.25">
      <c r="A11" s="1" t="str">
        <f>IF(Parameters!C11&gt;0,"Sales"&amp;" "&amp;Parameters!C11,"Sales"&amp;" "&amp;Parameters!O11)</f>
        <v>Sales product 6</v>
      </c>
      <c r="B11" s="1" t="s">
        <v>0</v>
      </c>
      <c r="C11" s="2"/>
      <c r="D11" s="12"/>
      <c r="E11" s="12"/>
      <c r="F11" s="12"/>
      <c r="G11" s="12"/>
      <c r="I11" s="1" t="s">
        <v>1</v>
      </c>
      <c r="J11" s="1" t="str">
        <f t="shared" si="8"/>
        <v>€</v>
      </c>
      <c r="K11" s="2"/>
      <c r="L11" s="12"/>
      <c r="M11" s="12"/>
      <c r="N11" s="12"/>
      <c r="O11" s="12"/>
      <c r="Q11" s="1" t="str">
        <f>IF(Parameters!C11&gt;0,"Revenue "&amp;Parameters!C11,"Revenue "&amp;Parameters!O11)</f>
        <v>Revenue product 6</v>
      </c>
      <c r="R11" s="4">
        <f t="shared" si="9"/>
        <v>1000</v>
      </c>
      <c r="S11" s="13">
        <f t="shared" si="2"/>
        <v>0</v>
      </c>
      <c r="T11" s="13">
        <f t="shared" si="4"/>
        <v>0</v>
      </c>
      <c r="U11" s="13">
        <f t="shared" si="5"/>
        <v>0</v>
      </c>
      <c r="V11" s="13">
        <f t="shared" si="6"/>
        <v>0</v>
      </c>
      <c r="W11" s="13">
        <f t="shared" si="7"/>
        <v>0</v>
      </c>
    </row>
    <row r="12" spans="1:23" x14ac:dyDescent="0.25">
      <c r="A12" s="1" t="str">
        <f>IF(Parameters!C12&gt;0,"Sales"&amp;" "&amp;Parameters!C12,"Sales"&amp;" "&amp;Parameters!O12)</f>
        <v>Sales product 7</v>
      </c>
      <c r="B12" s="1" t="s">
        <v>0</v>
      </c>
      <c r="C12" s="2"/>
      <c r="D12" s="12"/>
      <c r="E12" s="12"/>
      <c r="F12" s="12"/>
      <c r="G12" s="12"/>
      <c r="I12" s="1" t="s">
        <v>1</v>
      </c>
      <c r="J12" s="1" t="str">
        <f t="shared" si="8"/>
        <v>€</v>
      </c>
      <c r="K12" s="2"/>
      <c r="L12" s="12"/>
      <c r="M12" s="12"/>
      <c r="N12" s="12"/>
      <c r="O12" s="12"/>
      <c r="Q12" s="1" t="str">
        <f>IF(Parameters!C12&gt;0,"Revenue "&amp;Parameters!C12,"Revenue "&amp;Parameters!O12)</f>
        <v>Revenue product 7</v>
      </c>
      <c r="R12" s="4">
        <f t="shared" si="9"/>
        <v>1000</v>
      </c>
      <c r="S12" s="13">
        <f t="shared" si="2"/>
        <v>0</v>
      </c>
      <c r="T12" s="13">
        <f t="shared" si="4"/>
        <v>0</v>
      </c>
      <c r="U12" s="13">
        <f t="shared" si="5"/>
        <v>0</v>
      </c>
      <c r="V12" s="13">
        <f t="shared" si="6"/>
        <v>0</v>
      </c>
      <c r="W12" s="13">
        <f t="shared" si="7"/>
        <v>0</v>
      </c>
    </row>
    <row r="13" spans="1:23" x14ac:dyDescent="0.25">
      <c r="A13" s="1" t="str">
        <f>IF(Parameters!C13&gt;0,"Sales"&amp;" "&amp;Parameters!C13,"Sales"&amp;" "&amp;Parameters!O13)</f>
        <v>Sales product 8</v>
      </c>
      <c r="B13" s="1" t="s">
        <v>0</v>
      </c>
      <c r="C13" s="2"/>
      <c r="D13" s="12"/>
      <c r="E13" s="12"/>
      <c r="F13" s="12"/>
      <c r="G13" s="12"/>
      <c r="I13" s="1" t="s">
        <v>1</v>
      </c>
      <c r="J13" s="1" t="str">
        <f t="shared" si="8"/>
        <v>€</v>
      </c>
      <c r="K13" s="2"/>
      <c r="L13" s="12"/>
      <c r="M13" s="12"/>
      <c r="N13" s="12"/>
      <c r="O13" s="12"/>
      <c r="Q13" s="1" t="str">
        <f>IF(Parameters!C13&gt;0,"Revenue "&amp;Parameters!C13,"Revenue "&amp;Parameters!O13)</f>
        <v>Revenue product 8</v>
      </c>
      <c r="R13" s="4">
        <f t="shared" si="9"/>
        <v>1000</v>
      </c>
      <c r="S13" s="13">
        <f t="shared" si="2"/>
        <v>0</v>
      </c>
      <c r="T13" s="13">
        <f t="shared" si="4"/>
        <v>0</v>
      </c>
      <c r="U13" s="13">
        <f t="shared" si="5"/>
        <v>0</v>
      </c>
      <c r="V13" s="13">
        <f t="shared" si="6"/>
        <v>0</v>
      </c>
      <c r="W13" s="13">
        <f t="shared" si="7"/>
        <v>0</v>
      </c>
    </row>
    <row r="14" spans="1:23" x14ac:dyDescent="0.25">
      <c r="A14" s="1" t="str">
        <f>IF(Parameters!C14&gt;0,"Sales"&amp;" "&amp;Parameters!C14,"Sales"&amp;" "&amp;Parameters!O14)</f>
        <v>Sales product 9</v>
      </c>
      <c r="B14" s="1" t="s">
        <v>0</v>
      </c>
      <c r="C14" s="2"/>
      <c r="D14" s="12"/>
      <c r="E14" s="12"/>
      <c r="F14" s="12"/>
      <c r="G14" s="12"/>
      <c r="I14" s="1" t="s">
        <v>1</v>
      </c>
      <c r="J14" s="1" t="str">
        <f t="shared" si="8"/>
        <v>€</v>
      </c>
      <c r="K14" s="2"/>
      <c r="L14" s="12"/>
      <c r="M14" s="12"/>
      <c r="N14" s="12"/>
      <c r="O14" s="12"/>
      <c r="Q14" s="1" t="str">
        <f>IF(Parameters!C14&gt;0,"Revenue "&amp;Parameters!C14,"Revenue "&amp;Parameters!O14)</f>
        <v>Revenue product 9</v>
      </c>
      <c r="R14" s="4">
        <f t="shared" si="9"/>
        <v>1000</v>
      </c>
      <c r="S14" s="13">
        <f t="shared" si="2"/>
        <v>0</v>
      </c>
      <c r="T14" s="13">
        <f t="shared" si="4"/>
        <v>0</v>
      </c>
      <c r="U14" s="13">
        <f t="shared" si="5"/>
        <v>0</v>
      </c>
      <c r="V14" s="13">
        <f t="shared" si="6"/>
        <v>0</v>
      </c>
      <c r="W14" s="13">
        <f t="shared" si="7"/>
        <v>0</v>
      </c>
    </row>
    <row r="15" spans="1:23" x14ac:dyDescent="0.25">
      <c r="A15" s="1" t="str">
        <f>IF(Parameters!C15&gt;0,"Sales"&amp;" "&amp;Parameters!C15,"Sales"&amp;" "&amp;Parameters!O15)</f>
        <v>Sales product 10</v>
      </c>
      <c r="B15" s="1" t="s">
        <v>0</v>
      </c>
      <c r="C15" s="2"/>
      <c r="D15" s="12"/>
      <c r="E15" s="12"/>
      <c r="F15" s="12"/>
      <c r="G15" s="12"/>
      <c r="I15" s="1" t="s">
        <v>1</v>
      </c>
      <c r="J15" s="1" t="str">
        <f t="shared" si="8"/>
        <v>€</v>
      </c>
      <c r="K15" s="2"/>
      <c r="L15" s="12"/>
      <c r="M15" s="12"/>
      <c r="N15" s="12"/>
      <c r="O15" s="12"/>
      <c r="Q15" s="1" t="str">
        <f>IF(Parameters!C15&gt;0,"Revenue "&amp;Parameters!C15,"Revenue "&amp;Parameters!O15)</f>
        <v>Revenue product 10</v>
      </c>
      <c r="R15" s="4">
        <f t="shared" si="9"/>
        <v>1000</v>
      </c>
      <c r="S15" s="13">
        <f t="shared" si="2"/>
        <v>0</v>
      </c>
      <c r="T15" s="13">
        <f t="shared" si="4"/>
        <v>0</v>
      </c>
      <c r="U15" s="13">
        <f t="shared" si="5"/>
        <v>0</v>
      </c>
      <c r="V15" s="13">
        <f t="shared" si="6"/>
        <v>0</v>
      </c>
      <c r="W15" s="13">
        <f t="shared" si="7"/>
        <v>0</v>
      </c>
    </row>
    <row r="20" spans="1:31" ht="20.25" thickBot="1" x14ac:dyDescent="0.35">
      <c r="A20" s="10" t="s">
        <v>60</v>
      </c>
      <c r="G20" s="11" t="s">
        <v>179</v>
      </c>
      <c r="K20" s="11">
        <f>K4</f>
        <v>2016</v>
      </c>
      <c r="L20" s="11">
        <f t="shared" ref="L20:O20" si="10">L4</f>
        <v>2017</v>
      </c>
      <c r="M20" s="11">
        <f t="shared" si="10"/>
        <v>2018</v>
      </c>
      <c r="N20" s="11">
        <f t="shared" si="10"/>
        <v>2019</v>
      </c>
      <c r="O20" s="11">
        <f t="shared" si="10"/>
        <v>2020</v>
      </c>
      <c r="S20" s="11">
        <f>S4</f>
        <v>2016</v>
      </c>
      <c r="T20" s="11">
        <f t="shared" ref="T20:W20" si="11">T4</f>
        <v>2017</v>
      </c>
      <c r="U20" s="11">
        <f t="shared" si="11"/>
        <v>2018</v>
      </c>
      <c r="V20" s="11">
        <f t="shared" si="11"/>
        <v>2019</v>
      </c>
      <c r="W20" s="11">
        <f t="shared" si="11"/>
        <v>2020</v>
      </c>
      <c r="AA20" s="11">
        <f>S20</f>
        <v>2016</v>
      </c>
      <c r="AB20" s="11">
        <f t="shared" ref="AB20" si="12">T20</f>
        <v>2017</v>
      </c>
      <c r="AC20" s="11">
        <f t="shared" ref="AC20" si="13">U20</f>
        <v>2018</v>
      </c>
      <c r="AD20" s="11">
        <f t="shared" ref="AD20" si="14">V20</f>
        <v>2019</v>
      </c>
      <c r="AE20" s="11">
        <f t="shared" ref="AE20" si="15">W20</f>
        <v>2020</v>
      </c>
    </row>
    <row r="21" spans="1:31" ht="17.25" thickTop="1" thickBot="1" x14ac:dyDescent="0.3"/>
    <row r="22" spans="1:31" ht="16.5" thickBot="1" x14ac:dyDescent="0.3">
      <c r="A22" s="1" t="str">
        <f>IF(Parameters!C6&gt;0,"Purchase cost"&amp;" "&amp;Parameters!C6,"Purchase cost"&amp;" "&amp;Parameters!O6)</f>
        <v>Purchase cost koekjes</v>
      </c>
      <c r="C22" s="1" t="s">
        <v>180</v>
      </c>
      <c r="G22" s="2">
        <v>1</v>
      </c>
      <c r="I22" s="1" t="s">
        <v>20</v>
      </c>
      <c r="J22" s="1" t="str">
        <f>$J$6</f>
        <v>€</v>
      </c>
      <c r="K22" s="41">
        <v>100</v>
      </c>
      <c r="L22" s="39">
        <v>100</v>
      </c>
      <c r="M22" s="12">
        <v>100</v>
      </c>
      <c r="N22" s="12">
        <v>100</v>
      </c>
      <c r="O22" s="12">
        <v>100</v>
      </c>
      <c r="Q22" s="1" t="str">
        <f>IF(Parameters!C6&gt;0,"Direct cost "&amp;Parameters!C6,"Direct cost "&amp;Parameters!O6)</f>
        <v>Direct cost koekjes</v>
      </c>
      <c r="R22" s="4">
        <f>$R$6</f>
        <v>1000</v>
      </c>
      <c r="S22" s="3">
        <f>C6*K22/$R22</f>
        <v>10</v>
      </c>
      <c r="T22" s="3">
        <f t="shared" ref="T22:W22" si="16">D6*L22/$R22</f>
        <v>20</v>
      </c>
      <c r="U22" s="3">
        <f t="shared" si="16"/>
        <v>40</v>
      </c>
      <c r="V22" s="3">
        <f t="shared" si="16"/>
        <v>80</v>
      </c>
      <c r="W22" s="3">
        <f t="shared" si="16"/>
        <v>160</v>
      </c>
      <c r="Y22" s="1" t="s">
        <v>181</v>
      </c>
      <c r="Z22" s="4">
        <f>$R$6</f>
        <v>1000</v>
      </c>
      <c r="AA22" s="13">
        <f>IF($G22=1,S22,0)</f>
        <v>10</v>
      </c>
      <c r="AB22" s="13">
        <f t="shared" ref="AB22:AE22" si="17">IF($G22=1,T22,0)</f>
        <v>20</v>
      </c>
      <c r="AC22" s="13">
        <f t="shared" si="17"/>
        <v>40</v>
      </c>
      <c r="AD22" s="13">
        <f t="shared" si="17"/>
        <v>80</v>
      </c>
      <c r="AE22" s="13">
        <f t="shared" si="17"/>
        <v>160</v>
      </c>
    </row>
    <row r="23" spans="1:31" x14ac:dyDescent="0.25">
      <c r="A23" s="1" t="str">
        <f>IF(Parameters!C7&gt;0,"Purchase cost"&amp;" "&amp;Parameters!C7,"Purchase cost"&amp;" "&amp;Parameters!O7)</f>
        <v>Purchase cost gebak</v>
      </c>
      <c r="C23" s="1" t="s">
        <v>180</v>
      </c>
      <c r="G23" s="2">
        <v>0</v>
      </c>
      <c r="I23" s="1" t="s">
        <v>20</v>
      </c>
      <c r="J23" s="1" t="str">
        <f>$J$6</f>
        <v>€</v>
      </c>
      <c r="K23" s="40">
        <v>30</v>
      </c>
      <c r="L23" s="12"/>
      <c r="M23" s="12"/>
      <c r="N23" s="12"/>
      <c r="O23" s="12"/>
      <c r="Q23" s="1" t="str">
        <f>IF(Parameters!C7&gt;0,"Direct cost "&amp;Parameters!C7,"Direct cost "&amp;Parameters!O7)</f>
        <v>Direct cost gebak</v>
      </c>
      <c r="R23" s="4">
        <f>$R$6</f>
        <v>1000</v>
      </c>
      <c r="S23" s="3">
        <f t="shared" ref="S23:S31" si="18">C7*K23/$R23</f>
        <v>3</v>
      </c>
      <c r="T23" s="3">
        <f t="shared" ref="T23:T31" si="19">D7*L23/$R23</f>
        <v>0</v>
      </c>
      <c r="U23" s="3">
        <f t="shared" ref="U23:U31" si="20">E7*M23/$R23</f>
        <v>0</v>
      </c>
      <c r="V23" s="3">
        <f t="shared" ref="V23:V31" si="21">F7*N23/$R23</f>
        <v>0</v>
      </c>
      <c r="W23" s="3">
        <f t="shared" ref="W23:W31" si="22">G7*O23/$R23</f>
        <v>0</v>
      </c>
      <c r="Y23" s="1" t="s">
        <v>181</v>
      </c>
      <c r="Z23" s="4">
        <f>$R$6</f>
        <v>1000</v>
      </c>
      <c r="AA23" s="13">
        <f t="shared" ref="AA23:AA31" si="23">IF($G23=1,S23,0)</f>
        <v>0</v>
      </c>
      <c r="AB23" s="13">
        <f t="shared" ref="AB23:AB31" si="24">IF($G23=1,T23,0)</f>
        <v>0</v>
      </c>
      <c r="AC23" s="13">
        <f t="shared" ref="AC23:AC31" si="25">IF($G23=1,U23,0)</f>
        <v>0</v>
      </c>
      <c r="AD23" s="13">
        <f t="shared" ref="AD23:AD31" si="26">IF($G23=1,V23,0)</f>
        <v>0</v>
      </c>
      <c r="AE23" s="13">
        <f t="shared" ref="AE23:AE31" si="27">IF($G23=1,W23,0)</f>
        <v>0</v>
      </c>
    </row>
    <row r="24" spans="1:31" x14ac:dyDescent="0.25">
      <c r="A24" s="1" t="str">
        <f>IF(Parameters!C8&gt;0,"Purchase cost"&amp;" "&amp;Parameters!C8,"Purchase cost"&amp;" "&amp;Parameters!O8)</f>
        <v>Purchase cost product 3</v>
      </c>
      <c r="C24" s="1" t="s">
        <v>180</v>
      </c>
      <c r="G24" s="2"/>
      <c r="I24" s="1" t="s">
        <v>20</v>
      </c>
      <c r="J24" s="1" t="str">
        <f t="shared" ref="J24:J31" si="28">$J$6</f>
        <v>€</v>
      </c>
      <c r="K24" s="2"/>
      <c r="L24" s="12"/>
      <c r="M24" s="12"/>
      <c r="N24" s="12"/>
      <c r="O24" s="12"/>
      <c r="Q24" s="1" t="str">
        <f>IF(Parameters!C8&gt;0,"Direct cost "&amp;Parameters!C8,"Direct cost "&amp;Parameters!O8)</f>
        <v>Direct cost product 3</v>
      </c>
      <c r="R24" s="4">
        <f t="shared" ref="R24:R31" si="29">$R$6</f>
        <v>1000</v>
      </c>
      <c r="S24" s="3">
        <f t="shared" si="18"/>
        <v>0</v>
      </c>
      <c r="T24" s="3">
        <f t="shared" si="19"/>
        <v>0</v>
      </c>
      <c r="U24" s="3">
        <f t="shared" si="20"/>
        <v>0</v>
      </c>
      <c r="V24" s="3">
        <f t="shared" si="21"/>
        <v>0</v>
      </c>
      <c r="W24" s="3">
        <f t="shared" si="22"/>
        <v>0</v>
      </c>
      <c r="Y24" s="1" t="s">
        <v>181</v>
      </c>
      <c r="Z24" s="4">
        <f t="shared" ref="Z24:Z31" si="30">$R$6</f>
        <v>1000</v>
      </c>
      <c r="AA24" s="13">
        <f t="shared" si="23"/>
        <v>0</v>
      </c>
      <c r="AB24" s="13">
        <f t="shared" si="24"/>
        <v>0</v>
      </c>
      <c r="AC24" s="13">
        <f t="shared" si="25"/>
        <v>0</v>
      </c>
      <c r="AD24" s="13">
        <f t="shared" si="26"/>
        <v>0</v>
      </c>
      <c r="AE24" s="13">
        <f t="shared" si="27"/>
        <v>0</v>
      </c>
    </row>
    <row r="25" spans="1:31" x14ac:dyDescent="0.25">
      <c r="A25" s="1" t="str">
        <f>IF(Parameters!C9&gt;0,"Purchase cost"&amp;" "&amp;Parameters!C9,"Purchase cost"&amp;" "&amp;Parameters!O9)</f>
        <v>Purchase cost product 4</v>
      </c>
      <c r="C25" s="1" t="s">
        <v>180</v>
      </c>
      <c r="G25" s="2"/>
      <c r="I25" s="1" t="s">
        <v>20</v>
      </c>
      <c r="J25" s="1" t="str">
        <f t="shared" si="28"/>
        <v>€</v>
      </c>
      <c r="K25" s="2"/>
      <c r="L25" s="12"/>
      <c r="M25" s="12"/>
      <c r="N25" s="12"/>
      <c r="O25" s="12"/>
      <c r="Q25" s="1" t="str">
        <f>IF(Parameters!C9&gt;0,"Direct cost "&amp;Parameters!C9,"Direct cost "&amp;Parameters!O9)</f>
        <v>Direct cost product 4</v>
      </c>
      <c r="R25" s="4">
        <f t="shared" si="29"/>
        <v>1000</v>
      </c>
      <c r="S25" s="3">
        <f t="shared" si="18"/>
        <v>0</v>
      </c>
      <c r="T25" s="3">
        <f t="shared" si="19"/>
        <v>0</v>
      </c>
      <c r="U25" s="3">
        <f t="shared" si="20"/>
        <v>0</v>
      </c>
      <c r="V25" s="3">
        <f t="shared" si="21"/>
        <v>0</v>
      </c>
      <c r="W25" s="3">
        <f t="shared" si="22"/>
        <v>0</v>
      </c>
      <c r="Y25" s="1" t="s">
        <v>181</v>
      </c>
      <c r="Z25" s="4">
        <f t="shared" si="30"/>
        <v>1000</v>
      </c>
      <c r="AA25" s="13">
        <f t="shared" si="23"/>
        <v>0</v>
      </c>
      <c r="AB25" s="13">
        <f t="shared" si="24"/>
        <v>0</v>
      </c>
      <c r="AC25" s="13">
        <f t="shared" si="25"/>
        <v>0</v>
      </c>
      <c r="AD25" s="13">
        <f t="shared" si="26"/>
        <v>0</v>
      </c>
      <c r="AE25" s="13">
        <f t="shared" si="27"/>
        <v>0</v>
      </c>
    </row>
    <row r="26" spans="1:31" x14ac:dyDescent="0.25">
      <c r="A26" s="1" t="str">
        <f>IF(Parameters!C10&gt;0,"Purchase cost"&amp;" "&amp;Parameters!C10,"Purchase cost"&amp;" "&amp;Parameters!O10)</f>
        <v>Purchase cost product 5</v>
      </c>
      <c r="C26" s="1" t="s">
        <v>180</v>
      </c>
      <c r="G26" s="2"/>
      <c r="I26" s="1" t="s">
        <v>20</v>
      </c>
      <c r="J26" s="1" t="str">
        <f t="shared" si="28"/>
        <v>€</v>
      </c>
      <c r="K26" s="2"/>
      <c r="L26" s="12"/>
      <c r="M26" s="12"/>
      <c r="N26" s="12"/>
      <c r="O26" s="12"/>
      <c r="Q26" s="1" t="str">
        <f>IF(Parameters!C10&gt;0,"Direct cost "&amp;Parameters!C10,"Direct cost "&amp;Parameters!O10)</f>
        <v>Direct cost product 5</v>
      </c>
      <c r="R26" s="4">
        <f t="shared" si="29"/>
        <v>1000</v>
      </c>
      <c r="S26" s="3">
        <f t="shared" si="18"/>
        <v>0</v>
      </c>
      <c r="T26" s="3">
        <f t="shared" si="19"/>
        <v>0</v>
      </c>
      <c r="U26" s="3">
        <f t="shared" si="20"/>
        <v>0</v>
      </c>
      <c r="V26" s="3">
        <f t="shared" si="21"/>
        <v>0</v>
      </c>
      <c r="W26" s="3">
        <f t="shared" si="22"/>
        <v>0</v>
      </c>
      <c r="Y26" s="1" t="s">
        <v>181</v>
      </c>
      <c r="Z26" s="4">
        <f t="shared" si="30"/>
        <v>1000</v>
      </c>
      <c r="AA26" s="13">
        <f t="shared" si="23"/>
        <v>0</v>
      </c>
      <c r="AB26" s="13">
        <f t="shared" si="24"/>
        <v>0</v>
      </c>
      <c r="AC26" s="13">
        <f t="shared" si="25"/>
        <v>0</v>
      </c>
      <c r="AD26" s="13">
        <f t="shared" si="26"/>
        <v>0</v>
      </c>
      <c r="AE26" s="13">
        <f t="shared" si="27"/>
        <v>0</v>
      </c>
    </row>
    <row r="27" spans="1:31" x14ac:dyDescent="0.25">
      <c r="A27" s="1" t="str">
        <f>IF(Parameters!C11&gt;0,"Purchase cost"&amp;" "&amp;Parameters!C11,"Purchase cost"&amp;" "&amp;Parameters!O11)</f>
        <v>Purchase cost product 6</v>
      </c>
      <c r="C27" s="1" t="s">
        <v>180</v>
      </c>
      <c r="G27" s="2"/>
      <c r="I27" s="1" t="s">
        <v>20</v>
      </c>
      <c r="J27" s="1" t="str">
        <f t="shared" si="28"/>
        <v>€</v>
      </c>
      <c r="K27" s="2"/>
      <c r="L27" s="12"/>
      <c r="M27" s="12"/>
      <c r="N27" s="12"/>
      <c r="O27" s="12"/>
      <c r="Q27" s="1" t="str">
        <f>IF(Parameters!C11&gt;0,"Direct cost "&amp;Parameters!C11,"Direct cost "&amp;Parameters!O11)</f>
        <v>Direct cost product 6</v>
      </c>
      <c r="R27" s="4">
        <f t="shared" si="29"/>
        <v>1000</v>
      </c>
      <c r="S27" s="3">
        <f t="shared" si="18"/>
        <v>0</v>
      </c>
      <c r="T27" s="3">
        <f t="shared" si="19"/>
        <v>0</v>
      </c>
      <c r="U27" s="3">
        <f t="shared" si="20"/>
        <v>0</v>
      </c>
      <c r="V27" s="3">
        <f t="shared" si="21"/>
        <v>0</v>
      </c>
      <c r="W27" s="3">
        <f t="shared" si="22"/>
        <v>0</v>
      </c>
      <c r="Y27" s="1" t="s">
        <v>181</v>
      </c>
      <c r="Z27" s="4">
        <f t="shared" si="30"/>
        <v>1000</v>
      </c>
      <c r="AA27" s="13">
        <f t="shared" si="23"/>
        <v>0</v>
      </c>
      <c r="AB27" s="13">
        <f t="shared" si="24"/>
        <v>0</v>
      </c>
      <c r="AC27" s="13">
        <f t="shared" si="25"/>
        <v>0</v>
      </c>
      <c r="AD27" s="13">
        <f t="shared" si="26"/>
        <v>0</v>
      </c>
      <c r="AE27" s="13">
        <f t="shared" si="27"/>
        <v>0</v>
      </c>
    </row>
    <row r="28" spans="1:31" x14ac:dyDescent="0.25">
      <c r="A28" s="1" t="str">
        <f>IF(Parameters!C12&gt;0,"Purchase cost"&amp;" "&amp;Parameters!C12,"Purchase cost"&amp;" "&amp;Parameters!O12)</f>
        <v>Purchase cost product 7</v>
      </c>
      <c r="C28" s="1" t="s">
        <v>180</v>
      </c>
      <c r="G28" s="2"/>
      <c r="I28" s="1" t="s">
        <v>20</v>
      </c>
      <c r="J28" s="1" t="str">
        <f t="shared" si="28"/>
        <v>€</v>
      </c>
      <c r="K28" s="2"/>
      <c r="L28" s="12"/>
      <c r="M28" s="12"/>
      <c r="N28" s="12"/>
      <c r="O28" s="12"/>
      <c r="Q28" s="1" t="str">
        <f>IF(Parameters!C12&gt;0,"Direct cost "&amp;Parameters!C12,"Direct cost "&amp;Parameters!O12)</f>
        <v>Direct cost product 7</v>
      </c>
      <c r="R28" s="4">
        <f t="shared" si="29"/>
        <v>1000</v>
      </c>
      <c r="S28" s="3">
        <f t="shared" si="18"/>
        <v>0</v>
      </c>
      <c r="T28" s="3">
        <f t="shared" si="19"/>
        <v>0</v>
      </c>
      <c r="U28" s="3">
        <f t="shared" si="20"/>
        <v>0</v>
      </c>
      <c r="V28" s="3">
        <f t="shared" si="21"/>
        <v>0</v>
      </c>
      <c r="W28" s="3">
        <f t="shared" si="22"/>
        <v>0</v>
      </c>
      <c r="Y28" s="1" t="s">
        <v>181</v>
      </c>
      <c r="Z28" s="4">
        <f t="shared" si="30"/>
        <v>1000</v>
      </c>
      <c r="AA28" s="13">
        <f t="shared" si="23"/>
        <v>0</v>
      </c>
      <c r="AB28" s="13">
        <f t="shared" si="24"/>
        <v>0</v>
      </c>
      <c r="AC28" s="13">
        <f t="shared" si="25"/>
        <v>0</v>
      </c>
      <c r="AD28" s="13">
        <f t="shared" si="26"/>
        <v>0</v>
      </c>
      <c r="AE28" s="13">
        <f t="shared" si="27"/>
        <v>0</v>
      </c>
    </row>
    <row r="29" spans="1:31" x14ac:dyDescent="0.25">
      <c r="A29" s="1" t="str">
        <f>IF(Parameters!C13&gt;0,"Purchase cost"&amp;" "&amp;Parameters!C13,"Purchase cost"&amp;" "&amp;Parameters!O13)</f>
        <v>Purchase cost product 8</v>
      </c>
      <c r="C29" s="1" t="s">
        <v>180</v>
      </c>
      <c r="G29" s="2"/>
      <c r="I29" s="1" t="s">
        <v>20</v>
      </c>
      <c r="J29" s="1" t="str">
        <f t="shared" si="28"/>
        <v>€</v>
      </c>
      <c r="K29" s="2"/>
      <c r="L29" s="12"/>
      <c r="M29" s="12"/>
      <c r="N29" s="12"/>
      <c r="O29" s="12"/>
      <c r="Q29" s="1" t="str">
        <f>IF(Parameters!C13&gt;0,"Direct cost "&amp;Parameters!C13,"Direct cost "&amp;Parameters!O13)</f>
        <v>Direct cost product 8</v>
      </c>
      <c r="R29" s="4">
        <f t="shared" si="29"/>
        <v>1000</v>
      </c>
      <c r="S29" s="3">
        <f t="shared" si="18"/>
        <v>0</v>
      </c>
      <c r="T29" s="3">
        <f t="shared" si="19"/>
        <v>0</v>
      </c>
      <c r="U29" s="3">
        <f t="shared" si="20"/>
        <v>0</v>
      </c>
      <c r="V29" s="3">
        <f t="shared" si="21"/>
        <v>0</v>
      </c>
      <c r="W29" s="3">
        <f t="shared" si="22"/>
        <v>0</v>
      </c>
      <c r="Y29" s="1" t="s">
        <v>181</v>
      </c>
      <c r="Z29" s="4">
        <f t="shared" si="30"/>
        <v>1000</v>
      </c>
      <c r="AA29" s="13">
        <f t="shared" si="23"/>
        <v>0</v>
      </c>
      <c r="AB29" s="13">
        <f t="shared" si="24"/>
        <v>0</v>
      </c>
      <c r="AC29" s="13">
        <f t="shared" si="25"/>
        <v>0</v>
      </c>
      <c r="AD29" s="13">
        <f t="shared" si="26"/>
        <v>0</v>
      </c>
      <c r="AE29" s="13">
        <f t="shared" si="27"/>
        <v>0</v>
      </c>
    </row>
    <row r="30" spans="1:31" x14ac:dyDescent="0.25">
      <c r="A30" s="1" t="str">
        <f>IF(Parameters!C14&gt;0,"Purchase cost"&amp;" "&amp;Parameters!C14,"Purchase cost"&amp;" "&amp;Parameters!O14)</f>
        <v>Purchase cost product 9</v>
      </c>
      <c r="C30" s="1" t="s">
        <v>180</v>
      </c>
      <c r="G30" s="2"/>
      <c r="I30" s="1" t="s">
        <v>20</v>
      </c>
      <c r="J30" s="1" t="str">
        <f t="shared" si="28"/>
        <v>€</v>
      </c>
      <c r="K30" s="2"/>
      <c r="L30" s="12"/>
      <c r="M30" s="12"/>
      <c r="N30" s="12"/>
      <c r="O30" s="12"/>
      <c r="Q30" s="1" t="str">
        <f>IF(Parameters!C14&gt;0,"Direct cost "&amp;Parameters!C14,"Direct cost "&amp;Parameters!O14)</f>
        <v>Direct cost product 9</v>
      </c>
      <c r="R30" s="4">
        <f t="shared" si="29"/>
        <v>1000</v>
      </c>
      <c r="S30" s="3">
        <f t="shared" si="18"/>
        <v>0</v>
      </c>
      <c r="T30" s="3">
        <f t="shared" si="19"/>
        <v>0</v>
      </c>
      <c r="U30" s="3">
        <f t="shared" si="20"/>
        <v>0</v>
      </c>
      <c r="V30" s="3">
        <f t="shared" si="21"/>
        <v>0</v>
      </c>
      <c r="W30" s="3">
        <f t="shared" si="22"/>
        <v>0</v>
      </c>
      <c r="Y30" s="1" t="s">
        <v>181</v>
      </c>
      <c r="Z30" s="4">
        <f t="shared" si="30"/>
        <v>1000</v>
      </c>
      <c r="AA30" s="13">
        <f t="shared" si="23"/>
        <v>0</v>
      </c>
      <c r="AB30" s="13">
        <f t="shared" si="24"/>
        <v>0</v>
      </c>
      <c r="AC30" s="13">
        <f t="shared" si="25"/>
        <v>0</v>
      </c>
      <c r="AD30" s="13">
        <f t="shared" si="26"/>
        <v>0</v>
      </c>
      <c r="AE30" s="13">
        <f t="shared" si="27"/>
        <v>0</v>
      </c>
    </row>
    <row r="31" spans="1:31" x14ac:dyDescent="0.25">
      <c r="A31" s="1" t="str">
        <f>IF(Parameters!C15&gt;0,"Purchase cost"&amp;" "&amp;Parameters!C15,"Purchase cost"&amp;" "&amp;Parameters!O15)</f>
        <v>Purchase cost product 10</v>
      </c>
      <c r="C31" s="1" t="s">
        <v>180</v>
      </c>
      <c r="G31" s="2"/>
      <c r="I31" s="1" t="s">
        <v>20</v>
      </c>
      <c r="J31" s="1" t="str">
        <f t="shared" si="28"/>
        <v>€</v>
      </c>
      <c r="K31" s="2"/>
      <c r="L31" s="12"/>
      <c r="M31" s="12"/>
      <c r="N31" s="12"/>
      <c r="O31" s="12"/>
      <c r="Q31" s="1" t="str">
        <f>IF(Parameters!C15&gt;0,"Direct cost "&amp;Parameters!C15,"Direct cost "&amp;Parameters!O15)</f>
        <v>Direct cost product 10</v>
      </c>
      <c r="R31" s="4">
        <f t="shared" si="29"/>
        <v>1000</v>
      </c>
      <c r="S31" s="3">
        <f t="shared" si="18"/>
        <v>0</v>
      </c>
      <c r="T31" s="3">
        <f t="shared" si="19"/>
        <v>0</v>
      </c>
      <c r="U31" s="3">
        <f t="shared" si="20"/>
        <v>0</v>
      </c>
      <c r="V31" s="3">
        <f t="shared" si="21"/>
        <v>0</v>
      </c>
      <c r="W31" s="3">
        <f t="shared" si="22"/>
        <v>0</v>
      </c>
      <c r="Y31" s="1" t="s">
        <v>181</v>
      </c>
      <c r="Z31" s="4">
        <f t="shared" si="30"/>
        <v>1000</v>
      </c>
      <c r="AA31" s="13">
        <f t="shared" si="23"/>
        <v>0</v>
      </c>
      <c r="AB31" s="13">
        <f t="shared" si="24"/>
        <v>0</v>
      </c>
      <c r="AC31" s="13">
        <f t="shared" si="25"/>
        <v>0</v>
      </c>
      <c r="AD31" s="13">
        <f t="shared" si="26"/>
        <v>0</v>
      </c>
      <c r="AE31" s="13">
        <f t="shared" si="27"/>
        <v>0</v>
      </c>
    </row>
    <row r="34" spans="1:23" hidden="1" x14ac:dyDescent="0.25"/>
    <row r="35" spans="1:23" hidden="1" x14ac:dyDescent="0.25"/>
    <row r="36" spans="1:23" ht="20.25" hidden="1" thickBot="1" x14ac:dyDescent="0.35">
      <c r="A36" s="10" t="s">
        <v>7</v>
      </c>
      <c r="K36" s="11">
        <f>K20</f>
        <v>2016</v>
      </c>
      <c r="L36" s="11">
        <f t="shared" ref="L36:O36" si="31">L20</f>
        <v>2017</v>
      </c>
      <c r="M36" s="11">
        <f t="shared" si="31"/>
        <v>2018</v>
      </c>
      <c r="N36" s="11">
        <f t="shared" si="31"/>
        <v>2019</v>
      </c>
      <c r="O36" s="11">
        <f t="shared" si="31"/>
        <v>2020</v>
      </c>
      <c r="S36" s="11">
        <f>S20</f>
        <v>2016</v>
      </c>
      <c r="T36" s="11">
        <f t="shared" ref="T36:W36" si="32">T20</f>
        <v>2017</v>
      </c>
      <c r="U36" s="11">
        <f t="shared" si="32"/>
        <v>2018</v>
      </c>
      <c r="V36" s="11">
        <f t="shared" si="32"/>
        <v>2019</v>
      </c>
      <c r="W36" s="11">
        <f t="shared" si="32"/>
        <v>2020</v>
      </c>
    </row>
    <row r="37" spans="1:23" ht="16.5" hidden="1" thickTop="1" x14ac:dyDescent="0.25"/>
    <row r="38" spans="1:23" hidden="1" x14ac:dyDescent="0.25">
      <c r="I38" s="1" t="str">
        <f>IF(Parameters!C6&gt;0,"Gross margin "&amp;Parameters!C6,"Gross margin "&amp;+Parameters!O6)</f>
        <v>Gross margin koekjes</v>
      </c>
      <c r="J38" s="1" t="s">
        <v>21</v>
      </c>
      <c r="K38" s="9">
        <f>IF(S6&gt;0,S38/S6," ")</f>
        <v>0.5</v>
      </c>
      <c r="L38" s="9">
        <f t="shared" ref="L38:O38" si="33">IF(T6&gt;0,T38/T6," ")</f>
        <v>0.5</v>
      </c>
      <c r="M38" s="9">
        <f t="shared" si="33"/>
        <v>0.5</v>
      </c>
      <c r="N38" s="9">
        <f t="shared" si="33"/>
        <v>0.5</v>
      </c>
      <c r="O38" s="9">
        <f t="shared" si="33"/>
        <v>0.5</v>
      </c>
      <c r="Q38" s="1" t="str">
        <f>I38</f>
        <v>Gross margin koekjes</v>
      </c>
      <c r="R38" s="4">
        <f>$R$6</f>
        <v>1000</v>
      </c>
      <c r="S38" s="3">
        <f>S6-S22</f>
        <v>10</v>
      </c>
      <c r="T38" s="3">
        <f t="shared" ref="T38:W38" si="34">T6-T22</f>
        <v>20</v>
      </c>
      <c r="U38" s="3">
        <f t="shared" si="34"/>
        <v>40</v>
      </c>
      <c r="V38" s="3">
        <f t="shared" si="34"/>
        <v>80</v>
      </c>
      <c r="W38" s="3">
        <f t="shared" si="34"/>
        <v>160</v>
      </c>
    </row>
    <row r="39" spans="1:23" hidden="1" x14ac:dyDescent="0.25">
      <c r="I39" s="1" t="str">
        <f>IF(Parameters!C7&gt;0,"Gross margin "&amp;Parameters!C7,"Gross margin "&amp;+Parameters!O7)</f>
        <v>Gross margin gebak</v>
      </c>
      <c r="J39" s="1" t="s">
        <v>21</v>
      </c>
      <c r="K39" s="9">
        <f t="shared" ref="K39:K47" si="35">IF(S7&gt;0,S39/S7," ")</f>
        <v>0.8</v>
      </c>
      <c r="L39" s="9">
        <f t="shared" ref="L39:L47" si="36">IF(T7&gt;0,T39/T7," ")</f>
        <v>1</v>
      </c>
      <c r="M39" s="9">
        <f t="shared" ref="M39:M47" si="37">IF(U7&gt;0,U39/U7," ")</f>
        <v>1</v>
      </c>
      <c r="N39" s="9">
        <f t="shared" ref="N39:N47" si="38">IF(V7&gt;0,V39/V7," ")</f>
        <v>1</v>
      </c>
      <c r="O39" s="9">
        <f t="shared" ref="O39:O47" si="39">IF(W7&gt;0,W39/W7," ")</f>
        <v>1</v>
      </c>
      <c r="Q39" s="1" t="str">
        <f t="shared" ref="Q39:Q47" si="40">I39</f>
        <v>Gross margin gebak</v>
      </c>
      <c r="R39" s="4">
        <f>$R$6</f>
        <v>1000</v>
      </c>
      <c r="S39" s="3">
        <f t="shared" ref="S39:W39" si="41">S7-S23</f>
        <v>12</v>
      </c>
      <c r="T39" s="3">
        <f t="shared" si="41"/>
        <v>15.75</v>
      </c>
      <c r="U39" s="3">
        <f t="shared" si="41"/>
        <v>16.537500000000001</v>
      </c>
      <c r="V39" s="3">
        <f t="shared" si="41"/>
        <v>69.457499999999996</v>
      </c>
      <c r="W39" s="3">
        <f t="shared" si="41"/>
        <v>291.72149999999999</v>
      </c>
    </row>
    <row r="40" spans="1:23" hidden="1" x14ac:dyDescent="0.25">
      <c r="I40" s="1" t="str">
        <f>IF(Parameters!C8&gt;0,"Gross margin "&amp;Parameters!C8,"Gross margin "&amp;+Parameters!O8)</f>
        <v>Gross margin product 3</v>
      </c>
      <c r="J40" s="1" t="s">
        <v>21</v>
      </c>
      <c r="K40" s="9" t="str">
        <f t="shared" si="35"/>
        <v xml:space="preserve"> </v>
      </c>
      <c r="L40" s="9" t="str">
        <f t="shared" si="36"/>
        <v xml:space="preserve"> </v>
      </c>
      <c r="M40" s="9" t="str">
        <f t="shared" si="37"/>
        <v xml:space="preserve"> </v>
      </c>
      <c r="N40" s="9" t="str">
        <f t="shared" si="38"/>
        <v xml:space="preserve"> </v>
      </c>
      <c r="O40" s="9" t="str">
        <f t="shared" si="39"/>
        <v xml:space="preserve"> </v>
      </c>
      <c r="Q40" s="1" t="str">
        <f t="shared" si="40"/>
        <v>Gross margin product 3</v>
      </c>
      <c r="R40" s="4">
        <f t="shared" ref="R40:R47" si="42">$R$6</f>
        <v>1000</v>
      </c>
      <c r="S40" s="3">
        <f t="shared" ref="S40:W40" si="43">S8-S24</f>
        <v>0</v>
      </c>
      <c r="T40" s="3">
        <f t="shared" si="43"/>
        <v>0</v>
      </c>
      <c r="U40" s="3">
        <f t="shared" si="43"/>
        <v>0</v>
      </c>
      <c r="V40" s="3">
        <f t="shared" si="43"/>
        <v>0</v>
      </c>
      <c r="W40" s="3">
        <f t="shared" si="43"/>
        <v>0</v>
      </c>
    </row>
    <row r="41" spans="1:23" hidden="1" x14ac:dyDescent="0.25">
      <c r="I41" s="1" t="str">
        <f>IF(Parameters!C9&gt;0,"Gross margin "&amp;Parameters!C9,"Gross margin "&amp;+Parameters!O9)</f>
        <v>Gross margin product 4</v>
      </c>
      <c r="J41" s="1" t="s">
        <v>21</v>
      </c>
      <c r="K41" s="9" t="str">
        <f t="shared" si="35"/>
        <v xml:space="preserve"> </v>
      </c>
      <c r="L41" s="9" t="str">
        <f t="shared" si="36"/>
        <v xml:space="preserve"> </v>
      </c>
      <c r="M41" s="9" t="str">
        <f t="shared" si="37"/>
        <v xml:space="preserve"> </v>
      </c>
      <c r="N41" s="9" t="str">
        <f t="shared" si="38"/>
        <v xml:space="preserve"> </v>
      </c>
      <c r="O41" s="9" t="str">
        <f t="shared" si="39"/>
        <v xml:space="preserve"> </v>
      </c>
      <c r="Q41" s="1" t="str">
        <f t="shared" si="40"/>
        <v>Gross margin product 4</v>
      </c>
      <c r="R41" s="4">
        <f t="shared" si="42"/>
        <v>1000</v>
      </c>
      <c r="S41" s="3">
        <f t="shared" ref="S41:W41" si="44">S9-S25</f>
        <v>0</v>
      </c>
      <c r="T41" s="3">
        <f t="shared" si="44"/>
        <v>0</v>
      </c>
      <c r="U41" s="3">
        <f t="shared" si="44"/>
        <v>0</v>
      </c>
      <c r="V41" s="3">
        <f t="shared" si="44"/>
        <v>0</v>
      </c>
      <c r="W41" s="3">
        <f t="shared" si="44"/>
        <v>0</v>
      </c>
    </row>
    <row r="42" spans="1:23" hidden="1" x14ac:dyDescent="0.25">
      <c r="I42" s="1" t="str">
        <f>IF(Parameters!C10&gt;0,"Gross margin "&amp;Parameters!C10,"Gross margin "&amp;+Parameters!O10)</f>
        <v>Gross margin product 5</v>
      </c>
      <c r="J42" s="1" t="s">
        <v>21</v>
      </c>
      <c r="K42" s="9" t="str">
        <f t="shared" si="35"/>
        <v xml:space="preserve"> </v>
      </c>
      <c r="L42" s="9" t="str">
        <f t="shared" si="36"/>
        <v xml:space="preserve"> </v>
      </c>
      <c r="M42" s="9" t="str">
        <f t="shared" si="37"/>
        <v xml:space="preserve"> </v>
      </c>
      <c r="N42" s="9" t="str">
        <f t="shared" si="38"/>
        <v xml:space="preserve"> </v>
      </c>
      <c r="O42" s="9" t="str">
        <f t="shared" si="39"/>
        <v xml:space="preserve"> </v>
      </c>
      <c r="Q42" s="1" t="str">
        <f t="shared" si="40"/>
        <v>Gross margin product 5</v>
      </c>
      <c r="R42" s="4">
        <f t="shared" si="42"/>
        <v>1000</v>
      </c>
      <c r="S42" s="3">
        <f t="shared" ref="S42:W42" si="45">S10-S26</f>
        <v>0</v>
      </c>
      <c r="T42" s="3">
        <f t="shared" si="45"/>
        <v>0</v>
      </c>
      <c r="U42" s="3">
        <f t="shared" si="45"/>
        <v>0</v>
      </c>
      <c r="V42" s="3">
        <f t="shared" si="45"/>
        <v>0</v>
      </c>
      <c r="W42" s="3">
        <f t="shared" si="45"/>
        <v>0</v>
      </c>
    </row>
    <row r="43" spans="1:23" hidden="1" x14ac:dyDescent="0.25">
      <c r="I43" s="1" t="str">
        <f>IF(Parameters!C11&gt;0,"Gross margin "&amp;Parameters!C11,"Gross margin "&amp;+Parameters!O11)</f>
        <v>Gross margin product 6</v>
      </c>
      <c r="J43" s="1" t="s">
        <v>21</v>
      </c>
      <c r="K43" s="9" t="str">
        <f t="shared" si="35"/>
        <v xml:space="preserve"> </v>
      </c>
      <c r="L43" s="9" t="str">
        <f t="shared" si="36"/>
        <v xml:space="preserve"> </v>
      </c>
      <c r="M43" s="9" t="str">
        <f t="shared" si="37"/>
        <v xml:space="preserve"> </v>
      </c>
      <c r="N43" s="9" t="str">
        <f t="shared" si="38"/>
        <v xml:space="preserve"> </v>
      </c>
      <c r="O43" s="9" t="str">
        <f t="shared" si="39"/>
        <v xml:space="preserve"> </v>
      </c>
      <c r="Q43" s="1" t="str">
        <f t="shared" si="40"/>
        <v>Gross margin product 6</v>
      </c>
      <c r="R43" s="4">
        <f t="shared" si="42"/>
        <v>1000</v>
      </c>
      <c r="S43" s="3">
        <f t="shared" ref="S43:W43" si="46">S11-S27</f>
        <v>0</v>
      </c>
      <c r="T43" s="3">
        <f t="shared" si="46"/>
        <v>0</v>
      </c>
      <c r="U43" s="3">
        <f t="shared" si="46"/>
        <v>0</v>
      </c>
      <c r="V43" s="3">
        <f t="shared" si="46"/>
        <v>0</v>
      </c>
      <c r="W43" s="3">
        <f t="shared" si="46"/>
        <v>0</v>
      </c>
    </row>
    <row r="44" spans="1:23" hidden="1" x14ac:dyDescent="0.25">
      <c r="I44" s="1" t="str">
        <f>IF(Parameters!C12&gt;0,"Gross margin "&amp;Parameters!C12,"Gross margin "&amp;+Parameters!O12)</f>
        <v>Gross margin product 7</v>
      </c>
      <c r="J44" s="1" t="s">
        <v>21</v>
      </c>
      <c r="K44" s="9" t="str">
        <f t="shared" si="35"/>
        <v xml:space="preserve"> </v>
      </c>
      <c r="L44" s="9" t="str">
        <f t="shared" si="36"/>
        <v xml:space="preserve"> </v>
      </c>
      <c r="M44" s="9" t="str">
        <f t="shared" si="37"/>
        <v xml:space="preserve"> </v>
      </c>
      <c r="N44" s="9" t="str">
        <f t="shared" si="38"/>
        <v xml:space="preserve"> </v>
      </c>
      <c r="O44" s="9" t="str">
        <f t="shared" si="39"/>
        <v xml:space="preserve"> </v>
      </c>
      <c r="Q44" s="1" t="str">
        <f t="shared" si="40"/>
        <v>Gross margin product 7</v>
      </c>
      <c r="R44" s="4">
        <f t="shared" si="42"/>
        <v>1000</v>
      </c>
      <c r="S44" s="3">
        <f t="shared" ref="S44:W44" si="47">S12-S28</f>
        <v>0</v>
      </c>
      <c r="T44" s="3">
        <f t="shared" si="47"/>
        <v>0</v>
      </c>
      <c r="U44" s="3">
        <f t="shared" si="47"/>
        <v>0</v>
      </c>
      <c r="V44" s="3">
        <f t="shared" si="47"/>
        <v>0</v>
      </c>
      <c r="W44" s="3">
        <f t="shared" si="47"/>
        <v>0</v>
      </c>
    </row>
    <row r="45" spans="1:23" hidden="1" x14ac:dyDescent="0.25">
      <c r="I45" s="1" t="str">
        <f>IF(Parameters!C13&gt;0,"Gross margin "&amp;Parameters!C13,"Gross margin "&amp;+Parameters!O13)</f>
        <v>Gross margin product 8</v>
      </c>
      <c r="J45" s="1" t="s">
        <v>21</v>
      </c>
      <c r="K45" s="9" t="str">
        <f t="shared" si="35"/>
        <v xml:space="preserve"> </v>
      </c>
      <c r="L45" s="9" t="str">
        <f t="shared" si="36"/>
        <v xml:space="preserve"> </v>
      </c>
      <c r="M45" s="9" t="str">
        <f t="shared" si="37"/>
        <v xml:space="preserve"> </v>
      </c>
      <c r="N45" s="9" t="str">
        <f t="shared" si="38"/>
        <v xml:space="preserve"> </v>
      </c>
      <c r="O45" s="9" t="str">
        <f t="shared" si="39"/>
        <v xml:space="preserve"> </v>
      </c>
      <c r="Q45" s="1" t="str">
        <f t="shared" si="40"/>
        <v>Gross margin product 8</v>
      </c>
      <c r="R45" s="4">
        <f t="shared" si="42"/>
        <v>1000</v>
      </c>
      <c r="S45" s="3">
        <f t="shared" ref="S45:W45" si="48">S13-S29</f>
        <v>0</v>
      </c>
      <c r="T45" s="3">
        <f t="shared" si="48"/>
        <v>0</v>
      </c>
      <c r="U45" s="3">
        <f t="shared" si="48"/>
        <v>0</v>
      </c>
      <c r="V45" s="3">
        <f t="shared" si="48"/>
        <v>0</v>
      </c>
      <c r="W45" s="3">
        <f t="shared" si="48"/>
        <v>0</v>
      </c>
    </row>
    <row r="46" spans="1:23" hidden="1" x14ac:dyDescent="0.25">
      <c r="I46" s="1" t="str">
        <f>IF(Parameters!C14&gt;0,"Gross margin "&amp;Parameters!C14,"Gross margin "&amp;+Parameters!O14)</f>
        <v>Gross margin product 9</v>
      </c>
      <c r="J46" s="1" t="s">
        <v>21</v>
      </c>
      <c r="K46" s="9" t="str">
        <f t="shared" si="35"/>
        <v xml:space="preserve"> </v>
      </c>
      <c r="L46" s="9" t="str">
        <f t="shared" si="36"/>
        <v xml:space="preserve"> </v>
      </c>
      <c r="M46" s="9" t="str">
        <f t="shared" si="37"/>
        <v xml:space="preserve"> </v>
      </c>
      <c r="N46" s="9" t="str">
        <f t="shared" si="38"/>
        <v xml:space="preserve"> </v>
      </c>
      <c r="O46" s="9" t="str">
        <f t="shared" si="39"/>
        <v xml:space="preserve"> </v>
      </c>
      <c r="Q46" s="1" t="str">
        <f t="shared" si="40"/>
        <v>Gross margin product 9</v>
      </c>
      <c r="R46" s="4">
        <f t="shared" si="42"/>
        <v>1000</v>
      </c>
      <c r="S46" s="3">
        <f t="shared" ref="S46:W46" si="49">S14-S30</f>
        <v>0</v>
      </c>
      <c r="T46" s="3">
        <f t="shared" si="49"/>
        <v>0</v>
      </c>
      <c r="U46" s="3">
        <f t="shared" si="49"/>
        <v>0</v>
      </c>
      <c r="V46" s="3">
        <f t="shared" si="49"/>
        <v>0</v>
      </c>
      <c r="W46" s="3">
        <f t="shared" si="49"/>
        <v>0</v>
      </c>
    </row>
    <row r="47" spans="1:23" hidden="1" x14ac:dyDescent="0.25">
      <c r="I47" s="1" t="str">
        <f>IF(Parameters!C15&gt;0,"Gross margin "&amp;Parameters!C15,"Gross margin "&amp;+Parameters!O15)</f>
        <v>Gross margin product 10</v>
      </c>
      <c r="J47" s="1" t="s">
        <v>21</v>
      </c>
      <c r="K47" s="9" t="str">
        <f t="shared" si="35"/>
        <v xml:space="preserve"> </v>
      </c>
      <c r="L47" s="9" t="str">
        <f t="shared" si="36"/>
        <v xml:space="preserve"> </v>
      </c>
      <c r="M47" s="9" t="str">
        <f t="shared" si="37"/>
        <v xml:space="preserve"> </v>
      </c>
      <c r="N47" s="9" t="str">
        <f t="shared" si="38"/>
        <v xml:space="preserve"> </v>
      </c>
      <c r="O47" s="9" t="str">
        <f t="shared" si="39"/>
        <v xml:space="preserve"> </v>
      </c>
      <c r="Q47" s="1" t="str">
        <f t="shared" si="40"/>
        <v>Gross margin product 10</v>
      </c>
      <c r="R47" s="4">
        <f t="shared" si="42"/>
        <v>1000</v>
      </c>
      <c r="S47" s="3">
        <f t="shared" ref="S47:W47" si="50">S15-S31</f>
        <v>0</v>
      </c>
      <c r="T47" s="3">
        <f t="shared" si="50"/>
        <v>0</v>
      </c>
      <c r="U47" s="3">
        <f t="shared" si="50"/>
        <v>0</v>
      </c>
      <c r="V47" s="3">
        <f t="shared" si="50"/>
        <v>0</v>
      </c>
      <c r="W47" s="3">
        <f t="shared" si="50"/>
        <v>0</v>
      </c>
    </row>
    <row r="48" spans="1:23" hidden="1" x14ac:dyDescent="0.25"/>
    <row r="49" spans="1:39" hidden="1" x14ac:dyDescent="0.25"/>
    <row r="52" spans="1:39" ht="20.25" thickBot="1" x14ac:dyDescent="0.35">
      <c r="A52" s="10" t="s">
        <v>59</v>
      </c>
      <c r="C52" s="11">
        <f>C4</f>
        <v>2016</v>
      </c>
      <c r="D52" s="11">
        <f t="shared" ref="D52:G52" si="51">D4</f>
        <v>2017</v>
      </c>
      <c r="E52" s="11">
        <f t="shared" si="51"/>
        <v>2018</v>
      </c>
      <c r="F52" s="11">
        <f t="shared" si="51"/>
        <v>2019</v>
      </c>
      <c r="G52" s="11">
        <f t="shared" si="51"/>
        <v>2020</v>
      </c>
      <c r="K52" s="11">
        <f>K36</f>
        <v>2016</v>
      </c>
      <c r="L52" s="11">
        <f t="shared" ref="L52:O52" si="52">L36</f>
        <v>2017</v>
      </c>
      <c r="M52" s="11">
        <f t="shared" si="52"/>
        <v>2018</v>
      </c>
      <c r="N52" s="11">
        <f t="shared" si="52"/>
        <v>2019</v>
      </c>
      <c r="O52" s="11">
        <f t="shared" si="52"/>
        <v>2020</v>
      </c>
      <c r="S52" s="11">
        <f>S36</f>
        <v>2016</v>
      </c>
      <c r="T52" s="11">
        <f t="shared" ref="T52:W52" si="53">T36</f>
        <v>2017</v>
      </c>
      <c r="U52" s="11">
        <f t="shared" si="53"/>
        <v>2018</v>
      </c>
      <c r="V52" s="11">
        <f t="shared" si="53"/>
        <v>2019</v>
      </c>
      <c r="W52" s="11">
        <f t="shared" si="53"/>
        <v>2020</v>
      </c>
      <c r="AA52" s="11">
        <f>S52</f>
        <v>2016</v>
      </c>
      <c r="AB52" s="11">
        <f t="shared" ref="AB52:AE52" si="54">T52</f>
        <v>2017</v>
      </c>
      <c r="AC52" s="11">
        <f t="shared" si="54"/>
        <v>2018</v>
      </c>
      <c r="AD52" s="11">
        <f t="shared" si="54"/>
        <v>2019</v>
      </c>
      <c r="AE52" s="11">
        <f t="shared" si="54"/>
        <v>2020</v>
      </c>
      <c r="AI52" s="11">
        <f>AA52</f>
        <v>2016</v>
      </c>
      <c r="AJ52" s="11">
        <f t="shared" ref="AJ52" si="55">AB52</f>
        <v>2017</v>
      </c>
      <c r="AK52" s="11">
        <f t="shared" ref="AK52" si="56">AC52</f>
        <v>2018</v>
      </c>
      <c r="AL52" s="11">
        <f t="shared" ref="AL52" si="57">AD52</f>
        <v>2019</v>
      </c>
      <c r="AM52" s="11">
        <f t="shared" ref="AM52" si="58">AE52</f>
        <v>2020</v>
      </c>
    </row>
    <row r="53" spans="1:39" ht="17.25" thickTop="1" thickBot="1" x14ac:dyDescent="0.3"/>
    <row r="54" spans="1:39" ht="16.5" thickBot="1" x14ac:dyDescent="0.3">
      <c r="A54" s="1" t="str">
        <f>IF(Parameters!C35&gt;0,Parameters!C35,Parameters!O35)</f>
        <v>general manager</v>
      </c>
      <c r="B54" s="1" t="s">
        <v>222</v>
      </c>
      <c r="C54" s="41">
        <v>1</v>
      </c>
      <c r="D54" s="43">
        <v>2</v>
      </c>
      <c r="E54" s="2">
        <v>1</v>
      </c>
      <c r="F54" s="2">
        <v>1</v>
      </c>
      <c r="G54" s="2">
        <v>1</v>
      </c>
      <c r="I54" s="1" t="s">
        <v>182</v>
      </c>
      <c r="J54" s="1" t="str">
        <f>$J$6</f>
        <v>€</v>
      </c>
      <c r="K54" s="44">
        <v>5000</v>
      </c>
      <c r="L54" s="42">
        <f>K54*(1+Parameters!$E$46)</f>
        <v>5100</v>
      </c>
      <c r="M54" s="35">
        <f>L54*(1+Parameters!$E$46)</f>
        <v>5202</v>
      </c>
      <c r="N54" s="35">
        <f>M54*(1+Parameters!$E$46)</f>
        <v>5306.04</v>
      </c>
      <c r="O54" s="35">
        <f>N54*(1+Parameters!$E$46)</f>
        <v>5412.1607999999997</v>
      </c>
      <c r="Q54" s="1" t="str">
        <f>"Salary cost "&amp;A54</f>
        <v>Salary cost general manager</v>
      </c>
      <c r="R54" s="4">
        <f>$R$6</f>
        <v>1000</v>
      </c>
      <c r="S54" s="13">
        <f>(((C54*K54*12)+IF(Parameters!$M35&gt;0,C54*K54*Parameters!$M35*12,C54*K54*Parameters!$M$46*12))*(1+(IF(Parameters!$I35&gt;0,Parameters!$I35,Parameters!$I$46)))/$R54)</f>
        <v>76.7</v>
      </c>
      <c r="T54" s="13">
        <f>(((D54*L54*12)+IF(Parameters!$M35&gt;0,D54*L54*Parameters!$M35*12,D54*L54*Parameters!$M$46*12))*(1+(IF(Parameters!$I35&gt;0,Parameters!$I35,Parameters!$I$46)))/$R54)</f>
        <v>156.46799999999999</v>
      </c>
      <c r="U54" s="13">
        <f>(((E54*M54*12)+IF(Parameters!$M35&gt;0,E54*M54*Parameters!$M35*12,E54*M54*Parameters!$M$46*12))*(1+(IF(Parameters!$I35&gt;0,Parameters!$I35,Parameters!$I$46)))/$R54)</f>
        <v>79.79867999999999</v>
      </c>
      <c r="V54" s="13">
        <f>(((F54*N54*12)+IF(Parameters!$M35&gt;0,F54*N54*Parameters!$M35*12,F54*N54*Parameters!$M$46*12))*(1+(IF(Parameters!$I35&gt;0,Parameters!$I35,Parameters!$I$46)))/$R54)</f>
        <v>81.394653599999984</v>
      </c>
      <c r="W54" s="13">
        <f>(((G54*O54*12)+IF(Parameters!$M35&gt;0,G54*O54*Parameters!$M35*12,G54*O54*Parameters!$M$46*12))*(1+(IF(Parameters!$I35&gt;0,Parameters!$I35,Parameters!$I$46)))/$R54)</f>
        <v>83.02254667199999</v>
      </c>
      <c r="Y54" s="1" t="s">
        <v>173</v>
      </c>
      <c r="Z54" s="4">
        <f>$R$6</f>
        <v>1000</v>
      </c>
      <c r="AA54" s="13">
        <f>(IF(Parameters!$G35&gt;0,C54*K54*Parameters!$G35*12,C54*K54*Parameters!$G$46*12))/$Z54</f>
        <v>21</v>
      </c>
      <c r="AB54" s="13">
        <f>(IF(Parameters!$G35&gt;0,D54*L54*Parameters!$G35*12,D54*L54*Parameters!$G$46*12))/$Z54</f>
        <v>42.84</v>
      </c>
      <c r="AC54" s="13">
        <f>(IF(Parameters!$G35&gt;0,E54*M54*Parameters!$G35*12,E54*M54*Parameters!$G$46*12))/$Z54</f>
        <v>21.848399999999998</v>
      </c>
      <c r="AD54" s="13">
        <f>(IF(Parameters!$G35&gt;0,F54*N54*Parameters!$G35*12,F54*N54*Parameters!$G$46*12))/$Z54</f>
        <v>22.285367999999998</v>
      </c>
      <c r="AE54" s="13">
        <f>(IF(Parameters!$G35&gt;0,G54*O54*Parameters!$G35*12,G54*O54*Parameters!$G$46*12))/$Z54</f>
        <v>22.731075359999998</v>
      </c>
      <c r="AG54" s="1" t="s">
        <v>174</v>
      </c>
      <c r="AH54" s="4">
        <f>$R$6</f>
        <v>1000</v>
      </c>
      <c r="AI54" s="13">
        <f>(IF(Parameters!$I35&gt;0,C54*K54*Parameters!$I35*12,C54*K54*Parameters!$I$46*12)+IF(Parameters!$K35&gt;0,Parameters!$K35*C54*K54*12,Parameters!$K$46*C54*K54*12))/$R54</f>
        <v>21</v>
      </c>
      <c r="AJ54" s="13">
        <f>(IF(Parameters!$I35&gt;0,D54*L54*Parameters!$I35*12,D54*L54*Parameters!$I$46*12)+IF(Parameters!$K35&gt;0,Parameters!$K35*D54*L54*12,Parameters!$K$46*D54*L54*12))/$R54</f>
        <v>42.84</v>
      </c>
      <c r="AK54" s="13">
        <f>(IF(Parameters!$I35&gt;0,E54*M54*Parameters!$I35*12,E54*M54*Parameters!$I$46*12)+IF(Parameters!$K35&gt;0,Parameters!$K35*E54*M54*12,Parameters!$K$46*E54*M54*12))/$R54</f>
        <v>21.848400000000002</v>
      </c>
      <c r="AL54" s="13">
        <f>(IF(Parameters!$I35&gt;0,F54*N54*Parameters!$I35*12,F54*N54*Parameters!$I$46*12)+IF(Parameters!$K35&gt;0,Parameters!$K35*F54*N54*12,Parameters!$K$46*F54*N54*12))/$R54</f>
        <v>22.285368000000002</v>
      </c>
      <c r="AM54" s="13">
        <f>(IF(Parameters!$I35&gt;0,G54*O54*Parameters!$I35*12,G54*O54*Parameters!$I$46*12)+IF(Parameters!$K35&gt;0,Parameters!$K35*G54*O54*12,Parameters!$K$46*G54*O54*12))/$R54</f>
        <v>22.731075359999995</v>
      </c>
    </row>
    <row r="55" spans="1:39" x14ac:dyDescent="0.25">
      <c r="A55" s="1" t="str">
        <f>IF(Parameters!C36&gt;0,Parameters!C36,Parameters!O36)</f>
        <v>function 2</v>
      </c>
      <c r="B55" s="1" t="s">
        <v>222</v>
      </c>
      <c r="C55" s="40"/>
      <c r="D55" s="2"/>
      <c r="E55" s="2"/>
      <c r="F55" s="2"/>
      <c r="G55" s="2"/>
      <c r="I55" s="1" t="s">
        <v>182</v>
      </c>
      <c r="J55" s="1" t="str">
        <f>$J$6</f>
        <v>€</v>
      </c>
      <c r="K55" s="40"/>
      <c r="L55" s="12"/>
      <c r="M55" s="12"/>
      <c r="N55" s="12"/>
      <c r="O55" s="12"/>
      <c r="Q55" s="1" t="str">
        <f t="shared" ref="Q55:Q63" si="59">"Salary cost "&amp;A55</f>
        <v>Salary cost function 2</v>
      </c>
      <c r="R55" s="4">
        <f>$R$6</f>
        <v>1000</v>
      </c>
      <c r="S55" s="13">
        <f>(((C55*K55*12)+IF(Parameters!$M36&gt;0,C55*K55*Parameters!$M36*12,C55*K55*Parameters!$M$46*12))*(1+(IF(Parameters!$I36&gt;0,Parameters!$I36,Parameters!$I$46)))/$R55)</f>
        <v>0</v>
      </c>
      <c r="T55" s="13">
        <f>(((D55*L55*12)+IF(Parameters!$M36&gt;0,D55*L55*Parameters!$M36*12,D55*L55*Parameters!$M$46*12))*(1+(IF(Parameters!$I36&gt;0,Parameters!$I36,Parameters!$I$46)))/$R55)</f>
        <v>0</v>
      </c>
      <c r="U55" s="13">
        <f>(((E55*M55*12)+IF(Parameters!$M36&gt;0,E55*M55*Parameters!$M36*12,E55*M55*Parameters!$M$46*12))*(1+(IF(Parameters!$I36&gt;0,Parameters!$I36,Parameters!$I$46)))/$R55)</f>
        <v>0</v>
      </c>
      <c r="V55" s="13">
        <f>(((F55*N55*12)+IF(Parameters!$M36&gt;0,F55*N55*Parameters!$M36*12,F55*N55*Parameters!$M$46*12))*(1+(IF(Parameters!$I36&gt;0,Parameters!$I36,Parameters!$I$46)))/$R55)</f>
        <v>0</v>
      </c>
      <c r="W55" s="13">
        <f>(((G55*O55*12)+IF(Parameters!$M36&gt;0,G55*O55*Parameters!$M36*12,G55*O55*Parameters!$M$46*12))*(1+(IF(Parameters!$I36&gt;0,Parameters!$I36,Parameters!$I$46)))/$R55)</f>
        <v>0</v>
      </c>
      <c r="Y55" s="1" t="s">
        <v>173</v>
      </c>
      <c r="Z55" s="4">
        <f>$R$6</f>
        <v>1000</v>
      </c>
      <c r="AA55" s="13">
        <f>(IF(Parameters!$G36&gt;0,C55*K55*Parameters!$G36*12,C55*K55*Parameters!$G$46*12))/$Z55</f>
        <v>0</v>
      </c>
      <c r="AB55" s="13">
        <f>(IF(Parameters!$G36&gt;0,D55*L55*Parameters!$G36*12,D55*L55*Parameters!$G$46*12))/$Z55</f>
        <v>0</v>
      </c>
      <c r="AC55" s="13">
        <f>(IF(Parameters!$G36&gt;0,E55*M55*Parameters!$G36*12,E55*M55*Parameters!$G$46*12))/$Z55</f>
        <v>0</v>
      </c>
      <c r="AD55" s="13">
        <f>(IF(Parameters!$G36&gt;0,F55*N55*Parameters!$G36*12,F55*N55*Parameters!$G$46*12))/$Z55</f>
        <v>0</v>
      </c>
      <c r="AE55" s="13">
        <f>(IF(Parameters!$G36&gt;0,G55*O55*Parameters!$G36*12,G55*O55*Parameters!$G$46*12))/$Z55</f>
        <v>0</v>
      </c>
      <c r="AG55" s="1" t="s">
        <v>174</v>
      </c>
      <c r="AH55" s="4">
        <f>$R$6</f>
        <v>1000</v>
      </c>
      <c r="AI55" s="13">
        <f>(IF(Parameters!$I36&gt;0,C55*K55*Parameters!$I36*12,C55*K55*Parameters!$I$46*12)+IF(Parameters!$K36&gt;0,Parameters!$K36*C55*K55*12,Parameters!$K$46*C55*K55*12))/$R55</f>
        <v>0</v>
      </c>
      <c r="AJ55" s="13">
        <f>(IF(Parameters!$I36&gt;0,D55*L55*Parameters!$I36*12,D55*L55*Parameters!$I$46*12)+IF(Parameters!$K36&gt;0,Parameters!$K36*D55*L55*12,Parameters!$K$46*D55*L55*12))/$R55</f>
        <v>0</v>
      </c>
      <c r="AK55" s="13">
        <f>(IF(Parameters!$I36&gt;0,E55*M55*Parameters!$I36*12,E55*M55*Parameters!$I$46*12)+IF(Parameters!$K36&gt;0,Parameters!$K36*E55*M55*12,Parameters!$K$46*E55*M55*12))/$R55</f>
        <v>0</v>
      </c>
      <c r="AL55" s="13">
        <f>(IF(Parameters!$I36&gt;0,F55*N55*Parameters!$I36*12,F55*N55*Parameters!$I$46*12)+IF(Parameters!$K36&gt;0,Parameters!$K36*F55*N55*12,Parameters!$K$46*F55*N55*12))/$R55</f>
        <v>0</v>
      </c>
      <c r="AM55" s="13">
        <f>(IF(Parameters!$I36&gt;0,G55*O55*Parameters!$I36*12,G55*O55*Parameters!$I$46*12)+IF(Parameters!$K36&gt;0,Parameters!$K36*G55*O55*12,Parameters!$K$46*G55*O55*12))/$R55</f>
        <v>0</v>
      </c>
    </row>
    <row r="56" spans="1:39" x14ac:dyDescent="0.25">
      <c r="A56" s="1" t="str">
        <f>IF(Parameters!C37&gt;0,Parameters!C37,Parameters!O37)</f>
        <v>function 3</v>
      </c>
      <c r="B56" s="1" t="s">
        <v>222</v>
      </c>
      <c r="C56" s="2"/>
      <c r="D56" s="2"/>
      <c r="E56" s="2"/>
      <c r="F56" s="2"/>
      <c r="G56" s="2"/>
      <c r="I56" s="1" t="s">
        <v>182</v>
      </c>
      <c r="J56" s="1" t="str">
        <f t="shared" ref="J56:J63" si="60">$J$6</f>
        <v>€</v>
      </c>
      <c r="K56" s="2"/>
      <c r="L56" s="12"/>
      <c r="M56" s="12"/>
      <c r="N56" s="12"/>
      <c r="O56" s="12"/>
      <c r="Q56" s="1" t="str">
        <f t="shared" si="59"/>
        <v>Salary cost function 3</v>
      </c>
      <c r="R56" s="4">
        <f t="shared" ref="R56:R63" si="61">$R$6</f>
        <v>1000</v>
      </c>
      <c r="S56" s="13">
        <f>(((C56*K56*12)+IF(Parameters!$M37&gt;0,C56*K56*Parameters!$M37*12,C56*K56*Parameters!$M$46*12))*(1+(IF(Parameters!$I37&gt;0,Parameters!$I37,Parameters!$I$46)))/$R56)</f>
        <v>0</v>
      </c>
      <c r="T56" s="13">
        <f>(((D56*L56*12)+IF(Parameters!$M37&gt;0,D56*L56*Parameters!$M37*12,D56*L56*Parameters!$M$46*12))*(1+(IF(Parameters!$I37&gt;0,Parameters!$I37,Parameters!$I$46)))/$R56)</f>
        <v>0</v>
      </c>
      <c r="U56" s="13">
        <f>(((E56*M56*12)+IF(Parameters!$M37&gt;0,E56*M56*Parameters!$M37*12,E56*M56*Parameters!$M$46*12))*(1+(IF(Parameters!$I37&gt;0,Parameters!$I37,Parameters!$I$46)))/$R56)</f>
        <v>0</v>
      </c>
      <c r="V56" s="13">
        <f>(((F56*N56*12)+IF(Parameters!$M37&gt;0,F56*N56*Parameters!$M37*12,F56*N56*Parameters!$M$46*12))*(1+(IF(Parameters!$I37&gt;0,Parameters!$I37,Parameters!$I$46)))/$R56)</f>
        <v>0</v>
      </c>
      <c r="W56" s="13">
        <f>(((G56*O56*12)+IF(Parameters!$M37&gt;0,G56*O56*Parameters!$M37*12,G56*O56*Parameters!$M$46*12))*(1+(IF(Parameters!$I37&gt;0,Parameters!$I37,Parameters!$I$46)))/$R56)</f>
        <v>0</v>
      </c>
      <c r="Y56" s="1" t="s">
        <v>173</v>
      </c>
      <c r="Z56" s="4">
        <f t="shared" ref="Z56:Z63" si="62">$R$6</f>
        <v>1000</v>
      </c>
      <c r="AA56" s="13">
        <f>(IF(Parameters!$G37&gt;0,C56*K56*Parameters!$G37*12,C56*K56*Parameters!$G$46*12))/$Z56</f>
        <v>0</v>
      </c>
      <c r="AB56" s="13">
        <f>(IF(Parameters!$G37&gt;0,D56*L56*Parameters!$G37*12,D56*L56*Parameters!$G$46*12))/$Z56</f>
        <v>0</v>
      </c>
      <c r="AC56" s="13">
        <f>(IF(Parameters!$G37&gt;0,E56*M56*Parameters!$G37*12,E56*M56*Parameters!$G$46*12))/$Z56</f>
        <v>0</v>
      </c>
      <c r="AD56" s="13">
        <f>(IF(Parameters!$G37&gt;0,F56*N56*Parameters!$G37*12,F56*N56*Parameters!$G$46*12))/$Z56</f>
        <v>0</v>
      </c>
      <c r="AE56" s="13">
        <f>(IF(Parameters!$G37&gt;0,G56*O56*Parameters!$G37*12,G56*O56*Parameters!$G$46*12))/$Z56</f>
        <v>0</v>
      </c>
      <c r="AG56" s="1" t="s">
        <v>174</v>
      </c>
      <c r="AH56" s="4">
        <f t="shared" ref="AH56:AH63" si="63">$R$6</f>
        <v>1000</v>
      </c>
      <c r="AI56" s="13">
        <f>(IF(Parameters!$I37&gt;0,C56*K56*Parameters!$I37*12,C56*K56*Parameters!$I$46*12)+IF(Parameters!$K37&gt;0,Parameters!$K37*C56*K56*12,Parameters!$K$46*C56*K56*12))/$R56</f>
        <v>0</v>
      </c>
      <c r="AJ56" s="13">
        <f>(IF(Parameters!$I37&gt;0,D56*L56*Parameters!$I37*12,D56*L56*Parameters!$I$46*12)+IF(Parameters!$K37&gt;0,Parameters!$K37*D56*L56*12,Parameters!$K$46*D56*L56*12))/$R56</f>
        <v>0</v>
      </c>
      <c r="AK56" s="13">
        <f>(IF(Parameters!$I37&gt;0,E56*M56*Parameters!$I37*12,E56*M56*Parameters!$I$46*12)+IF(Parameters!$K37&gt;0,Parameters!$K37*E56*M56*12,Parameters!$K$46*E56*M56*12))/$R56</f>
        <v>0</v>
      </c>
      <c r="AL56" s="13">
        <f>(IF(Parameters!$I37&gt;0,F56*N56*Parameters!$I37*12,F56*N56*Parameters!$I$46*12)+IF(Parameters!$K37&gt;0,Parameters!$K37*F56*N56*12,Parameters!$K$46*F56*N56*12))/$R56</f>
        <v>0</v>
      </c>
      <c r="AM56" s="13">
        <f>(IF(Parameters!$I37&gt;0,G56*O56*Parameters!$I37*12,G56*O56*Parameters!$I$46*12)+IF(Parameters!$K37&gt;0,Parameters!$K37*G56*O56*12,Parameters!$K$46*G56*O56*12))/$R56</f>
        <v>0</v>
      </c>
    </row>
    <row r="57" spans="1:39" x14ac:dyDescent="0.25">
      <c r="A57" s="1" t="str">
        <f>IF(Parameters!C38&gt;0,Parameters!C38,Parameters!O38)</f>
        <v>function 4</v>
      </c>
      <c r="B57" s="1" t="s">
        <v>222</v>
      </c>
      <c r="C57" s="2"/>
      <c r="D57" s="2"/>
      <c r="E57" s="2"/>
      <c r="F57" s="2"/>
      <c r="G57" s="2"/>
      <c r="I57" s="1" t="s">
        <v>182</v>
      </c>
      <c r="J57" s="1" t="str">
        <f t="shared" si="60"/>
        <v>€</v>
      </c>
      <c r="K57" s="2"/>
      <c r="L57" s="12"/>
      <c r="M57" s="12"/>
      <c r="N57" s="12"/>
      <c r="O57" s="12"/>
      <c r="Q57" s="1" t="str">
        <f t="shared" si="59"/>
        <v>Salary cost function 4</v>
      </c>
      <c r="R57" s="4">
        <f t="shared" si="61"/>
        <v>1000</v>
      </c>
      <c r="S57" s="13">
        <f>(((C57*K57*12)+IF(Parameters!$M38&gt;0,C57*K57*Parameters!$M38*12,C57*K57*Parameters!$M$46*12))*(1+(IF(Parameters!$I38&gt;0,Parameters!$I38,Parameters!$I$46)))/$R57)</f>
        <v>0</v>
      </c>
      <c r="T57" s="13">
        <f>(((D57*L57*12)+IF(Parameters!$M38&gt;0,D57*L57*Parameters!$M38*12,D57*L57*Parameters!$M$46*12))*(1+(IF(Parameters!$I38&gt;0,Parameters!$I38,Parameters!$I$46)))/$R57)</f>
        <v>0</v>
      </c>
      <c r="U57" s="13">
        <f>(((E57*M57*12)+IF(Parameters!$M38&gt;0,E57*M57*Parameters!$M38*12,E57*M57*Parameters!$M$46*12))*(1+(IF(Parameters!$I38&gt;0,Parameters!$I38,Parameters!$I$46)))/$R57)</f>
        <v>0</v>
      </c>
      <c r="V57" s="13">
        <f>(((F57*N57*12)+IF(Parameters!$M38&gt;0,F57*N57*Parameters!$M38*12,F57*N57*Parameters!$M$46*12))*(1+(IF(Parameters!$I38&gt;0,Parameters!$I38,Parameters!$I$46)))/$R57)</f>
        <v>0</v>
      </c>
      <c r="W57" s="13">
        <f>(((G57*O57*12)+IF(Parameters!$M38&gt;0,G57*O57*Parameters!$M38*12,G57*O57*Parameters!$M$46*12))*(1+(IF(Parameters!$I38&gt;0,Parameters!$I38,Parameters!$I$46)))/$R57)</f>
        <v>0</v>
      </c>
      <c r="Y57" s="1" t="s">
        <v>173</v>
      </c>
      <c r="Z57" s="4">
        <f t="shared" si="62"/>
        <v>1000</v>
      </c>
      <c r="AA57" s="13">
        <f>(IF(Parameters!$G38&gt;0,C57*K57*Parameters!$G38*12,C57*K57*Parameters!$G$46*12))/$Z57</f>
        <v>0</v>
      </c>
      <c r="AB57" s="13">
        <f>(IF(Parameters!$G38&gt;0,D57*L57*Parameters!$G38*12,D57*L57*Parameters!$G$46*12))/$Z57</f>
        <v>0</v>
      </c>
      <c r="AC57" s="13">
        <f>(IF(Parameters!$G38&gt;0,E57*M57*Parameters!$G38*12,E57*M57*Parameters!$G$46*12))/$Z57</f>
        <v>0</v>
      </c>
      <c r="AD57" s="13">
        <f>(IF(Parameters!$G38&gt;0,F57*N57*Parameters!$G38*12,F57*N57*Parameters!$G$46*12))/$Z57</f>
        <v>0</v>
      </c>
      <c r="AE57" s="13">
        <f>(IF(Parameters!$G38&gt;0,G57*O57*Parameters!$G38*12,G57*O57*Parameters!$G$46*12))/$Z57</f>
        <v>0</v>
      </c>
      <c r="AG57" s="1" t="s">
        <v>174</v>
      </c>
      <c r="AH57" s="4">
        <f t="shared" si="63"/>
        <v>1000</v>
      </c>
      <c r="AI57" s="13">
        <f>(IF(Parameters!$I38&gt;0,C57*K57*Parameters!$I38*12,C57*K57*Parameters!$I$46*12)+IF(Parameters!$K38&gt;0,Parameters!$K38*C57*K57*12,Parameters!$K$46*C57*K57*12))/$R57</f>
        <v>0</v>
      </c>
      <c r="AJ57" s="13">
        <f>(IF(Parameters!$I38&gt;0,D57*L57*Parameters!$I38*12,D57*L57*Parameters!$I$46*12)+IF(Parameters!$K38&gt;0,Parameters!$K38*D57*L57*12,Parameters!$K$46*D57*L57*12))/$R57</f>
        <v>0</v>
      </c>
      <c r="AK57" s="13">
        <f>(IF(Parameters!$I38&gt;0,E57*M57*Parameters!$I38*12,E57*M57*Parameters!$I$46*12)+IF(Parameters!$K38&gt;0,Parameters!$K38*E57*M57*12,Parameters!$K$46*E57*M57*12))/$R57</f>
        <v>0</v>
      </c>
      <c r="AL57" s="13">
        <f>(IF(Parameters!$I38&gt;0,F57*N57*Parameters!$I38*12,F57*N57*Parameters!$I$46*12)+IF(Parameters!$K38&gt;0,Parameters!$K38*F57*N57*12,Parameters!$K$46*F57*N57*12))/$R57</f>
        <v>0</v>
      </c>
      <c r="AM57" s="13">
        <f>(IF(Parameters!$I38&gt;0,G57*O57*Parameters!$I38*12,G57*O57*Parameters!$I$46*12)+IF(Parameters!$K38&gt;0,Parameters!$K38*G57*O57*12,Parameters!$K$46*G57*O57*12))/$R57</f>
        <v>0</v>
      </c>
    </row>
    <row r="58" spans="1:39" x14ac:dyDescent="0.25">
      <c r="A58" s="1" t="str">
        <f>IF(Parameters!C39&gt;0,Parameters!C39,Parameters!O39)</f>
        <v>function 5</v>
      </c>
      <c r="B58" s="1" t="s">
        <v>222</v>
      </c>
      <c r="C58" s="2"/>
      <c r="D58" s="2"/>
      <c r="E58" s="2"/>
      <c r="F58" s="2"/>
      <c r="G58" s="2"/>
      <c r="I58" s="1" t="s">
        <v>182</v>
      </c>
      <c r="J58" s="1" t="str">
        <f t="shared" si="60"/>
        <v>€</v>
      </c>
      <c r="K58" s="2"/>
      <c r="L58" s="12"/>
      <c r="M58" s="12"/>
      <c r="N58" s="12"/>
      <c r="O58" s="12"/>
      <c r="Q58" s="1" t="str">
        <f t="shared" si="59"/>
        <v>Salary cost function 5</v>
      </c>
      <c r="R58" s="4">
        <f t="shared" si="61"/>
        <v>1000</v>
      </c>
      <c r="S58" s="13">
        <f>(((C58*K58*12)+IF(Parameters!$M39&gt;0,C58*K58*Parameters!$M39*12,C58*K58*Parameters!$M$46*12))*(1+(IF(Parameters!$I39&gt;0,Parameters!$I39,Parameters!$I$46)))/$R58)</f>
        <v>0</v>
      </c>
      <c r="T58" s="13">
        <f>(((D58*L58*12)+IF(Parameters!$M39&gt;0,D58*L58*Parameters!$M39*12,D58*L58*Parameters!$M$46*12))*(1+(IF(Parameters!$I39&gt;0,Parameters!$I39,Parameters!$I$46)))/$R58)</f>
        <v>0</v>
      </c>
      <c r="U58" s="13">
        <f>(((E58*M58*12)+IF(Parameters!$M39&gt;0,E58*M58*Parameters!$M39*12,E58*M58*Parameters!$M$46*12))*(1+(IF(Parameters!$I39&gt;0,Parameters!$I39,Parameters!$I$46)))/$R58)</f>
        <v>0</v>
      </c>
      <c r="V58" s="13">
        <f>(((F58*N58*12)+IF(Parameters!$M39&gt;0,F58*N58*Parameters!$M39*12,F58*N58*Parameters!$M$46*12))*(1+(IF(Parameters!$I39&gt;0,Parameters!$I39,Parameters!$I$46)))/$R58)</f>
        <v>0</v>
      </c>
      <c r="W58" s="13">
        <f>(((G58*O58*12)+IF(Parameters!$M39&gt;0,G58*O58*Parameters!$M39*12,G58*O58*Parameters!$M$46*12))*(1+(IF(Parameters!$I39&gt;0,Parameters!$I39,Parameters!$I$46)))/$R58)</f>
        <v>0</v>
      </c>
      <c r="Y58" s="1" t="s">
        <v>173</v>
      </c>
      <c r="Z58" s="4">
        <f t="shared" si="62"/>
        <v>1000</v>
      </c>
      <c r="AA58" s="13">
        <f>(IF(Parameters!$G39&gt;0,C58*K58*Parameters!$G39*12,C58*K58*Parameters!$G$46*12))/$Z58</f>
        <v>0</v>
      </c>
      <c r="AB58" s="13">
        <f>(IF(Parameters!$G39&gt;0,D58*L58*Parameters!$G39*12,D58*L58*Parameters!$G$46*12))/$Z58</f>
        <v>0</v>
      </c>
      <c r="AC58" s="13">
        <f>(IF(Parameters!$G39&gt;0,E58*M58*Parameters!$G39*12,E58*M58*Parameters!$G$46*12))/$Z58</f>
        <v>0</v>
      </c>
      <c r="AD58" s="13">
        <f>(IF(Parameters!$G39&gt;0,F58*N58*Parameters!$G39*12,F58*N58*Parameters!$G$46*12))/$Z58</f>
        <v>0</v>
      </c>
      <c r="AE58" s="13">
        <f>(IF(Parameters!$G39&gt;0,G58*O58*Parameters!$G39*12,G58*O58*Parameters!$G$46*12))/$Z58</f>
        <v>0</v>
      </c>
      <c r="AG58" s="1" t="s">
        <v>174</v>
      </c>
      <c r="AH58" s="4">
        <f t="shared" si="63"/>
        <v>1000</v>
      </c>
      <c r="AI58" s="13">
        <f>(IF(Parameters!$I39&gt;0,C58*K58*Parameters!$I39*12,C58*K58*Parameters!$I$46*12)+IF(Parameters!$K39&gt;0,Parameters!$K39*C58*K58*12,Parameters!$K$46*C58*K58*12))/$R58</f>
        <v>0</v>
      </c>
      <c r="AJ58" s="13">
        <f>(IF(Parameters!$I39&gt;0,D58*L58*Parameters!$I39*12,D58*L58*Parameters!$I$46*12)+IF(Parameters!$K39&gt;0,Parameters!$K39*D58*L58*12,Parameters!$K$46*D58*L58*12))/$R58</f>
        <v>0</v>
      </c>
      <c r="AK58" s="13">
        <f>(IF(Parameters!$I39&gt;0,E58*M58*Parameters!$I39*12,E58*M58*Parameters!$I$46*12)+IF(Parameters!$K39&gt;0,Parameters!$K39*E58*M58*12,Parameters!$K$46*E58*M58*12))/$R58</f>
        <v>0</v>
      </c>
      <c r="AL58" s="13">
        <f>(IF(Parameters!$I39&gt;0,F58*N58*Parameters!$I39*12,F58*N58*Parameters!$I$46*12)+IF(Parameters!$K39&gt;0,Parameters!$K39*F58*N58*12,Parameters!$K$46*F58*N58*12))/$R58</f>
        <v>0</v>
      </c>
      <c r="AM58" s="13">
        <f>(IF(Parameters!$I39&gt;0,G58*O58*Parameters!$I39*12,G58*O58*Parameters!$I$46*12)+IF(Parameters!$K39&gt;0,Parameters!$K39*G58*O58*12,Parameters!$K$46*G58*O58*12))/$R58</f>
        <v>0</v>
      </c>
    </row>
    <row r="59" spans="1:39" x14ac:dyDescent="0.25">
      <c r="A59" s="1" t="str">
        <f>IF(Parameters!C40&gt;0,Parameters!C40,Parameters!O40)</f>
        <v>function 6</v>
      </c>
      <c r="B59" s="1" t="s">
        <v>222</v>
      </c>
      <c r="C59" s="2"/>
      <c r="D59" s="2"/>
      <c r="E59" s="2"/>
      <c r="F59" s="2"/>
      <c r="G59" s="2"/>
      <c r="I59" s="1" t="s">
        <v>182</v>
      </c>
      <c r="J59" s="1" t="str">
        <f t="shared" si="60"/>
        <v>€</v>
      </c>
      <c r="K59" s="2"/>
      <c r="L59" s="12"/>
      <c r="M59" s="12"/>
      <c r="N59" s="12"/>
      <c r="O59" s="12"/>
      <c r="Q59" s="1" t="str">
        <f t="shared" si="59"/>
        <v>Salary cost function 6</v>
      </c>
      <c r="R59" s="4">
        <f t="shared" si="61"/>
        <v>1000</v>
      </c>
      <c r="S59" s="13">
        <f>(((C59*K59*12)+IF(Parameters!$M40&gt;0,C59*K59*Parameters!$M40*12,C59*K59*Parameters!$M$46*12))*(1+(IF(Parameters!$I40&gt;0,Parameters!$I40,Parameters!$I$46)))/$R59)</f>
        <v>0</v>
      </c>
      <c r="T59" s="13">
        <f>(((D59*L59*12)+IF(Parameters!$M40&gt;0,D59*L59*Parameters!$M40*12,D59*L59*Parameters!$M$46*12))*(1+(IF(Parameters!$I40&gt;0,Parameters!$I40,Parameters!$I$46)))/$R59)</f>
        <v>0</v>
      </c>
      <c r="U59" s="13">
        <f>(((E59*M59*12)+IF(Parameters!$M40&gt;0,E59*M59*Parameters!$M40*12,E59*M59*Parameters!$M$46*12))*(1+(IF(Parameters!$I40&gt;0,Parameters!$I40,Parameters!$I$46)))/$R59)</f>
        <v>0</v>
      </c>
      <c r="V59" s="13">
        <f>(((F59*N59*12)+IF(Parameters!$M40&gt;0,F59*N59*Parameters!$M40*12,F59*N59*Parameters!$M$46*12))*(1+(IF(Parameters!$I40&gt;0,Parameters!$I40,Parameters!$I$46)))/$R59)</f>
        <v>0</v>
      </c>
      <c r="W59" s="13">
        <f>(((G59*O59*12)+IF(Parameters!$M40&gt;0,G59*O59*Parameters!$M40*12,G59*O59*Parameters!$M$46*12))*(1+(IF(Parameters!$I40&gt;0,Parameters!$I40,Parameters!$I$46)))/$R59)</f>
        <v>0</v>
      </c>
      <c r="Y59" s="1" t="s">
        <v>173</v>
      </c>
      <c r="Z59" s="4">
        <f t="shared" si="62"/>
        <v>1000</v>
      </c>
      <c r="AA59" s="13">
        <f>(IF(Parameters!$G40&gt;0,C59*K59*Parameters!$G40*12,C59*K59*Parameters!$G$46*12))/$Z59</f>
        <v>0</v>
      </c>
      <c r="AB59" s="13">
        <f>(IF(Parameters!$G40&gt;0,D59*L59*Parameters!$G40*12,D59*L59*Parameters!$G$46*12))/$Z59</f>
        <v>0</v>
      </c>
      <c r="AC59" s="13">
        <f>(IF(Parameters!$G40&gt;0,E59*M59*Parameters!$G40*12,E59*M59*Parameters!$G$46*12))/$Z59</f>
        <v>0</v>
      </c>
      <c r="AD59" s="13">
        <f>(IF(Parameters!$G40&gt;0,F59*N59*Parameters!$G40*12,F59*N59*Parameters!$G$46*12))/$Z59</f>
        <v>0</v>
      </c>
      <c r="AE59" s="13">
        <f>(IF(Parameters!$G40&gt;0,G59*O59*Parameters!$G40*12,G59*O59*Parameters!$G$46*12))/$Z59</f>
        <v>0</v>
      </c>
      <c r="AG59" s="1" t="s">
        <v>174</v>
      </c>
      <c r="AH59" s="4">
        <f t="shared" si="63"/>
        <v>1000</v>
      </c>
      <c r="AI59" s="13">
        <f>(IF(Parameters!$I40&gt;0,C59*K59*Parameters!$I40*12,C59*K59*Parameters!$I$46*12)+IF(Parameters!$K40&gt;0,Parameters!$K40*C59*K59*12,Parameters!$K$46*C59*K59*12))/$R59</f>
        <v>0</v>
      </c>
      <c r="AJ59" s="13">
        <f>(IF(Parameters!$I40&gt;0,D59*L59*Parameters!$I40*12,D59*L59*Parameters!$I$46*12)+IF(Parameters!$K40&gt;0,Parameters!$K40*D59*L59*12,Parameters!$K$46*D59*L59*12))/$R59</f>
        <v>0</v>
      </c>
      <c r="AK59" s="13">
        <f>(IF(Parameters!$I40&gt;0,E59*M59*Parameters!$I40*12,E59*M59*Parameters!$I$46*12)+IF(Parameters!$K40&gt;0,Parameters!$K40*E59*M59*12,Parameters!$K$46*E59*M59*12))/$R59</f>
        <v>0</v>
      </c>
      <c r="AL59" s="13">
        <f>(IF(Parameters!$I40&gt;0,F59*N59*Parameters!$I40*12,F59*N59*Parameters!$I$46*12)+IF(Parameters!$K40&gt;0,Parameters!$K40*F59*N59*12,Parameters!$K$46*F59*N59*12))/$R59</f>
        <v>0</v>
      </c>
      <c r="AM59" s="13">
        <f>(IF(Parameters!$I40&gt;0,G59*O59*Parameters!$I40*12,G59*O59*Parameters!$I$46*12)+IF(Parameters!$K40&gt;0,Parameters!$K40*G59*O59*12,Parameters!$K$46*G59*O59*12))/$R59</f>
        <v>0</v>
      </c>
    </row>
    <row r="60" spans="1:39" x14ac:dyDescent="0.25">
      <c r="A60" s="1" t="str">
        <f>IF(Parameters!C41&gt;0,Parameters!C41,Parameters!O41)</f>
        <v>function 7</v>
      </c>
      <c r="B60" s="1" t="s">
        <v>222</v>
      </c>
      <c r="C60" s="2"/>
      <c r="D60" s="2"/>
      <c r="E60" s="2"/>
      <c r="F60" s="2"/>
      <c r="G60" s="2"/>
      <c r="I60" s="1" t="s">
        <v>182</v>
      </c>
      <c r="J60" s="1" t="str">
        <f t="shared" si="60"/>
        <v>€</v>
      </c>
      <c r="K60" s="2"/>
      <c r="L60" s="12"/>
      <c r="M60" s="12"/>
      <c r="N60" s="12"/>
      <c r="O60" s="12"/>
      <c r="Q60" s="1" t="str">
        <f t="shared" si="59"/>
        <v>Salary cost function 7</v>
      </c>
      <c r="R60" s="4">
        <f t="shared" si="61"/>
        <v>1000</v>
      </c>
      <c r="S60" s="13">
        <f>(((C60*K60*12)+IF(Parameters!$M41&gt;0,C60*K60*Parameters!$M41*12,C60*K60*Parameters!$M$46*12))*(1+(IF(Parameters!$I41&gt;0,Parameters!$I41,Parameters!$I$46)))/$R60)</f>
        <v>0</v>
      </c>
      <c r="T60" s="13">
        <f>(((D60*L60*12)+IF(Parameters!$M41&gt;0,D60*L60*Parameters!$M41*12,D60*L60*Parameters!$M$46*12))*(1+(IF(Parameters!$I41&gt;0,Parameters!$I41,Parameters!$I$46)))/$R60)</f>
        <v>0</v>
      </c>
      <c r="U60" s="13">
        <f>(((E60*M60*12)+IF(Parameters!$M41&gt;0,E60*M60*Parameters!$M41*12,E60*M60*Parameters!$M$46*12))*(1+(IF(Parameters!$I41&gt;0,Parameters!$I41,Parameters!$I$46)))/$R60)</f>
        <v>0</v>
      </c>
      <c r="V60" s="13">
        <f>(((F60*N60*12)+IF(Parameters!$M41&gt;0,F60*N60*Parameters!$M41*12,F60*N60*Parameters!$M$46*12))*(1+(IF(Parameters!$I41&gt;0,Parameters!$I41,Parameters!$I$46)))/$R60)</f>
        <v>0</v>
      </c>
      <c r="W60" s="13">
        <f>(((G60*O60*12)+IF(Parameters!$M41&gt;0,G60*O60*Parameters!$M41*12,G60*O60*Parameters!$M$46*12))*(1+(IF(Parameters!$I41&gt;0,Parameters!$I41,Parameters!$I$46)))/$R60)</f>
        <v>0</v>
      </c>
      <c r="Y60" s="1" t="s">
        <v>173</v>
      </c>
      <c r="Z60" s="4">
        <f t="shared" si="62"/>
        <v>1000</v>
      </c>
      <c r="AA60" s="13">
        <f>(IF(Parameters!$G41&gt;0,C60*K60*Parameters!$G41*12,C60*K60*Parameters!$G$46*12))/$Z60</f>
        <v>0</v>
      </c>
      <c r="AB60" s="13">
        <f>(IF(Parameters!$G41&gt;0,D60*L60*Parameters!$G41*12,D60*L60*Parameters!$G$46*12))/$Z60</f>
        <v>0</v>
      </c>
      <c r="AC60" s="13">
        <f>(IF(Parameters!$G41&gt;0,E60*M60*Parameters!$G41*12,E60*M60*Parameters!$G$46*12))/$Z60</f>
        <v>0</v>
      </c>
      <c r="AD60" s="13">
        <f>(IF(Parameters!$G41&gt;0,F60*N60*Parameters!$G41*12,F60*N60*Parameters!$G$46*12))/$Z60</f>
        <v>0</v>
      </c>
      <c r="AE60" s="13">
        <f>(IF(Parameters!$G41&gt;0,G60*O60*Parameters!$G41*12,G60*O60*Parameters!$G$46*12))/$Z60</f>
        <v>0</v>
      </c>
      <c r="AG60" s="1" t="s">
        <v>174</v>
      </c>
      <c r="AH60" s="4">
        <f t="shared" si="63"/>
        <v>1000</v>
      </c>
      <c r="AI60" s="13">
        <f>(IF(Parameters!$I41&gt;0,C60*K60*Parameters!$I41*12,C60*K60*Parameters!$I$46*12)+IF(Parameters!$K41&gt;0,Parameters!$K41*C60*K60*12,Parameters!$K$46*C60*K60*12))/$R60</f>
        <v>0</v>
      </c>
      <c r="AJ60" s="13">
        <f>(IF(Parameters!$I41&gt;0,D60*L60*Parameters!$I41*12,D60*L60*Parameters!$I$46*12)+IF(Parameters!$K41&gt;0,Parameters!$K41*D60*L60*12,Parameters!$K$46*D60*L60*12))/$R60</f>
        <v>0</v>
      </c>
      <c r="AK60" s="13">
        <f>(IF(Parameters!$I41&gt;0,E60*M60*Parameters!$I41*12,E60*M60*Parameters!$I$46*12)+IF(Parameters!$K41&gt;0,Parameters!$K41*E60*M60*12,Parameters!$K$46*E60*M60*12))/$R60</f>
        <v>0</v>
      </c>
      <c r="AL60" s="13">
        <f>(IF(Parameters!$I41&gt;0,F60*N60*Parameters!$I41*12,F60*N60*Parameters!$I$46*12)+IF(Parameters!$K41&gt;0,Parameters!$K41*F60*N60*12,Parameters!$K$46*F60*N60*12))/$R60</f>
        <v>0</v>
      </c>
      <c r="AM60" s="13">
        <f>(IF(Parameters!$I41&gt;0,G60*O60*Parameters!$I41*12,G60*O60*Parameters!$I$46*12)+IF(Parameters!$K41&gt;0,Parameters!$K41*G60*O60*12,Parameters!$K$46*G60*O60*12))/$R60</f>
        <v>0</v>
      </c>
    </row>
    <row r="61" spans="1:39" x14ac:dyDescent="0.25">
      <c r="A61" s="1" t="str">
        <f>IF(Parameters!C42&gt;0,Parameters!C42,Parameters!O42)</f>
        <v>function 8</v>
      </c>
      <c r="B61" s="1" t="s">
        <v>222</v>
      </c>
      <c r="C61" s="2"/>
      <c r="D61" s="2"/>
      <c r="E61" s="2"/>
      <c r="F61" s="2"/>
      <c r="G61" s="2"/>
      <c r="I61" s="1" t="s">
        <v>182</v>
      </c>
      <c r="J61" s="1" t="str">
        <f t="shared" si="60"/>
        <v>€</v>
      </c>
      <c r="K61" s="2"/>
      <c r="L61" s="12"/>
      <c r="M61" s="12"/>
      <c r="N61" s="12"/>
      <c r="O61" s="12"/>
      <c r="Q61" s="1" t="str">
        <f t="shared" si="59"/>
        <v>Salary cost function 8</v>
      </c>
      <c r="R61" s="4">
        <f t="shared" si="61"/>
        <v>1000</v>
      </c>
      <c r="S61" s="13">
        <f>(((C61*K61*12)+IF(Parameters!$M42&gt;0,C61*K61*Parameters!$M42*12,C61*K61*Parameters!$M$46*12))*(1+(IF(Parameters!$I42&gt;0,Parameters!$I42,Parameters!$I$46)))/$R61)</f>
        <v>0</v>
      </c>
      <c r="T61" s="13">
        <f>(((D61*L61*12)+IF(Parameters!$M42&gt;0,D61*L61*Parameters!$M42*12,D61*L61*Parameters!$M$46*12))*(1+(IF(Parameters!$I42&gt;0,Parameters!$I42,Parameters!$I$46)))/$R61)</f>
        <v>0</v>
      </c>
      <c r="U61" s="13">
        <f>(((E61*M61*12)+IF(Parameters!$M42&gt;0,E61*M61*Parameters!$M42*12,E61*M61*Parameters!$M$46*12))*(1+(IF(Parameters!$I42&gt;0,Parameters!$I42,Parameters!$I$46)))/$R61)</f>
        <v>0</v>
      </c>
      <c r="V61" s="13">
        <f>(((F61*N61*12)+IF(Parameters!$M42&gt;0,F61*N61*Parameters!$M42*12,F61*N61*Parameters!$M$46*12))*(1+(IF(Parameters!$I42&gt;0,Parameters!$I42,Parameters!$I$46)))/$R61)</f>
        <v>0</v>
      </c>
      <c r="W61" s="13">
        <f>(((G61*O61*12)+IF(Parameters!$M42&gt;0,G61*O61*Parameters!$M42*12,G61*O61*Parameters!$M$46*12))*(1+(IF(Parameters!$I42&gt;0,Parameters!$I42,Parameters!$I$46)))/$R61)</f>
        <v>0</v>
      </c>
      <c r="Y61" s="1" t="s">
        <v>173</v>
      </c>
      <c r="Z61" s="4">
        <f t="shared" si="62"/>
        <v>1000</v>
      </c>
      <c r="AA61" s="13">
        <f>(IF(Parameters!$G42&gt;0,C61*K61*Parameters!$G42*12,C61*K61*Parameters!$G$46*12))/$Z61</f>
        <v>0</v>
      </c>
      <c r="AB61" s="13">
        <f>(IF(Parameters!$G42&gt;0,D61*L61*Parameters!$G42*12,D61*L61*Parameters!$G$46*12))/$Z61</f>
        <v>0</v>
      </c>
      <c r="AC61" s="13">
        <f>(IF(Parameters!$G42&gt;0,E61*M61*Parameters!$G42*12,E61*M61*Parameters!$G$46*12))/$Z61</f>
        <v>0</v>
      </c>
      <c r="AD61" s="13">
        <f>(IF(Parameters!$G42&gt;0,F61*N61*Parameters!$G42*12,F61*N61*Parameters!$G$46*12))/$Z61</f>
        <v>0</v>
      </c>
      <c r="AE61" s="13">
        <f>(IF(Parameters!$G42&gt;0,G61*O61*Parameters!$G42*12,G61*O61*Parameters!$G$46*12))/$Z61</f>
        <v>0</v>
      </c>
      <c r="AG61" s="1" t="s">
        <v>174</v>
      </c>
      <c r="AH61" s="4">
        <f t="shared" si="63"/>
        <v>1000</v>
      </c>
      <c r="AI61" s="13">
        <f>(IF(Parameters!$I42&gt;0,C61*K61*Parameters!$I42*12,C61*K61*Parameters!$I$46*12)+IF(Parameters!$K42&gt;0,Parameters!$K42*C61*K61*12,Parameters!$K$46*C61*K61*12))/$R61</f>
        <v>0</v>
      </c>
      <c r="AJ61" s="13">
        <f>(IF(Parameters!$I42&gt;0,D61*L61*Parameters!$I42*12,D61*L61*Parameters!$I$46*12)+IF(Parameters!$K42&gt;0,Parameters!$K42*D61*L61*12,Parameters!$K$46*D61*L61*12))/$R61</f>
        <v>0</v>
      </c>
      <c r="AK61" s="13">
        <f>(IF(Parameters!$I42&gt;0,E61*M61*Parameters!$I42*12,E61*M61*Parameters!$I$46*12)+IF(Parameters!$K42&gt;0,Parameters!$K42*E61*M61*12,Parameters!$K$46*E61*M61*12))/$R61</f>
        <v>0</v>
      </c>
      <c r="AL61" s="13">
        <f>(IF(Parameters!$I42&gt;0,F61*N61*Parameters!$I42*12,F61*N61*Parameters!$I$46*12)+IF(Parameters!$K42&gt;0,Parameters!$K42*F61*N61*12,Parameters!$K$46*F61*N61*12))/$R61</f>
        <v>0</v>
      </c>
      <c r="AM61" s="13">
        <f>(IF(Parameters!$I42&gt;0,G61*O61*Parameters!$I42*12,G61*O61*Parameters!$I$46*12)+IF(Parameters!$K42&gt;0,Parameters!$K42*G61*O61*12,Parameters!$K$46*G61*O61*12))/$R61</f>
        <v>0</v>
      </c>
    </row>
    <row r="62" spans="1:39" x14ac:dyDescent="0.25">
      <c r="A62" s="1" t="str">
        <f>IF(Parameters!C43&gt;0,Parameters!C43,Parameters!O43)</f>
        <v>function 9</v>
      </c>
      <c r="B62" s="1" t="s">
        <v>222</v>
      </c>
      <c r="C62" s="2"/>
      <c r="D62" s="2"/>
      <c r="E62" s="2"/>
      <c r="F62" s="2"/>
      <c r="G62" s="2"/>
      <c r="I62" s="1" t="s">
        <v>182</v>
      </c>
      <c r="J62" s="1" t="str">
        <f t="shared" si="60"/>
        <v>€</v>
      </c>
      <c r="K62" s="2"/>
      <c r="L62" s="12"/>
      <c r="M62" s="12"/>
      <c r="N62" s="12"/>
      <c r="O62" s="12"/>
      <c r="Q62" s="1" t="str">
        <f t="shared" si="59"/>
        <v>Salary cost function 9</v>
      </c>
      <c r="R62" s="4">
        <f t="shared" si="61"/>
        <v>1000</v>
      </c>
      <c r="S62" s="13">
        <f>(((C62*K62*12)+IF(Parameters!$M43&gt;0,C62*K62*Parameters!$M43*12,C62*K62*Parameters!$M$46*12))*(1+(IF(Parameters!$I43&gt;0,Parameters!$I43,Parameters!$I$46)))/$R62)</f>
        <v>0</v>
      </c>
      <c r="T62" s="13">
        <f>(((D62*L62*12)+IF(Parameters!$M43&gt;0,D62*L62*Parameters!$M43*12,D62*L62*Parameters!$M$46*12))*(1+(IF(Parameters!$I43&gt;0,Parameters!$I43,Parameters!$I$46)))/$R62)</f>
        <v>0</v>
      </c>
      <c r="U62" s="13">
        <f>(((E62*M62*12)+IF(Parameters!$M43&gt;0,E62*M62*Parameters!$M43*12,E62*M62*Parameters!$M$46*12))*(1+(IF(Parameters!$I43&gt;0,Parameters!$I43,Parameters!$I$46)))/$R62)</f>
        <v>0</v>
      </c>
      <c r="V62" s="13">
        <f>(((F62*N62*12)+IF(Parameters!$M43&gt;0,F62*N62*Parameters!$M43*12,F62*N62*Parameters!$M$46*12))*(1+(IF(Parameters!$I43&gt;0,Parameters!$I43,Parameters!$I$46)))/$R62)</f>
        <v>0</v>
      </c>
      <c r="W62" s="13">
        <f>(((G62*O62*12)+IF(Parameters!$M43&gt;0,G62*O62*Parameters!$M43*12,G62*O62*Parameters!$M$46*12))*(1+(IF(Parameters!$I43&gt;0,Parameters!$I43,Parameters!$I$46)))/$R62)</f>
        <v>0</v>
      </c>
      <c r="Y62" s="1" t="s">
        <v>173</v>
      </c>
      <c r="Z62" s="4">
        <f t="shared" si="62"/>
        <v>1000</v>
      </c>
      <c r="AA62" s="13">
        <f>(IF(Parameters!$G43&gt;0,C62*K62*Parameters!$G43*12,C62*K62*Parameters!$G$46*12))/$Z62</f>
        <v>0</v>
      </c>
      <c r="AB62" s="13">
        <f>(IF(Parameters!$G43&gt;0,D62*L62*Parameters!$G43*12,D62*L62*Parameters!$G$46*12))/$Z62</f>
        <v>0</v>
      </c>
      <c r="AC62" s="13">
        <f>(IF(Parameters!$G43&gt;0,E62*M62*Parameters!$G43*12,E62*M62*Parameters!$G$46*12))/$Z62</f>
        <v>0</v>
      </c>
      <c r="AD62" s="13">
        <f>(IF(Parameters!$G43&gt;0,F62*N62*Parameters!$G43*12,F62*N62*Parameters!$G$46*12))/$Z62</f>
        <v>0</v>
      </c>
      <c r="AE62" s="13">
        <f>(IF(Parameters!$G43&gt;0,G62*O62*Parameters!$G43*12,G62*O62*Parameters!$G$46*12))/$Z62</f>
        <v>0</v>
      </c>
      <c r="AG62" s="1" t="s">
        <v>174</v>
      </c>
      <c r="AH62" s="4">
        <f t="shared" si="63"/>
        <v>1000</v>
      </c>
      <c r="AI62" s="13">
        <f>(IF(Parameters!$I43&gt;0,C62*K62*Parameters!$I43*12,C62*K62*Parameters!$I$46*12)+IF(Parameters!$K43&gt;0,Parameters!$K43*C62*K62*12,Parameters!$K$46*C62*K62*12))/$R62</f>
        <v>0</v>
      </c>
      <c r="AJ62" s="13">
        <f>(IF(Parameters!$I43&gt;0,D62*L62*Parameters!$I43*12,D62*L62*Parameters!$I$46*12)+IF(Parameters!$K43&gt;0,Parameters!$K43*D62*L62*12,Parameters!$K$46*D62*L62*12))/$R62</f>
        <v>0</v>
      </c>
      <c r="AK62" s="13">
        <f>(IF(Parameters!$I43&gt;0,E62*M62*Parameters!$I43*12,E62*M62*Parameters!$I$46*12)+IF(Parameters!$K43&gt;0,Parameters!$K43*E62*M62*12,Parameters!$K$46*E62*M62*12))/$R62</f>
        <v>0</v>
      </c>
      <c r="AL62" s="13">
        <f>(IF(Parameters!$I43&gt;0,F62*N62*Parameters!$I43*12,F62*N62*Parameters!$I$46*12)+IF(Parameters!$K43&gt;0,Parameters!$K43*F62*N62*12,Parameters!$K$46*F62*N62*12))/$R62</f>
        <v>0</v>
      </c>
      <c r="AM62" s="13">
        <f>(IF(Parameters!$I43&gt;0,G62*O62*Parameters!$I43*12,G62*O62*Parameters!$I$46*12)+IF(Parameters!$K43&gt;0,Parameters!$K43*G62*O62*12,Parameters!$K$46*G62*O62*12))/$R62</f>
        <v>0</v>
      </c>
    </row>
    <row r="63" spans="1:39" x14ac:dyDescent="0.25">
      <c r="A63" s="1" t="str">
        <f>IF(Parameters!C44&gt;0,Parameters!C44,Parameters!O44)</f>
        <v>function 10</v>
      </c>
      <c r="B63" s="1" t="s">
        <v>222</v>
      </c>
      <c r="C63" s="2"/>
      <c r="D63" s="2"/>
      <c r="E63" s="2"/>
      <c r="F63" s="2"/>
      <c r="G63" s="2"/>
      <c r="I63" s="1" t="s">
        <v>182</v>
      </c>
      <c r="J63" s="1" t="str">
        <f t="shared" si="60"/>
        <v>€</v>
      </c>
      <c r="K63" s="2"/>
      <c r="L63" s="12"/>
      <c r="M63" s="12"/>
      <c r="N63" s="12"/>
      <c r="O63" s="12"/>
      <c r="Q63" s="1" t="str">
        <f t="shared" si="59"/>
        <v>Salary cost function 10</v>
      </c>
      <c r="R63" s="4">
        <f t="shared" si="61"/>
        <v>1000</v>
      </c>
      <c r="S63" s="13">
        <f>(((C63*K63*12)+IF(Parameters!$M44&gt;0,C63*K63*Parameters!$M44*12,C63*K63*Parameters!$M$46*12))*(1+(IF(Parameters!$I44&gt;0,Parameters!$I44,Parameters!$I$46)))/$R63)</f>
        <v>0</v>
      </c>
      <c r="T63" s="13">
        <f>(((D63*L63*12)+IF(Parameters!$M44&gt;0,D63*L63*Parameters!$M44*12,D63*L63*Parameters!$M$46*12))*(1+(IF(Parameters!$I44&gt;0,Parameters!$I44,Parameters!$I$46)))/$R63)</f>
        <v>0</v>
      </c>
      <c r="U63" s="13">
        <f>(((E63*M63*12)+IF(Parameters!$M44&gt;0,E63*M63*Parameters!$M44*12,E63*M63*Parameters!$M$46*12))*(1+(IF(Parameters!$I44&gt;0,Parameters!$I44,Parameters!$I$46)))/$R63)</f>
        <v>0</v>
      </c>
      <c r="V63" s="13">
        <f>(((F63*N63*12)+IF(Parameters!$M44&gt;0,F63*N63*Parameters!$M44*12,F63*N63*Parameters!$M$46*12))*(1+(IF(Parameters!$I44&gt;0,Parameters!$I44,Parameters!$I$46)))/$R63)</f>
        <v>0</v>
      </c>
      <c r="W63" s="13">
        <f>(((G63*O63*12)+IF(Parameters!$M44&gt;0,G63*O63*Parameters!$M44*12,G63*O63*Parameters!$M$46*12))*(1+(IF(Parameters!$I44&gt;0,Parameters!$I44,Parameters!$I$46)))/$R63)</f>
        <v>0</v>
      </c>
      <c r="Y63" s="1" t="s">
        <v>173</v>
      </c>
      <c r="Z63" s="4">
        <f t="shared" si="62"/>
        <v>1000</v>
      </c>
      <c r="AA63" s="13">
        <f>(IF(Parameters!$G44&gt;0,C63*K63*Parameters!$G44*12,C63*K63*Parameters!$G$46*12))/$Z63</f>
        <v>0</v>
      </c>
      <c r="AB63" s="13">
        <f>(IF(Parameters!$G44&gt;0,D63*L63*Parameters!$G44*12,D63*L63*Parameters!$G$46*12))/$Z63</f>
        <v>0</v>
      </c>
      <c r="AC63" s="13">
        <f>(IF(Parameters!$G44&gt;0,E63*M63*Parameters!$G44*12,E63*M63*Parameters!$G$46*12))/$Z63</f>
        <v>0</v>
      </c>
      <c r="AD63" s="13">
        <f>(IF(Parameters!$G44&gt;0,F63*N63*Parameters!$G44*12,F63*N63*Parameters!$G$46*12))/$Z63</f>
        <v>0</v>
      </c>
      <c r="AE63" s="13">
        <f>(IF(Parameters!$G44&gt;0,G63*O63*Parameters!$G44*12,G63*O63*Parameters!$G$46*12))/$Z63</f>
        <v>0</v>
      </c>
      <c r="AG63" s="1" t="s">
        <v>174</v>
      </c>
      <c r="AH63" s="4">
        <f t="shared" si="63"/>
        <v>1000</v>
      </c>
      <c r="AI63" s="13">
        <f>(IF(Parameters!$I44&gt;0,C63*K63*Parameters!$I44*12,C63*K63*Parameters!$I$46*12)+IF(Parameters!$K44&gt;0,Parameters!$K44*C63*K63*12,Parameters!$K$46*C63*K63*12))/$R63</f>
        <v>0</v>
      </c>
      <c r="AJ63" s="13">
        <f>(IF(Parameters!$I44&gt;0,D63*L63*Parameters!$I44*12,D63*L63*Parameters!$I$46*12)+IF(Parameters!$K44&gt;0,Parameters!$K44*D63*L63*12,Parameters!$K$46*D63*L63*12))/$R63</f>
        <v>0</v>
      </c>
      <c r="AK63" s="13">
        <f>(IF(Parameters!$I44&gt;0,E63*M63*Parameters!$I44*12,E63*M63*Parameters!$I$46*12)+IF(Parameters!$K44&gt;0,Parameters!$K44*E63*M63*12,Parameters!$K$46*E63*M63*12))/$R63</f>
        <v>0</v>
      </c>
      <c r="AL63" s="13">
        <f>(IF(Parameters!$I44&gt;0,F63*N63*Parameters!$I44*12,F63*N63*Parameters!$I$46*12)+IF(Parameters!$K44&gt;0,Parameters!$K44*F63*N63*12,Parameters!$K$46*F63*N63*12))/$R63</f>
        <v>0</v>
      </c>
      <c r="AM63" s="13">
        <f>(IF(Parameters!$I44&gt;0,G63*O63*Parameters!$I44*12,G63*O63*Parameters!$I$46*12)+IF(Parameters!$K44&gt;0,Parameters!$K44*G63*O63*12,Parameters!$K$46*G63*O63*12))/$R63</f>
        <v>0</v>
      </c>
    </row>
    <row r="68" spans="1:23" ht="20.25" thickBot="1" x14ac:dyDescent="0.35">
      <c r="A68" s="10" t="s">
        <v>58</v>
      </c>
      <c r="C68" s="11">
        <f>C52</f>
        <v>2016</v>
      </c>
      <c r="D68" s="11">
        <f t="shared" ref="D68:G68" si="64">D52</f>
        <v>2017</v>
      </c>
      <c r="E68" s="11">
        <f t="shared" si="64"/>
        <v>2018</v>
      </c>
      <c r="F68" s="11">
        <f t="shared" si="64"/>
        <v>2019</v>
      </c>
      <c r="G68" s="11">
        <f t="shared" si="64"/>
        <v>2020</v>
      </c>
      <c r="K68" s="11">
        <f>K36</f>
        <v>2016</v>
      </c>
      <c r="L68" s="11">
        <f t="shared" ref="L68:O68" si="65">L36</f>
        <v>2017</v>
      </c>
      <c r="M68" s="11">
        <f t="shared" si="65"/>
        <v>2018</v>
      </c>
      <c r="N68" s="11">
        <f t="shared" si="65"/>
        <v>2019</v>
      </c>
      <c r="O68" s="11">
        <f t="shared" si="65"/>
        <v>2020</v>
      </c>
      <c r="S68" s="11">
        <f>S36</f>
        <v>2016</v>
      </c>
      <c r="T68" s="11">
        <f t="shared" ref="T68:W68" si="66">T36</f>
        <v>2017</v>
      </c>
      <c r="U68" s="11">
        <f t="shared" si="66"/>
        <v>2018</v>
      </c>
      <c r="V68" s="11">
        <f t="shared" si="66"/>
        <v>2019</v>
      </c>
      <c r="W68" s="11">
        <f t="shared" si="66"/>
        <v>2020</v>
      </c>
    </row>
    <row r="69" spans="1:23" ht="17.25" thickTop="1" thickBot="1" x14ac:dyDescent="0.3"/>
    <row r="70" spans="1:23" ht="16.5" thickBot="1" x14ac:dyDescent="0.3">
      <c r="A70" s="1" t="str">
        <f>IF(Parameters!C49&gt;0,Parameters!C49,Parameters!O49)</f>
        <v>rent of office space</v>
      </c>
      <c r="B70" s="1" t="s">
        <v>0</v>
      </c>
      <c r="C70" s="41">
        <v>1</v>
      </c>
      <c r="D70" s="42">
        <f>C70*(SUM(D$54:D$63)/SUM(C$54:C$63))</f>
        <v>2</v>
      </c>
      <c r="E70" s="42">
        <f>D70*(SUM(E$54:E$63)/SUM(D$54:D$63))</f>
        <v>1</v>
      </c>
      <c r="F70" s="42">
        <f>E70*(SUM(F$54:F$63)/SUM(E$54:E$63))</f>
        <v>1</v>
      </c>
      <c r="G70" s="42">
        <f>F70*(SUM(G$54:G$63)/SUM(F$54:F$63))</f>
        <v>1</v>
      </c>
      <c r="I70" s="1" t="s">
        <v>20</v>
      </c>
      <c r="J70" s="1" t="str">
        <f>$J$6</f>
        <v>€</v>
      </c>
      <c r="K70" s="41">
        <v>20000</v>
      </c>
      <c r="L70" s="42">
        <f>IF(Parameters!E49=0,(PxQ!K70*(1+Parameters!E60)),(PxQ!K70*(1+Parameters!E49)))</f>
        <v>20800</v>
      </c>
      <c r="M70" s="35"/>
      <c r="N70" s="35"/>
      <c r="O70" s="35"/>
      <c r="Q70" s="1" t="str">
        <f>"Cost "&amp;A70</f>
        <v>Cost rent of office space</v>
      </c>
      <c r="R70" s="4">
        <f>$R$6</f>
        <v>1000</v>
      </c>
      <c r="S70" s="3">
        <f>C70*K70/$R70</f>
        <v>20</v>
      </c>
      <c r="T70" s="3">
        <f t="shared" ref="T70:T79" si="67">D70*L70/$R70</f>
        <v>41.6</v>
      </c>
      <c r="U70" s="3">
        <f t="shared" ref="U70:U79" si="68">E70*M70/$R70</f>
        <v>0</v>
      </c>
      <c r="V70" s="3">
        <f t="shared" ref="V70:V79" si="69">F70*N70/$R70</f>
        <v>0</v>
      </c>
      <c r="W70" s="3">
        <f t="shared" ref="W70:W79" si="70">G70*O70/$R70</f>
        <v>0</v>
      </c>
    </row>
    <row r="71" spans="1:23" x14ac:dyDescent="0.25">
      <c r="A71" s="1" t="str">
        <f>IF(Parameters!C50&gt;0,Parameters!C50,Parameters!O50)</f>
        <v>Indirect cost tye 2</v>
      </c>
      <c r="B71" s="1" t="s">
        <v>0</v>
      </c>
      <c r="C71" s="40"/>
      <c r="D71" s="42"/>
      <c r="E71" s="42"/>
      <c r="F71" s="42"/>
      <c r="G71" s="42"/>
      <c r="I71" s="1" t="s">
        <v>20</v>
      </c>
      <c r="J71" s="1" t="str">
        <f>$J$6</f>
        <v>€</v>
      </c>
      <c r="K71" s="40"/>
      <c r="L71" s="12"/>
      <c r="M71" s="12"/>
      <c r="N71" s="12"/>
      <c r="O71" s="12"/>
      <c r="Q71" s="1" t="str">
        <f t="shared" ref="Q71:Q79" si="71">"Cost "&amp;A71</f>
        <v>Cost Indirect cost tye 2</v>
      </c>
      <c r="R71" s="4">
        <f>$R$6</f>
        <v>1000</v>
      </c>
      <c r="S71" s="3">
        <f t="shared" ref="S71:S78" si="72">C71*K71/$R71</f>
        <v>0</v>
      </c>
      <c r="T71" s="3">
        <f t="shared" si="67"/>
        <v>0</v>
      </c>
      <c r="U71" s="3">
        <f t="shared" si="68"/>
        <v>0</v>
      </c>
      <c r="V71" s="3">
        <f t="shared" si="69"/>
        <v>0</v>
      </c>
      <c r="W71" s="3">
        <f t="shared" si="70"/>
        <v>0</v>
      </c>
    </row>
    <row r="72" spans="1:23" x14ac:dyDescent="0.25">
      <c r="A72" s="1" t="str">
        <f>IF(Parameters!C51&gt;0,Parameters!C51,Parameters!O51)</f>
        <v>Indirect cost tye 3</v>
      </c>
      <c r="B72" s="1" t="s">
        <v>0</v>
      </c>
      <c r="C72" s="2"/>
      <c r="D72" s="42"/>
      <c r="E72" s="42"/>
      <c r="F72" s="42"/>
      <c r="G72" s="42"/>
      <c r="I72" s="1" t="s">
        <v>20</v>
      </c>
      <c r="J72" s="1" t="str">
        <f t="shared" ref="J72:J79" si="73">$J$6</f>
        <v>€</v>
      </c>
      <c r="K72" s="2"/>
      <c r="L72" s="12"/>
      <c r="M72" s="12"/>
      <c r="N72" s="12"/>
      <c r="O72" s="12"/>
      <c r="Q72" s="1" t="str">
        <f t="shared" si="71"/>
        <v>Cost Indirect cost tye 3</v>
      </c>
      <c r="R72" s="4">
        <f t="shared" ref="R72:R79" si="74">$R$6</f>
        <v>1000</v>
      </c>
      <c r="S72" s="3">
        <f t="shared" si="72"/>
        <v>0</v>
      </c>
      <c r="T72" s="3">
        <f t="shared" si="67"/>
        <v>0</v>
      </c>
      <c r="U72" s="3">
        <f t="shared" si="68"/>
        <v>0</v>
      </c>
      <c r="V72" s="3">
        <f t="shared" si="69"/>
        <v>0</v>
      </c>
      <c r="W72" s="3">
        <f t="shared" si="70"/>
        <v>0</v>
      </c>
    </row>
    <row r="73" spans="1:23" x14ac:dyDescent="0.25">
      <c r="A73" s="1" t="str">
        <f>IF(Parameters!C52&gt;0,Parameters!C52,Parameters!O52)</f>
        <v>Indirect cost tye 4</v>
      </c>
      <c r="B73" s="1" t="s">
        <v>0</v>
      </c>
      <c r="C73" s="2"/>
      <c r="D73" s="42"/>
      <c r="E73" s="42"/>
      <c r="F73" s="42"/>
      <c r="G73" s="42"/>
      <c r="I73" s="1" t="s">
        <v>20</v>
      </c>
      <c r="J73" s="1" t="str">
        <f t="shared" si="73"/>
        <v>€</v>
      </c>
      <c r="K73" s="2"/>
      <c r="L73" s="12"/>
      <c r="M73" s="12"/>
      <c r="N73" s="12"/>
      <c r="O73" s="12"/>
      <c r="Q73" s="1" t="str">
        <f t="shared" si="71"/>
        <v>Cost Indirect cost tye 4</v>
      </c>
      <c r="R73" s="4">
        <f t="shared" si="74"/>
        <v>1000</v>
      </c>
      <c r="S73" s="3">
        <f t="shared" si="72"/>
        <v>0</v>
      </c>
      <c r="T73" s="3">
        <f t="shared" si="67"/>
        <v>0</v>
      </c>
      <c r="U73" s="3">
        <f t="shared" si="68"/>
        <v>0</v>
      </c>
      <c r="V73" s="3">
        <f t="shared" si="69"/>
        <v>0</v>
      </c>
      <c r="W73" s="3">
        <f t="shared" si="70"/>
        <v>0</v>
      </c>
    </row>
    <row r="74" spans="1:23" x14ac:dyDescent="0.25">
      <c r="A74" s="1" t="str">
        <f>IF(Parameters!C53&gt;0,Parameters!C53,Parameters!O53)</f>
        <v>Indirect cost tye 5</v>
      </c>
      <c r="B74" s="1" t="s">
        <v>0</v>
      </c>
      <c r="C74" s="2"/>
      <c r="D74" s="42"/>
      <c r="E74" s="42"/>
      <c r="F74" s="42"/>
      <c r="G74" s="42"/>
      <c r="I74" s="1" t="s">
        <v>20</v>
      </c>
      <c r="J74" s="1" t="str">
        <f t="shared" si="73"/>
        <v>€</v>
      </c>
      <c r="K74" s="2"/>
      <c r="L74" s="12"/>
      <c r="M74" s="12"/>
      <c r="N74" s="12"/>
      <c r="O74" s="12"/>
      <c r="Q74" s="1" t="str">
        <f t="shared" si="71"/>
        <v>Cost Indirect cost tye 5</v>
      </c>
      <c r="R74" s="4">
        <f t="shared" si="74"/>
        <v>1000</v>
      </c>
      <c r="S74" s="3">
        <f t="shared" si="72"/>
        <v>0</v>
      </c>
      <c r="T74" s="3">
        <f t="shared" si="67"/>
        <v>0</v>
      </c>
      <c r="U74" s="3">
        <f t="shared" si="68"/>
        <v>0</v>
      </c>
      <c r="V74" s="3">
        <f t="shared" si="69"/>
        <v>0</v>
      </c>
      <c r="W74" s="3">
        <f t="shared" si="70"/>
        <v>0</v>
      </c>
    </row>
    <row r="75" spans="1:23" x14ac:dyDescent="0.25">
      <c r="A75" s="1" t="str">
        <f>IF(Parameters!C54&gt;0,Parameters!C54,Parameters!O54)</f>
        <v>Indirect cost tye 6</v>
      </c>
      <c r="B75" s="1" t="s">
        <v>0</v>
      </c>
      <c r="C75" s="2"/>
      <c r="D75" s="42"/>
      <c r="E75" s="42"/>
      <c r="F75" s="42"/>
      <c r="G75" s="42"/>
      <c r="I75" s="1" t="s">
        <v>20</v>
      </c>
      <c r="J75" s="1" t="str">
        <f t="shared" si="73"/>
        <v>€</v>
      </c>
      <c r="K75" s="2"/>
      <c r="L75" s="12"/>
      <c r="M75" s="12"/>
      <c r="N75" s="12"/>
      <c r="O75" s="12"/>
      <c r="Q75" s="1" t="str">
        <f t="shared" si="71"/>
        <v>Cost Indirect cost tye 6</v>
      </c>
      <c r="R75" s="4">
        <f t="shared" si="74"/>
        <v>1000</v>
      </c>
      <c r="S75" s="3">
        <f t="shared" si="72"/>
        <v>0</v>
      </c>
      <c r="T75" s="3">
        <f t="shared" si="67"/>
        <v>0</v>
      </c>
      <c r="U75" s="3">
        <f t="shared" si="68"/>
        <v>0</v>
      </c>
      <c r="V75" s="3">
        <f t="shared" si="69"/>
        <v>0</v>
      </c>
      <c r="W75" s="3">
        <f t="shared" si="70"/>
        <v>0</v>
      </c>
    </row>
    <row r="76" spans="1:23" x14ac:dyDescent="0.25">
      <c r="A76" s="1" t="str">
        <f>IF(Parameters!C55&gt;0,Parameters!C55,Parameters!O55)</f>
        <v>Indirect cost tye 7</v>
      </c>
      <c r="B76" s="1" t="s">
        <v>0</v>
      </c>
      <c r="C76" s="2"/>
      <c r="D76" s="42"/>
      <c r="E76" s="42"/>
      <c r="F76" s="42"/>
      <c r="G76" s="42"/>
      <c r="I76" s="1" t="s">
        <v>20</v>
      </c>
      <c r="J76" s="1" t="str">
        <f t="shared" si="73"/>
        <v>€</v>
      </c>
      <c r="K76" s="2"/>
      <c r="L76" s="12"/>
      <c r="M76" s="12"/>
      <c r="N76" s="12"/>
      <c r="O76" s="12"/>
      <c r="Q76" s="1" t="str">
        <f t="shared" si="71"/>
        <v>Cost Indirect cost tye 7</v>
      </c>
      <c r="R76" s="4">
        <f t="shared" si="74"/>
        <v>1000</v>
      </c>
      <c r="S76" s="3">
        <f t="shared" si="72"/>
        <v>0</v>
      </c>
      <c r="T76" s="3">
        <f t="shared" si="67"/>
        <v>0</v>
      </c>
      <c r="U76" s="3">
        <f t="shared" si="68"/>
        <v>0</v>
      </c>
      <c r="V76" s="3">
        <f t="shared" si="69"/>
        <v>0</v>
      </c>
      <c r="W76" s="3">
        <f t="shared" si="70"/>
        <v>0</v>
      </c>
    </row>
    <row r="77" spans="1:23" x14ac:dyDescent="0.25">
      <c r="A77" s="1" t="str">
        <f>IF(Parameters!C56&gt;0,Parameters!C56,Parameters!O56)</f>
        <v>Indirect cost tye 8</v>
      </c>
      <c r="B77" s="1" t="s">
        <v>0</v>
      </c>
      <c r="C77" s="2"/>
      <c r="D77" s="42"/>
      <c r="E77" s="42"/>
      <c r="F77" s="42"/>
      <c r="G77" s="42"/>
      <c r="I77" s="1" t="s">
        <v>20</v>
      </c>
      <c r="J77" s="1" t="str">
        <f t="shared" si="73"/>
        <v>€</v>
      </c>
      <c r="K77" s="2"/>
      <c r="L77" s="12"/>
      <c r="M77" s="12"/>
      <c r="N77" s="12"/>
      <c r="O77" s="12"/>
      <c r="Q77" s="1" t="str">
        <f t="shared" si="71"/>
        <v>Cost Indirect cost tye 8</v>
      </c>
      <c r="R77" s="4">
        <f t="shared" si="74"/>
        <v>1000</v>
      </c>
      <c r="S77" s="3">
        <f t="shared" si="72"/>
        <v>0</v>
      </c>
      <c r="T77" s="3">
        <f t="shared" si="67"/>
        <v>0</v>
      </c>
      <c r="U77" s="3">
        <f t="shared" si="68"/>
        <v>0</v>
      </c>
      <c r="V77" s="3">
        <f t="shared" si="69"/>
        <v>0</v>
      </c>
      <c r="W77" s="3">
        <f t="shared" si="70"/>
        <v>0</v>
      </c>
    </row>
    <row r="78" spans="1:23" x14ac:dyDescent="0.25">
      <c r="A78" s="1" t="str">
        <f>IF(Parameters!C57&gt;0,Parameters!C57,Parameters!O57)</f>
        <v>Indirect cost tye 9</v>
      </c>
      <c r="B78" s="1" t="s">
        <v>0</v>
      </c>
      <c r="C78" s="2"/>
      <c r="D78" s="42"/>
      <c r="E78" s="42"/>
      <c r="F78" s="42"/>
      <c r="G78" s="42"/>
      <c r="I78" s="1" t="s">
        <v>20</v>
      </c>
      <c r="J78" s="1" t="str">
        <f t="shared" si="73"/>
        <v>€</v>
      </c>
      <c r="K78" s="2"/>
      <c r="L78" s="12"/>
      <c r="M78" s="12"/>
      <c r="N78" s="12"/>
      <c r="O78" s="12"/>
      <c r="Q78" s="1" t="str">
        <f t="shared" si="71"/>
        <v>Cost Indirect cost tye 9</v>
      </c>
      <c r="R78" s="4">
        <f t="shared" si="74"/>
        <v>1000</v>
      </c>
      <c r="S78" s="3">
        <f t="shared" si="72"/>
        <v>0</v>
      </c>
      <c r="T78" s="3">
        <f t="shared" si="67"/>
        <v>0</v>
      </c>
      <c r="U78" s="3">
        <f t="shared" si="68"/>
        <v>0</v>
      </c>
      <c r="V78" s="3">
        <f t="shared" si="69"/>
        <v>0</v>
      </c>
      <c r="W78" s="3">
        <f t="shared" si="70"/>
        <v>0</v>
      </c>
    </row>
    <row r="79" spans="1:23" x14ac:dyDescent="0.25">
      <c r="A79" s="1" t="str">
        <f>IF(Parameters!C58&gt;0,Parameters!C58,Parameters!O58)</f>
        <v>Indirect cost tye 10</v>
      </c>
      <c r="B79" s="1" t="s">
        <v>0</v>
      </c>
      <c r="C79" s="2"/>
      <c r="D79" s="42"/>
      <c r="E79" s="42"/>
      <c r="F79" s="42"/>
      <c r="G79" s="42"/>
      <c r="I79" s="1" t="s">
        <v>20</v>
      </c>
      <c r="J79" s="1" t="str">
        <f t="shared" si="73"/>
        <v>€</v>
      </c>
      <c r="K79" s="2"/>
      <c r="L79" s="12"/>
      <c r="M79" s="12"/>
      <c r="N79" s="12"/>
      <c r="O79" s="12"/>
      <c r="Q79" s="1" t="str">
        <f t="shared" si="71"/>
        <v>Cost Indirect cost tye 10</v>
      </c>
      <c r="R79" s="4">
        <f t="shared" si="74"/>
        <v>1000</v>
      </c>
      <c r="S79" s="3">
        <f>C79*K79/$R79</f>
        <v>0</v>
      </c>
      <c r="T79" s="3">
        <f t="shared" si="67"/>
        <v>0</v>
      </c>
      <c r="U79" s="3">
        <f t="shared" si="68"/>
        <v>0</v>
      </c>
      <c r="V79" s="3">
        <f t="shared" si="69"/>
        <v>0</v>
      </c>
      <c r="W79" s="3">
        <f t="shared" si="70"/>
        <v>0</v>
      </c>
    </row>
    <row r="84" spans="1:23" ht="20.25" thickBot="1" x14ac:dyDescent="0.35">
      <c r="A84" s="10" t="s">
        <v>26</v>
      </c>
      <c r="C84" s="11">
        <f>C4</f>
        <v>2016</v>
      </c>
      <c r="D84" s="11">
        <f t="shared" ref="D84:G84" si="75">D4</f>
        <v>2017</v>
      </c>
      <c r="E84" s="11">
        <f t="shared" si="75"/>
        <v>2018</v>
      </c>
      <c r="F84" s="11">
        <f t="shared" si="75"/>
        <v>2019</v>
      </c>
      <c r="G84" s="11">
        <f t="shared" si="75"/>
        <v>2020</v>
      </c>
      <c r="K84" s="11">
        <f>K68</f>
        <v>2016</v>
      </c>
      <c r="L84" s="11">
        <f t="shared" ref="L84:O84" si="76">L68</f>
        <v>2017</v>
      </c>
      <c r="M84" s="11">
        <f t="shared" si="76"/>
        <v>2018</v>
      </c>
      <c r="N84" s="11">
        <f t="shared" si="76"/>
        <v>2019</v>
      </c>
      <c r="O84" s="11">
        <f t="shared" si="76"/>
        <v>2020</v>
      </c>
      <c r="S84" s="11">
        <f>S68</f>
        <v>2016</v>
      </c>
      <c r="T84" s="11">
        <f t="shared" ref="T84:W84" si="77">T68</f>
        <v>2017</v>
      </c>
      <c r="U84" s="11">
        <f t="shared" si="77"/>
        <v>2018</v>
      </c>
      <c r="V84" s="11">
        <f t="shared" si="77"/>
        <v>2019</v>
      </c>
      <c r="W84" s="11">
        <f t="shared" si="77"/>
        <v>2020</v>
      </c>
    </row>
    <row r="85" spans="1:23" ht="17.25" thickTop="1" thickBot="1" x14ac:dyDescent="0.3"/>
    <row r="86" spans="1:23" ht="16.5" thickBot="1" x14ac:dyDescent="0.3">
      <c r="A86" s="1" t="str">
        <f>IF(Parameters!C90=0,Parameters!O90,Parameters!C90)</f>
        <v>Asset type 1</v>
      </c>
      <c r="B86" s="1" t="s">
        <v>0</v>
      </c>
      <c r="C86" s="41">
        <v>500</v>
      </c>
      <c r="D86" s="39">
        <v>500</v>
      </c>
      <c r="E86" s="12">
        <v>500</v>
      </c>
      <c r="F86" s="12">
        <v>500</v>
      </c>
      <c r="G86" s="12">
        <v>500</v>
      </c>
      <c r="I86" s="1" t="s">
        <v>20</v>
      </c>
      <c r="J86" s="1" t="str">
        <f>$J$6</f>
        <v>€</v>
      </c>
      <c r="K86" s="41">
        <v>100</v>
      </c>
      <c r="L86" s="39">
        <v>100</v>
      </c>
      <c r="M86" s="12">
        <v>100</v>
      </c>
      <c r="N86" s="12">
        <v>100</v>
      </c>
      <c r="O86" s="12">
        <v>100</v>
      </c>
      <c r="Q86" s="1" t="s">
        <v>39</v>
      </c>
      <c r="R86" s="4">
        <f>$R$6</f>
        <v>1000</v>
      </c>
      <c r="S86" s="14">
        <f>C86*K86/$R86</f>
        <v>50</v>
      </c>
      <c r="T86" s="14">
        <f t="shared" ref="T86:T95" si="78">D86*L86/$R86</f>
        <v>50</v>
      </c>
      <c r="U86" s="14">
        <f t="shared" ref="U86:U95" si="79">E86*M86/$R86</f>
        <v>50</v>
      </c>
      <c r="V86" s="14">
        <f t="shared" ref="V86:V95" si="80">F86*N86/$R86</f>
        <v>50</v>
      </c>
      <c r="W86" s="14">
        <f t="shared" ref="W86:W95" si="81">G86*O86/$R86</f>
        <v>50</v>
      </c>
    </row>
    <row r="87" spans="1:23" x14ac:dyDescent="0.25">
      <c r="A87" s="1" t="str">
        <f>IF(Parameters!C91=0,Parameters!O91,Parameters!C91)</f>
        <v>Asset type 2</v>
      </c>
      <c r="B87" s="1" t="s">
        <v>0</v>
      </c>
      <c r="C87" s="40">
        <v>400</v>
      </c>
      <c r="D87" s="12">
        <v>400</v>
      </c>
      <c r="E87" s="12">
        <v>400</v>
      </c>
      <c r="F87" s="12">
        <v>400</v>
      </c>
      <c r="G87" s="12">
        <v>400</v>
      </c>
      <c r="I87" s="1" t="s">
        <v>20</v>
      </c>
      <c r="J87" s="1" t="str">
        <f>$J$6</f>
        <v>€</v>
      </c>
      <c r="K87" s="40">
        <v>100</v>
      </c>
      <c r="L87" s="12">
        <v>100</v>
      </c>
      <c r="M87" s="12">
        <v>100</v>
      </c>
      <c r="N87" s="12">
        <v>100</v>
      </c>
      <c r="O87" s="12">
        <v>100</v>
      </c>
      <c r="Q87" s="1" t="s">
        <v>40</v>
      </c>
      <c r="R87" s="4">
        <f>$R$6</f>
        <v>1000</v>
      </c>
      <c r="S87" s="14">
        <f t="shared" ref="S87:S94" si="82">C87*K87/$R87</f>
        <v>40</v>
      </c>
      <c r="T87" s="14">
        <f t="shared" si="78"/>
        <v>40</v>
      </c>
      <c r="U87" s="14">
        <f t="shared" si="79"/>
        <v>40</v>
      </c>
      <c r="V87" s="14">
        <f t="shared" si="80"/>
        <v>40</v>
      </c>
      <c r="W87" s="14">
        <f t="shared" si="81"/>
        <v>40</v>
      </c>
    </row>
    <row r="88" spans="1:23" x14ac:dyDescent="0.25">
      <c r="A88" s="1" t="str">
        <f>IF(Parameters!C92=0,Parameters!O92,Parameters!C92)</f>
        <v>Asset type 3</v>
      </c>
      <c r="B88" s="1" t="s">
        <v>0</v>
      </c>
      <c r="C88" s="2">
        <v>300</v>
      </c>
      <c r="D88" s="12">
        <v>300</v>
      </c>
      <c r="E88" s="12">
        <v>300</v>
      </c>
      <c r="F88" s="12">
        <v>300</v>
      </c>
      <c r="G88" s="12">
        <v>300</v>
      </c>
      <c r="I88" s="1" t="s">
        <v>20</v>
      </c>
      <c r="J88" s="1" t="str">
        <f t="shared" ref="J88:J95" si="83">$J$6</f>
        <v>€</v>
      </c>
      <c r="K88" s="2">
        <v>100</v>
      </c>
      <c r="L88" s="12">
        <v>100</v>
      </c>
      <c r="M88" s="12">
        <v>100</v>
      </c>
      <c r="N88" s="12">
        <v>100</v>
      </c>
      <c r="O88" s="12">
        <v>100</v>
      </c>
      <c r="Q88" s="1" t="s">
        <v>41</v>
      </c>
      <c r="R88" s="4">
        <f t="shared" ref="R88:R95" si="84">$R$6</f>
        <v>1000</v>
      </c>
      <c r="S88" s="14">
        <f t="shared" si="82"/>
        <v>30</v>
      </c>
      <c r="T88" s="14">
        <f t="shared" si="78"/>
        <v>30</v>
      </c>
      <c r="U88" s="14">
        <f t="shared" si="79"/>
        <v>30</v>
      </c>
      <c r="V88" s="14">
        <f t="shared" si="80"/>
        <v>30</v>
      </c>
      <c r="W88" s="14">
        <f t="shared" si="81"/>
        <v>30</v>
      </c>
    </row>
    <row r="89" spans="1:23" x14ac:dyDescent="0.25">
      <c r="A89" s="1" t="str">
        <f>IF(Parameters!C93=0,Parameters!O93,Parameters!C93)</f>
        <v>Asset type 4</v>
      </c>
      <c r="B89" s="1" t="s">
        <v>0</v>
      </c>
      <c r="C89" s="2">
        <v>200</v>
      </c>
      <c r="D89" s="12">
        <v>200</v>
      </c>
      <c r="E89" s="12">
        <v>200</v>
      </c>
      <c r="F89" s="12">
        <v>200</v>
      </c>
      <c r="G89" s="12">
        <v>200</v>
      </c>
      <c r="I89" s="1" t="s">
        <v>20</v>
      </c>
      <c r="J89" s="1" t="str">
        <f t="shared" si="83"/>
        <v>€</v>
      </c>
      <c r="K89" s="2">
        <v>100</v>
      </c>
      <c r="L89" s="12">
        <v>100</v>
      </c>
      <c r="M89" s="12">
        <v>100</v>
      </c>
      <c r="N89" s="12">
        <v>100</v>
      </c>
      <c r="O89" s="12">
        <v>100</v>
      </c>
      <c r="Q89" s="1" t="s">
        <v>42</v>
      </c>
      <c r="R89" s="4">
        <f t="shared" si="84"/>
        <v>1000</v>
      </c>
      <c r="S89" s="14">
        <f t="shared" si="82"/>
        <v>20</v>
      </c>
      <c r="T89" s="14">
        <f t="shared" si="78"/>
        <v>20</v>
      </c>
      <c r="U89" s="14">
        <f t="shared" si="79"/>
        <v>20</v>
      </c>
      <c r="V89" s="14">
        <f t="shared" si="80"/>
        <v>20</v>
      </c>
      <c r="W89" s="14">
        <f t="shared" si="81"/>
        <v>20</v>
      </c>
    </row>
    <row r="90" spans="1:23" x14ac:dyDescent="0.25">
      <c r="A90" s="1" t="str">
        <f>IF(Parameters!C94=0,Parameters!O94,Parameters!C94)</f>
        <v>Asset type 5</v>
      </c>
      <c r="B90" s="1" t="s">
        <v>0</v>
      </c>
      <c r="C90" s="2">
        <v>100</v>
      </c>
      <c r="D90" s="12">
        <v>100</v>
      </c>
      <c r="E90" s="12">
        <v>100</v>
      </c>
      <c r="F90" s="12">
        <v>100</v>
      </c>
      <c r="G90" s="12">
        <v>100</v>
      </c>
      <c r="I90" s="1" t="s">
        <v>20</v>
      </c>
      <c r="J90" s="1" t="str">
        <f t="shared" si="83"/>
        <v>€</v>
      </c>
      <c r="K90" s="2">
        <v>100</v>
      </c>
      <c r="L90" s="12">
        <v>100</v>
      </c>
      <c r="M90" s="12">
        <v>100</v>
      </c>
      <c r="N90" s="12">
        <v>100</v>
      </c>
      <c r="O90" s="12">
        <v>100</v>
      </c>
      <c r="Q90" s="1" t="s">
        <v>43</v>
      </c>
      <c r="R90" s="4">
        <f t="shared" si="84"/>
        <v>1000</v>
      </c>
      <c r="S90" s="14">
        <f t="shared" si="82"/>
        <v>10</v>
      </c>
      <c r="T90" s="14">
        <f t="shared" si="78"/>
        <v>10</v>
      </c>
      <c r="U90" s="14">
        <f t="shared" si="79"/>
        <v>10</v>
      </c>
      <c r="V90" s="14">
        <f t="shared" si="80"/>
        <v>10</v>
      </c>
      <c r="W90" s="14">
        <f t="shared" si="81"/>
        <v>10</v>
      </c>
    </row>
    <row r="91" spans="1:23" x14ac:dyDescent="0.25">
      <c r="A91" s="1" t="str">
        <f>IF(Parameters!C95=0,Parameters!O95,Parameters!C95)</f>
        <v>Asset type 6</v>
      </c>
      <c r="B91" s="1" t="s">
        <v>0</v>
      </c>
      <c r="C91" s="2">
        <v>90</v>
      </c>
      <c r="D91" s="12">
        <v>90</v>
      </c>
      <c r="E91" s="12">
        <v>90</v>
      </c>
      <c r="F91" s="12">
        <v>90</v>
      </c>
      <c r="G91" s="12">
        <v>90</v>
      </c>
      <c r="I91" s="1" t="s">
        <v>20</v>
      </c>
      <c r="J91" s="1" t="str">
        <f t="shared" si="83"/>
        <v>€</v>
      </c>
      <c r="K91" s="2">
        <v>100</v>
      </c>
      <c r="L91" s="12">
        <v>100</v>
      </c>
      <c r="M91" s="12">
        <v>100</v>
      </c>
      <c r="N91" s="12">
        <v>100</v>
      </c>
      <c r="O91" s="12">
        <v>100</v>
      </c>
      <c r="Q91" s="1" t="s">
        <v>44</v>
      </c>
      <c r="R91" s="4">
        <f t="shared" si="84"/>
        <v>1000</v>
      </c>
      <c r="S91" s="14">
        <f t="shared" si="82"/>
        <v>9</v>
      </c>
      <c r="T91" s="14">
        <f t="shared" si="78"/>
        <v>9</v>
      </c>
      <c r="U91" s="14">
        <f t="shared" si="79"/>
        <v>9</v>
      </c>
      <c r="V91" s="14">
        <f t="shared" si="80"/>
        <v>9</v>
      </c>
      <c r="W91" s="14">
        <f t="shared" si="81"/>
        <v>9</v>
      </c>
    </row>
    <row r="92" spans="1:23" x14ac:dyDescent="0.25">
      <c r="A92" s="1" t="str">
        <f>IF(Parameters!C96=0,Parameters!O96,Parameters!C96)</f>
        <v>Asset type 7</v>
      </c>
      <c r="B92" s="1" t="s">
        <v>0</v>
      </c>
      <c r="C92" s="2">
        <v>80</v>
      </c>
      <c r="D92" s="12">
        <v>80</v>
      </c>
      <c r="E92" s="12">
        <v>80</v>
      </c>
      <c r="F92" s="12">
        <v>80</v>
      </c>
      <c r="G92" s="12">
        <v>80</v>
      </c>
      <c r="I92" s="1" t="s">
        <v>20</v>
      </c>
      <c r="J92" s="1" t="str">
        <f t="shared" si="83"/>
        <v>€</v>
      </c>
      <c r="K92" s="2">
        <v>100</v>
      </c>
      <c r="L92" s="12">
        <v>100</v>
      </c>
      <c r="M92" s="12">
        <v>100</v>
      </c>
      <c r="N92" s="12">
        <v>100</v>
      </c>
      <c r="O92" s="12">
        <v>100</v>
      </c>
      <c r="Q92" s="1" t="s">
        <v>45</v>
      </c>
      <c r="R92" s="4">
        <f t="shared" si="84"/>
        <v>1000</v>
      </c>
      <c r="S92" s="14">
        <f t="shared" si="82"/>
        <v>8</v>
      </c>
      <c r="T92" s="14">
        <f t="shared" si="78"/>
        <v>8</v>
      </c>
      <c r="U92" s="14">
        <f t="shared" si="79"/>
        <v>8</v>
      </c>
      <c r="V92" s="14">
        <f t="shared" si="80"/>
        <v>8</v>
      </c>
      <c r="W92" s="14">
        <f t="shared" si="81"/>
        <v>8</v>
      </c>
    </row>
    <row r="93" spans="1:23" x14ac:dyDescent="0.25">
      <c r="A93" s="1" t="str">
        <f>IF(Parameters!C97=0,Parameters!O97,Parameters!C97)</f>
        <v>Asset type 8</v>
      </c>
      <c r="B93" s="1" t="s">
        <v>0</v>
      </c>
      <c r="C93" s="2">
        <v>70</v>
      </c>
      <c r="D93" s="12">
        <v>70</v>
      </c>
      <c r="E93" s="12">
        <v>70</v>
      </c>
      <c r="F93" s="12">
        <v>70</v>
      </c>
      <c r="G93" s="12">
        <v>70</v>
      </c>
      <c r="I93" s="1" t="s">
        <v>20</v>
      </c>
      <c r="J93" s="1" t="str">
        <f t="shared" si="83"/>
        <v>€</v>
      </c>
      <c r="K93" s="2">
        <v>100</v>
      </c>
      <c r="L93" s="12">
        <v>100</v>
      </c>
      <c r="M93" s="12">
        <v>100</v>
      </c>
      <c r="N93" s="12">
        <v>100</v>
      </c>
      <c r="O93" s="12">
        <v>100</v>
      </c>
      <c r="Q93" s="1" t="s">
        <v>46</v>
      </c>
      <c r="R93" s="4">
        <f t="shared" si="84"/>
        <v>1000</v>
      </c>
      <c r="S93" s="14">
        <f t="shared" si="82"/>
        <v>7</v>
      </c>
      <c r="T93" s="14">
        <f t="shared" si="78"/>
        <v>7</v>
      </c>
      <c r="U93" s="14">
        <f t="shared" si="79"/>
        <v>7</v>
      </c>
      <c r="V93" s="14">
        <f t="shared" si="80"/>
        <v>7</v>
      </c>
      <c r="W93" s="14">
        <f t="shared" si="81"/>
        <v>7</v>
      </c>
    </row>
    <row r="94" spans="1:23" x14ac:dyDescent="0.25">
      <c r="A94" s="1" t="str">
        <f>IF(Parameters!C98=0,Parameters!O98,Parameters!C98)</f>
        <v>Asset type 9</v>
      </c>
      <c r="B94" s="1" t="s">
        <v>0</v>
      </c>
      <c r="C94" s="2">
        <v>60</v>
      </c>
      <c r="D94" s="12">
        <v>60</v>
      </c>
      <c r="E94" s="12">
        <v>60</v>
      </c>
      <c r="F94" s="12">
        <v>60</v>
      </c>
      <c r="G94" s="12">
        <v>60</v>
      </c>
      <c r="I94" s="1" t="s">
        <v>20</v>
      </c>
      <c r="J94" s="1" t="str">
        <f t="shared" si="83"/>
        <v>€</v>
      </c>
      <c r="K94" s="2">
        <v>100</v>
      </c>
      <c r="L94" s="12">
        <v>100</v>
      </c>
      <c r="M94" s="12">
        <v>100</v>
      </c>
      <c r="N94" s="12">
        <v>100</v>
      </c>
      <c r="O94" s="12">
        <v>100</v>
      </c>
      <c r="Q94" s="1" t="s">
        <v>47</v>
      </c>
      <c r="R94" s="4">
        <f t="shared" si="84"/>
        <v>1000</v>
      </c>
      <c r="S94" s="14">
        <f t="shared" si="82"/>
        <v>6</v>
      </c>
      <c r="T94" s="14">
        <f t="shared" si="78"/>
        <v>6</v>
      </c>
      <c r="U94" s="14">
        <f t="shared" si="79"/>
        <v>6</v>
      </c>
      <c r="V94" s="14">
        <f t="shared" si="80"/>
        <v>6</v>
      </c>
      <c r="W94" s="14">
        <f t="shared" si="81"/>
        <v>6</v>
      </c>
    </row>
    <row r="95" spans="1:23" x14ac:dyDescent="0.25">
      <c r="A95" s="1" t="str">
        <f>IF(Parameters!C99=0,Parameters!O99,Parameters!C99)</f>
        <v>Asset type 10</v>
      </c>
      <c r="B95" s="1" t="s">
        <v>0</v>
      </c>
      <c r="C95" s="2">
        <v>50</v>
      </c>
      <c r="D95" s="12">
        <v>50</v>
      </c>
      <c r="E95" s="12">
        <v>50</v>
      </c>
      <c r="F95" s="12">
        <v>50</v>
      </c>
      <c r="G95" s="12">
        <v>50</v>
      </c>
      <c r="I95" s="1" t="s">
        <v>20</v>
      </c>
      <c r="J95" s="1" t="str">
        <f t="shared" si="83"/>
        <v>€</v>
      </c>
      <c r="K95" s="2">
        <v>100</v>
      </c>
      <c r="L95" s="12">
        <v>100</v>
      </c>
      <c r="M95" s="12">
        <v>100</v>
      </c>
      <c r="N95" s="12">
        <v>100</v>
      </c>
      <c r="O95" s="12">
        <v>100</v>
      </c>
      <c r="Q95" s="1" t="s">
        <v>48</v>
      </c>
      <c r="R95" s="4">
        <f t="shared" si="84"/>
        <v>1000</v>
      </c>
      <c r="S95" s="14">
        <f>C95*K95/$R95</f>
        <v>5</v>
      </c>
      <c r="T95" s="14">
        <f t="shared" si="78"/>
        <v>5</v>
      </c>
      <c r="U95" s="14">
        <f t="shared" si="79"/>
        <v>5</v>
      </c>
      <c r="V95" s="14">
        <f t="shared" si="80"/>
        <v>5</v>
      </c>
      <c r="W95" s="14">
        <f t="shared" si="81"/>
        <v>5</v>
      </c>
    </row>
    <row r="98" spans="1:23" ht="21" x14ac:dyDescent="0.35">
      <c r="C98" s="45" t="s">
        <v>69</v>
      </c>
      <c r="D98" s="45"/>
      <c r="E98" s="45"/>
      <c r="F98" s="45"/>
      <c r="G98" s="45"/>
      <c r="K98" s="45" t="s">
        <v>63</v>
      </c>
      <c r="L98" s="45"/>
      <c r="M98" s="45"/>
      <c r="N98" s="45"/>
      <c r="O98" s="45"/>
      <c r="S98" s="45" t="s">
        <v>64</v>
      </c>
      <c r="T98" s="45"/>
      <c r="U98" s="45"/>
      <c r="V98" s="45"/>
      <c r="W98" s="45"/>
    </row>
    <row r="100" spans="1:23" ht="20.25" thickBot="1" x14ac:dyDescent="0.35">
      <c r="A100" s="10" t="s">
        <v>62</v>
      </c>
      <c r="C100" s="11">
        <f>C4</f>
        <v>2016</v>
      </c>
      <c r="D100" s="11">
        <f t="shared" ref="D100:G100" si="85">D4</f>
        <v>2017</v>
      </c>
      <c r="E100" s="11">
        <f t="shared" si="85"/>
        <v>2018</v>
      </c>
      <c r="F100" s="11">
        <f t="shared" si="85"/>
        <v>2019</v>
      </c>
      <c r="G100" s="11">
        <f t="shared" si="85"/>
        <v>2020</v>
      </c>
      <c r="K100" s="11">
        <f>K84</f>
        <v>2016</v>
      </c>
      <c r="L100" s="11">
        <f t="shared" ref="L100:O100" si="86">L84</f>
        <v>2017</v>
      </c>
      <c r="M100" s="11">
        <f t="shared" si="86"/>
        <v>2018</v>
      </c>
      <c r="N100" s="11">
        <f t="shared" si="86"/>
        <v>2019</v>
      </c>
      <c r="O100" s="11">
        <f t="shared" si="86"/>
        <v>2020</v>
      </c>
      <c r="S100" s="11">
        <f>S84</f>
        <v>2016</v>
      </c>
      <c r="T100" s="11">
        <f t="shared" ref="T100:W100" si="87">T84</f>
        <v>2017</v>
      </c>
      <c r="U100" s="11">
        <f t="shared" si="87"/>
        <v>2018</v>
      </c>
      <c r="V100" s="11">
        <f t="shared" si="87"/>
        <v>2019</v>
      </c>
      <c r="W100" s="11">
        <f t="shared" si="87"/>
        <v>2020</v>
      </c>
    </row>
    <row r="101" spans="1:23" ht="16.5" thickTop="1" x14ac:dyDescent="0.25"/>
    <row r="102" spans="1:23" x14ac:dyDescent="0.25">
      <c r="A102" s="1" t="str">
        <f t="shared" ref="A102:A111" si="88">A86</f>
        <v>Asset type 1</v>
      </c>
      <c r="B102" s="1" t="s">
        <v>77</v>
      </c>
      <c r="C102" s="14">
        <f>IF(Parameters!$E90&gt;0,PxQ!S86/Parameters!$E90,PxQ!S86/Parameters!$E$101)</f>
        <v>5</v>
      </c>
      <c r="D102" s="14">
        <f>IF(Parameters!$E90&gt;0,PxQ!T86/Parameters!$E90,PxQ!T86/Parameters!$E$101)</f>
        <v>5</v>
      </c>
      <c r="E102" s="14">
        <f>IF(Parameters!$E90&gt;0,PxQ!U86/Parameters!$E90,PxQ!U86/Parameters!$E$101)</f>
        <v>5</v>
      </c>
      <c r="F102" s="14">
        <f>IF(Parameters!$E90&gt;0,PxQ!V86/Parameters!$E90,PxQ!V86/Parameters!$E$101)</f>
        <v>5</v>
      </c>
      <c r="G102" s="14">
        <f>IF(Parameters!$E90&gt;0,PxQ!W86/Parameters!$E90,PxQ!W86/Parameters!$E$101)</f>
        <v>5</v>
      </c>
      <c r="I102" s="1" t="str">
        <f>A86</f>
        <v>Asset type 1</v>
      </c>
      <c r="J102" s="4">
        <f t="shared" ref="J102:J111" si="89">$R$6</f>
        <v>1000</v>
      </c>
      <c r="K102" s="14">
        <f>SUM(K119,K134,K149,K164,K179)</f>
        <v>2.5</v>
      </c>
      <c r="L102" s="14">
        <f t="shared" ref="L102:O102" si="90">SUM(L119,L134,L149,L164,L179)</f>
        <v>7.5</v>
      </c>
      <c r="M102" s="14">
        <f t="shared" si="90"/>
        <v>12.5</v>
      </c>
      <c r="N102" s="14">
        <f t="shared" si="90"/>
        <v>17.5</v>
      </c>
      <c r="O102" s="14">
        <f t="shared" si="90"/>
        <v>22.5</v>
      </c>
      <c r="Q102" s="1" t="str">
        <f>A86</f>
        <v>Asset type 1</v>
      </c>
      <c r="R102" s="4">
        <f t="shared" ref="R102:R111" si="91">$R$6</f>
        <v>1000</v>
      </c>
      <c r="S102" s="14">
        <f>SUM(S119,S134,S149,S164,S179)</f>
        <v>47.5</v>
      </c>
      <c r="T102" s="14">
        <f t="shared" ref="T102:W102" si="92">SUM(T119,T134,T149,T164,T179)</f>
        <v>90</v>
      </c>
      <c r="U102" s="14">
        <f t="shared" si="92"/>
        <v>127.5</v>
      </c>
      <c r="V102" s="14">
        <f t="shared" si="92"/>
        <v>160</v>
      </c>
      <c r="W102" s="14">
        <f t="shared" si="92"/>
        <v>187.5</v>
      </c>
    </row>
    <row r="103" spans="1:23" x14ac:dyDescent="0.25">
      <c r="A103" s="1" t="str">
        <f t="shared" si="88"/>
        <v>Asset type 2</v>
      </c>
      <c r="B103" s="1" t="s">
        <v>77</v>
      </c>
      <c r="C103" s="14">
        <f>IF(Parameters!$E91&gt;0,PxQ!S87/Parameters!$E91,PxQ!S87/Parameters!$E$101)</f>
        <v>8</v>
      </c>
      <c r="D103" s="14">
        <f>IF(Parameters!$E91&gt;0,PxQ!T87/Parameters!$E91,PxQ!T87/Parameters!$E$101)</f>
        <v>8</v>
      </c>
      <c r="E103" s="14">
        <f>IF(Parameters!$E91&gt;0,PxQ!U87/Parameters!$E91,PxQ!U87/Parameters!$E$101)</f>
        <v>8</v>
      </c>
      <c r="F103" s="14">
        <f>IF(Parameters!$E91&gt;0,PxQ!V87/Parameters!$E91,PxQ!V87/Parameters!$E$101)</f>
        <v>8</v>
      </c>
      <c r="G103" s="14">
        <f>IF(Parameters!$E91&gt;0,PxQ!W87/Parameters!$E91,PxQ!W87/Parameters!$E$101)</f>
        <v>8</v>
      </c>
      <c r="I103" s="1" t="str">
        <f t="shared" ref="I103:I111" si="93">A87</f>
        <v>Asset type 2</v>
      </c>
      <c r="J103" s="4">
        <f t="shared" si="89"/>
        <v>1000</v>
      </c>
      <c r="K103" s="14">
        <f t="shared" ref="K103:O103" si="94">SUM(K120,K135,K150,K165,K180)</f>
        <v>4</v>
      </c>
      <c r="L103" s="14">
        <f t="shared" si="94"/>
        <v>12</v>
      </c>
      <c r="M103" s="14">
        <f t="shared" si="94"/>
        <v>20</v>
      </c>
      <c r="N103" s="14">
        <f t="shared" si="94"/>
        <v>28</v>
      </c>
      <c r="O103" s="14">
        <f t="shared" si="94"/>
        <v>36</v>
      </c>
      <c r="Q103" s="1" t="str">
        <f t="shared" ref="Q103:Q111" si="95">A87</f>
        <v>Asset type 2</v>
      </c>
      <c r="R103" s="4">
        <f t="shared" si="91"/>
        <v>1000</v>
      </c>
      <c r="S103" s="14">
        <f t="shared" ref="S103:W103" si="96">SUM(S120,S135,S150,S165,S180)</f>
        <v>36</v>
      </c>
      <c r="T103" s="14">
        <f t="shared" si="96"/>
        <v>64</v>
      </c>
      <c r="U103" s="14">
        <f t="shared" si="96"/>
        <v>84</v>
      </c>
      <c r="V103" s="14">
        <f t="shared" si="96"/>
        <v>96</v>
      </c>
      <c r="W103" s="14">
        <f t="shared" si="96"/>
        <v>100</v>
      </c>
    </row>
    <row r="104" spans="1:23" x14ac:dyDescent="0.25">
      <c r="A104" s="1" t="str">
        <f t="shared" si="88"/>
        <v>Asset type 3</v>
      </c>
      <c r="B104" s="1" t="s">
        <v>77</v>
      </c>
      <c r="C104" s="14">
        <f>IF(Parameters!$E92&gt;0,PxQ!S88/Parameters!$E92,PxQ!S88/Parameters!$E$101)</f>
        <v>6</v>
      </c>
      <c r="D104" s="14">
        <f>IF(Parameters!$E92&gt;0,PxQ!T88/Parameters!$E92,PxQ!T88/Parameters!$E$101)</f>
        <v>6</v>
      </c>
      <c r="E104" s="14">
        <f>IF(Parameters!$E92&gt;0,PxQ!U88/Parameters!$E92,PxQ!U88/Parameters!$E$101)</f>
        <v>6</v>
      </c>
      <c r="F104" s="14">
        <f>IF(Parameters!$E92&gt;0,PxQ!V88/Parameters!$E92,PxQ!V88/Parameters!$E$101)</f>
        <v>6</v>
      </c>
      <c r="G104" s="14">
        <f>IF(Parameters!$E92&gt;0,PxQ!W88/Parameters!$E92,PxQ!W88/Parameters!$E$101)</f>
        <v>6</v>
      </c>
      <c r="I104" s="1" t="str">
        <f t="shared" si="93"/>
        <v>Asset type 3</v>
      </c>
      <c r="J104" s="4">
        <f t="shared" si="89"/>
        <v>1000</v>
      </c>
      <c r="K104" s="14">
        <f t="shared" ref="K104:O104" si="97">SUM(K121,K136,K151,K166,K181)</f>
        <v>3</v>
      </c>
      <c r="L104" s="14">
        <f t="shared" si="97"/>
        <v>9</v>
      </c>
      <c r="M104" s="14">
        <f t="shared" si="97"/>
        <v>15</v>
      </c>
      <c r="N104" s="14">
        <f t="shared" si="97"/>
        <v>21</v>
      </c>
      <c r="O104" s="14">
        <f t="shared" si="97"/>
        <v>27</v>
      </c>
      <c r="Q104" s="1" t="str">
        <f t="shared" si="95"/>
        <v>Asset type 3</v>
      </c>
      <c r="R104" s="4">
        <f t="shared" si="91"/>
        <v>1000</v>
      </c>
      <c r="S104" s="14">
        <f t="shared" ref="S104:W104" si="98">SUM(S121,S136,S151,S166,S181)</f>
        <v>27</v>
      </c>
      <c r="T104" s="14">
        <f t="shared" si="98"/>
        <v>48</v>
      </c>
      <c r="U104" s="14">
        <f t="shared" si="98"/>
        <v>63</v>
      </c>
      <c r="V104" s="14">
        <f t="shared" si="98"/>
        <v>72</v>
      </c>
      <c r="W104" s="14">
        <f t="shared" si="98"/>
        <v>75</v>
      </c>
    </row>
    <row r="105" spans="1:23" x14ac:dyDescent="0.25">
      <c r="A105" s="1" t="str">
        <f t="shared" si="88"/>
        <v>Asset type 4</v>
      </c>
      <c r="B105" s="1" t="s">
        <v>77</v>
      </c>
      <c r="C105" s="14">
        <f>IF(Parameters!$E93&gt;0,PxQ!S89/Parameters!$E93,PxQ!S89/Parameters!$E$101)</f>
        <v>4</v>
      </c>
      <c r="D105" s="14">
        <f>IF(Parameters!$E93&gt;0,PxQ!T89/Parameters!$E93,PxQ!T89/Parameters!$E$101)</f>
        <v>4</v>
      </c>
      <c r="E105" s="14">
        <f>IF(Parameters!$E93&gt;0,PxQ!U89/Parameters!$E93,PxQ!U89/Parameters!$E$101)</f>
        <v>4</v>
      </c>
      <c r="F105" s="14">
        <f>IF(Parameters!$E93&gt;0,PxQ!V89/Parameters!$E93,PxQ!V89/Parameters!$E$101)</f>
        <v>4</v>
      </c>
      <c r="G105" s="14">
        <f>IF(Parameters!$E93&gt;0,PxQ!W89/Parameters!$E93,PxQ!W89/Parameters!$E$101)</f>
        <v>4</v>
      </c>
      <c r="I105" s="1" t="str">
        <f t="shared" si="93"/>
        <v>Asset type 4</v>
      </c>
      <c r="J105" s="4">
        <f t="shared" si="89"/>
        <v>1000</v>
      </c>
      <c r="K105" s="14">
        <f t="shared" ref="K105:O105" si="99">SUM(K122,K137,K152,K167,K182)</f>
        <v>2</v>
      </c>
      <c r="L105" s="14">
        <f t="shared" si="99"/>
        <v>6</v>
      </c>
      <c r="M105" s="14">
        <f t="shared" si="99"/>
        <v>10</v>
      </c>
      <c r="N105" s="14">
        <f t="shared" si="99"/>
        <v>14</v>
      </c>
      <c r="O105" s="14">
        <f t="shared" si="99"/>
        <v>18</v>
      </c>
      <c r="Q105" s="1" t="str">
        <f t="shared" si="95"/>
        <v>Asset type 4</v>
      </c>
      <c r="R105" s="4">
        <f t="shared" si="91"/>
        <v>1000</v>
      </c>
      <c r="S105" s="14">
        <f t="shared" ref="S105:W105" si="100">SUM(S122,S137,S152,S167,S182)</f>
        <v>18</v>
      </c>
      <c r="T105" s="14">
        <f t="shared" si="100"/>
        <v>32</v>
      </c>
      <c r="U105" s="14">
        <f t="shared" si="100"/>
        <v>42</v>
      </c>
      <c r="V105" s="14">
        <f t="shared" si="100"/>
        <v>48</v>
      </c>
      <c r="W105" s="14">
        <f t="shared" si="100"/>
        <v>50</v>
      </c>
    </row>
    <row r="106" spans="1:23" x14ac:dyDescent="0.25">
      <c r="A106" s="1" t="str">
        <f t="shared" si="88"/>
        <v>Asset type 5</v>
      </c>
      <c r="B106" s="1" t="s">
        <v>77</v>
      </c>
      <c r="C106" s="14">
        <f>IF(Parameters!$E94&gt;0,PxQ!S90/Parameters!$E94,PxQ!S90/Parameters!$E$101)</f>
        <v>2</v>
      </c>
      <c r="D106" s="14">
        <f>IF(Parameters!$E94&gt;0,PxQ!T90/Parameters!$E94,PxQ!T90/Parameters!$E$101)</f>
        <v>2</v>
      </c>
      <c r="E106" s="14">
        <f>IF(Parameters!$E94&gt;0,PxQ!U90/Parameters!$E94,PxQ!U90/Parameters!$E$101)</f>
        <v>2</v>
      </c>
      <c r="F106" s="14">
        <f>IF(Parameters!$E94&gt;0,PxQ!V90/Parameters!$E94,PxQ!V90/Parameters!$E$101)</f>
        <v>2</v>
      </c>
      <c r="G106" s="14">
        <f>IF(Parameters!$E94&gt;0,PxQ!W90/Parameters!$E94,PxQ!W90/Parameters!$E$101)</f>
        <v>2</v>
      </c>
      <c r="I106" s="1" t="str">
        <f t="shared" si="93"/>
        <v>Asset type 5</v>
      </c>
      <c r="J106" s="4">
        <f t="shared" si="89"/>
        <v>1000</v>
      </c>
      <c r="K106" s="14">
        <f t="shared" ref="K106:O106" si="101">SUM(K123,K138,K153,K168,K183)</f>
        <v>1</v>
      </c>
      <c r="L106" s="14">
        <f t="shared" si="101"/>
        <v>3</v>
      </c>
      <c r="M106" s="14">
        <f t="shared" si="101"/>
        <v>5</v>
      </c>
      <c r="N106" s="14">
        <f t="shared" si="101"/>
        <v>7</v>
      </c>
      <c r="O106" s="14">
        <f t="shared" si="101"/>
        <v>9</v>
      </c>
      <c r="Q106" s="1" t="str">
        <f t="shared" si="95"/>
        <v>Asset type 5</v>
      </c>
      <c r="R106" s="4">
        <f t="shared" si="91"/>
        <v>1000</v>
      </c>
      <c r="S106" s="14">
        <f t="shared" ref="S106:W106" si="102">SUM(S123,S138,S153,S168,S183)</f>
        <v>9</v>
      </c>
      <c r="T106" s="14">
        <f t="shared" si="102"/>
        <v>16</v>
      </c>
      <c r="U106" s="14">
        <f t="shared" si="102"/>
        <v>21</v>
      </c>
      <c r="V106" s="14">
        <f t="shared" si="102"/>
        <v>24</v>
      </c>
      <c r="W106" s="14">
        <f t="shared" si="102"/>
        <v>25</v>
      </c>
    </row>
    <row r="107" spans="1:23" x14ac:dyDescent="0.25">
      <c r="A107" s="1" t="str">
        <f t="shared" si="88"/>
        <v>Asset type 6</v>
      </c>
      <c r="B107" s="1" t="s">
        <v>77</v>
      </c>
      <c r="C107" s="14">
        <f>IF(Parameters!$E95&gt;0,PxQ!S91/Parameters!$E95,PxQ!S91/Parameters!$E$101)</f>
        <v>1.8</v>
      </c>
      <c r="D107" s="14">
        <f>IF(Parameters!$E95&gt;0,PxQ!T91/Parameters!$E95,PxQ!T91/Parameters!$E$101)</f>
        <v>1.8</v>
      </c>
      <c r="E107" s="14">
        <f>IF(Parameters!$E95&gt;0,PxQ!U91/Parameters!$E95,PxQ!U91/Parameters!$E$101)</f>
        <v>1.8</v>
      </c>
      <c r="F107" s="14">
        <f>IF(Parameters!$E95&gt;0,PxQ!V91/Parameters!$E95,PxQ!V91/Parameters!$E$101)</f>
        <v>1.8</v>
      </c>
      <c r="G107" s="14">
        <f>IF(Parameters!$E95&gt;0,PxQ!W91/Parameters!$E95,PxQ!W91/Parameters!$E$101)</f>
        <v>1.8</v>
      </c>
      <c r="I107" s="1" t="str">
        <f t="shared" si="93"/>
        <v>Asset type 6</v>
      </c>
      <c r="J107" s="4">
        <f t="shared" si="89"/>
        <v>1000</v>
      </c>
      <c r="K107" s="14">
        <f t="shared" ref="K107:O107" si="103">SUM(K124,K139,K154,K169,K184)</f>
        <v>0.9</v>
      </c>
      <c r="L107" s="14">
        <f t="shared" si="103"/>
        <v>2.7</v>
      </c>
      <c r="M107" s="14">
        <f t="shared" si="103"/>
        <v>4.5</v>
      </c>
      <c r="N107" s="14">
        <f t="shared" si="103"/>
        <v>6.3000000000000007</v>
      </c>
      <c r="O107" s="14">
        <f t="shared" si="103"/>
        <v>8.1</v>
      </c>
      <c r="Q107" s="1" t="str">
        <f t="shared" si="95"/>
        <v>Asset type 6</v>
      </c>
      <c r="R107" s="4">
        <f t="shared" si="91"/>
        <v>1000</v>
      </c>
      <c r="S107" s="14">
        <f t="shared" ref="S107:W107" si="104">SUM(S124,S139,S154,S169,S184)</f>
        <v>8.1</v>
      </c>
      <c r="T107" s="14">
        <f t="shared" si="104"/>
        <v>14.399999999999999</v>
      </c>
      <c r="U107" s="14">
        <f t="shared" si="104"/>
        <v>18.899999999999999</v>
      </c>
      <c r="V107" s="14">
        <f t="shared" si="104"/>
        <v>21.6</v>
      </c>
      <c r="W107" s="14">
        <f t="shared" si="104"/>
        <v>22.5</v>
      </c>
    </row>
    <row r="108" spans="1:23" x14ac:dyDescent="0.25">
      <c r="A108" s="1" t="str">
        <f t="shared" si="88"/>
        <v>Asset type 7</v>
      </c>
      <c r="B108" s="1" t="s">
        <v>77</v>
      </c>
      <c r="C108" s="14">
        <f>IF(Parameters!$E96&gt;0,PxQ!S92/Parameters!$E96,PxQ!S92/Parameters!$E$101)</f>
        <v>1.6</v>
      </c>
      <c r="D108" s="14">
        <f>IF(Parameters!$E96&gt;0,PxQ!T92/Parameters!$E96,PxQ!T92/Parameters!$E$101)</f>
        <v>1.6</v>
      </c>
      <c r="E108" s="14">
        <f>IF(Parameters!$E96&gt;0,PxQ!U92/Parameters!$E96,PxQ!U92/Parameters!$E$101)</f>
        <v>1.6</v>
      </c>
      <c r="F108" s="14">
        <f>IF(Parameters!$E96&gt;0,PxQ!V92/Parameters!$E96,PxQ!V92/Parameters!$E$101)</f>
        <v>1.6</v>
      </c>
      <c r="G108" s="14">
        <f>IF(Parameters!$E96&gt;0,PxQ!W92/Parameters!$E96,PxQ!W92/Parameters!$E$101)</f>
        <v>1.6</v>
      </c>
      <c r="I108" s="1" t="str">
        <f t="shared" si="93"/>
        <v>Asset type 7</v>
      </c>
      <c r="J108" s="4">
        <f t="shared" si="89"/>
        <v>1000</v>
      </c>
      <c r="K108" s="14">
        <f t="shared" ref="K108:O108" si="105">SUM(K125,K140,K155,K170,K185)</f>
        <v>0.8</v>
      </c>
      <c r="L108" s="14">
        <f t="shared" si="105"/>
        <v>2.4000000000000004</v>
      </c>
      <c r="M108" s="14">
        <f t="shared" si="105"/>
        <v>4</v>
      </c>
      <c r="N108" s="14">
        <f t="shared" si="105"/>
        <v>5.6000000000000005</v>
      </c>
      <c r="O108" s="14">
        <f t="shared" si="105"/>
        <v>7.2</v>
      </c>
      <c r="Q108" s="1" t="str">
        <f t="shared" si="95"/>
        <v>Asset type 7</v>
      </c>
      <c r="R108" s="4">
        <f t="shared" si="91"/>
        <v>1000</v>
      </c>
      <c r="S108" s="14">
        <f t="shared" ref="S108:W108" si="106">SUM(S125,S140,S155,S170,S185)</f>
        <v>7.2</v>
      </c>
      <c r="T108" s="14">
        <f t="shared" si="106"/>
        <v>12.8</v>
      </c>
      <c r="U108" s="14">
        <f t="shared" si="106"/>
        <v>16.8</v>
      </c>
      <c r="V108" s="14">
        <f t="shared" si="106"/>
        <v>19.2</v>
      </c>
      <c r="W108" s="14">
        <f t="shared" si="106"/>
        <v>20</v>
      </c>
    </row>
    <row r="109" spans="1:23" x14ac:dyDescent="0.25">
      <c r="A109" s="1" t="str">
        <f t="shared" si="88"/>
        <v>Asset type 8</v>
      </c>
      <c r="B109" s="1" t="s">
        <v>77</v>
      </c>
      <c r="C109" s="14">
        <f>IF(Parameters!$E97&gt;0,PxQ!S93/Parameters!$E97,PxQ!S93/Parameters!$E$101)</f>
        <v>1.4</v>
      </c>
      <c r="D109" s="14">
        <f>IF(Parameters!$E97&gt;0,PxQ!T93/Parameters!$E97,PxQ!T93/Parameters!$E$101)</f>
        <v>1.4</v>
      </c>
      <c r="E109" s="14">
        <f>IF(Parameters!$E97&gt;0,PxQ!U93/Parameters!$E97,PxQ!U93/Parameters!$E$101)</f>
        <v>1.4</v>
      </c>
      <c r="F109" s="14">
        <f>IF(Parameters!$E97&gt;0,PxQ!V93/Parameters!$E97,PxQ!V93/Parameters!$E$101)</f>
        <v>1.4</v>
      </c>
      <c r="G109" s="14">
        <f>IF(Parameters!$E97&gt;0,PxQ!W93/Parameters!$E97,PxQ!W93/Parameters!$E$101)</f>
        <v>1.4</v>
      </c>
      <c r="I109" s="1" t="str">
        <f t="shared" si="93"/>
        <v>Asset type 8</v>
      </c>
      <c r="J109" s="4">
        <f t="shared" si="89"/>
        <v>1000</v>
      </c>
      <c r="K109" s="14">
        <f t="shared" ref="K109:O109" si="107">SUM(K126,K141,K156,K171,K186)</f>
        <v>0.7</v>
      </c>
      <c r="L109" s="14">
        <f t="shared" si="107"/>
        <v>2.0999999999999996</v>
      </c>
      <c r="M109" s="14">
        <f t="shared" si="107"/>
        <v>3.5</v>
      </c>
      <c r="N109" s="14">
        <f t="shared" si="107"/>
        <v>4.8999999999999995</v>
      </c>
      <c r="O109" s="14">
        <f t="shared" si="107"/>
        <v>6.3</v>
      </c>
      <c r="Q109" s="1" t="str">
        <f t="shared" si="95"/>
        <v>Asset type 8</v>
      </c>
      <c r="R109" s="4">
        <f t="shared" si="91"/>
        <v>1000</v>
      </c>
      <c r="S109" s="14">
        <f t="shared" ref="S109:W109" si="108">SUM(S126,S141,S156,S171,S186)</f>
        <v>6.3</v>
      </c>
      <c r="T109" s="14">
        <f t="shared" si="108"/>
        <v>11.2</v>
      </c>
      <c r="U109" s="14">
        <f t="shared" si="108"/>
        <v>14.7</v>
      </c>
      <c r="V109" s="14">
        <f t="shared" si="108"/>
        <v>16.8</v>
      </c>
      <c r="W109" s="14">
        <f t="shared" si="108"/>
        <v>17.500000000000004</v>
      </c>
    </row>
    <row r="110" spans="1:23" x14ac:dyDescent="0.25">
      <c r="A110" s="1" t="str">
        <f t="shared" si="88"/>
        <v>Asset type 9</v>
      </c>
      <c r="B110" s="1" t="s">
        <v>77</v>
      </c>
      <c r="C110" s="14">
        <f>IF(Parameters!$E98&gt;0,PxQ!S94/Parameters!$E98,PxQ!S94/Parameters!$E$101)</f>
        <v>1.2</v>
      </c>
      <c r="D110" s="14">
        <f>IF(Parameters!$E98&gt;0,PxQ!T94/Parameters!$E98,PxQ!T94/Parameters!$E$101)</f>
        <v>1.2</v>
      </c>
      <c r="E110" s="14">
        <f>IF(Parameters!$E98&gt;0,PxQ!U94/Parameters!$E98,PxQ!U94/Parameters!$E$101)</f>
        <v>1.2</v>
      </c>
      <c r="F110" s="14">
        <f>IF(Parameters!$E98&gt;0,PxQ!V94/Parameters!$E98,PxQ!V94/Parameters!$E$101)</f>
        <v>1.2</v>
      </c>
      <c r="G110" s="14">
        <f>IF(Parameters!$E98&gt;0,PxQ!W94/Parameters!$E98,PxQ!W94/Parameters!$E$101)</f>
        <v>1.2</v>
      </c>
      <c r="I110" s="1" t="str">
        <f t="shared" si="93"/>
        <v>Asset type 9</v>
      </c>
      <c r="J110" s="4">
        <f t="shared" si="89"/>
        <v>1000</v>
      </c>
      <c r="K110" s="14">
        <f t="shared" ref="K110:O111" si="109">SUM(K127,K142,K157,K172,K187)</f>
        <v>0.6</v>
      </c>
      <c r="L110" s="14">
        <f t="shared" si="109"/>
        <v>1.7999999999999998</v>
      </c>
      <c r="M110" s="14">
        <f t="shared" si="109"/>
        <v>3</v>
      </c>
      <c r="N110" s="14">
        <f t="shared" si="109"/>
        <v>4.1999999999999993</v>
      </c>
      <c r="O110" s="14">
        <f t="shared" si="109"/>
        <v>5.3999999999999995</v>
      </c>
      <c r="Q110" s="1" t="str">
        <f t="shared" si="95"/>
        <v>Asset type 9</v>
      </c>
      <c r="R110" s="4">
        <f t="shared" si="91"/>
        <v>1000</v>
      </c>
      <c r="S110" s="14">
        <f t="shared" ref="S110:W110" si="110">SUM(S127,S142,S157,S172,S187)</f>
        <v>5.4</v>
      </c>
      <c r="T110" s="14">
        <f t="shared" si="110"/>
        <v>9.6000000000000014</v>
      </c>
      <c r="U110" s="14">
        <f t="shared" si="110"/>
        <v>12.600000000000001</v>
      </c>
      <c r="V110" s="14">
        <f t="shared" si="110"/>
        <v>14.4</v>
      </c>
      <c r="W110" s="14">
        <f t="shared" si="110"/>
        <v>15</v>
      </c>
    </row>
    <row r="111" spans="1:23" x14ac:dyDescent="0.25">
      <c r="A111" s="1" t="str">
        <f t="shared" si="88"/>
        <v>Asset type 10</v>
      </c>
      <c r="B111" s="1" t="s">
        <v>77</v>
      </c>
      <c r="C111" s="14">
        <f>IF(Parameters!$E99&gt;0,PxQ!S95/Parameters!$E99,PxQ!S95/Parameters!$E$101)</f>
        <v>1</v>
      </c>
      <c r="D111" s="14">
        <f>IF(Parameters!$E99&gt;0,PxQ!T95/Parameters!$E99,PxQ!T95/Parameters!$E$101)</f>
        <v>1</v>
      </c>
      <c r="E111" s="14">
        <f>IF(Parameters!$E99&gt;0,PxQ!U95/Parameters!$E99,PxQ!U95/Parameters!$E$101)</f>
        <v>1</v>
      </c>
      <c r="F111" s="14">
        <f>IF(Parameters!$E99&gt;0,PxQ!V95/Parameters!$E99,PxQ!V95/Parameters!$E$101)</f>
        <v>1</v>
      </c>
      <c r="G111" s="14">
        <f>IF(Parameters!$E99&gt;0,PxQ!W95/Parameters!$E99,PxQ!W95/Parameters!$E$101)</f>
        <v>1</v>
      </c>
      <c r="I111" s="1" t="str">
        <f t="shared" si="93"/>
        <v>Asset type 10</v>
      </c>
      <c r="J111" s="4">
        <f t="shared" si="89"/>
        <v>1000</v>
      </c>
      <c r="K111" s="14">
        <f>SUM(K128,K143,K158,K173,K188)</f>
        <v>0.5</v>
      </c>
      <c r="L111" s="14">
        <f t="shared" si="109"/>
        <v>1.5</v>
      </c>
      <c r="M111" s="14">
        <f t="shared" si="109"/>
        <v>2.5</v>
      </c>
      <c r="N111" s="14">
        <f t="shared" si="109"/>
        <v>3.5</v>
      </c>
      <c r="O111" s="14">
        <f t="shared" si="109"/>
        <v>4.5</v>
      </c>
      <c r="Q111" s="1" t="str">
        <f t="shared" si="95"/>
        <v>Asset type 10</v>
      </c>
      <c r="R111" s="4">
        <f t="shared" si="91"/>
        <v>1000</v>
      </c>
      <c r="S111" s="14">
        <f>SUM(S128,S143,S158,S173,S188)</f>
        <v>4.5</v>
      </c>
      <c r="T111" s="14">
        <f t="shared" ref="T111:W111" si="111">SUM(T128,T143,T158,T173,T188)</f>
        <v>8</v>
      </c>
      <c r="U111" s="14">
        <f t="shared" si="111"/>
        <v>10.5</v>
      </c>
      <c r="V111" s="14">
        <f t="shared" si="111"/>
        <v>12</v>
      </c>
      <c r="W111" s="14">
        <f t="shared" si="111"/>
        <v>12.5</v>
      </c>
    </row>
    <row r="117" spans="9:23" ht="18" thickBot="1" x14ac:dyDescent="0.35">
      <c r="I117" s="15" t="s">
        <v>70</v>
      </c>
      <c r="K117" s="11">
        <f>K100</f>
        <v>2016</v>
      </c>
      <c r="L117" s="11">
        <f t="shared" ref="L117:O117" si="112">L100</f>
        <v>2017</v>
      </c>
      <c r="M117" s="11">
        <f t="shared" si="112"/>
        <v>2018</v>
      </c>
      <c r="N117" s="11">
        <f t="shared" si="112"/>
        <v>2019</v>
      </c>
      <c r="O117" s="11">
        <f t="shared" si="112"/>
        <v>2020</v>
      </c>
      <c r="Q117" s="15" t="s">
        <v>75</v>
      </c>
      <c r="S117" s="11">
        <f>S100</f>
        <v>2016</v>
      </c>
      <c r="T117" s="11">
        <f t="shared" ref="T117:W117" si="113">T100</f>
        <v>2017</v>
      </c>
      <c r="U117" s="11">
        <f t="shared" si="113"/>
        <v>2018</v>
      </c>
      <c r="V117" s="11">
        <f t="shared" si="113"/>
        <v>2019</v>
      </c>
      <c r="W117" s="11">
        <f t="shared" si="113"/>
        <v>2020</v>
      </c>
    </row>
    <row r="118" spans="9:23" ht="16.5" thickTop="1" x14ac:dyDescent="0.25"/>
    <row r="119" spans="9:23" x14ac:dyDescent="0.25">
      <c r="I119" s="1" t="str">
        <f>A86</f>
        <v>Asset type 1</v>
      </c>
      <c r="J119" s="4">
        <f t="shared" ref="J119:J128" si="114">$R$6</f>
        <v>1000</v>
      </c>
      <c r="K119" s="14">
        <f t="shared" ref="K119:K128" si="115">C102/2</f>
        <v>2.5</v>
      </c>
      <c r="L119" s="14">
        <f>IF($S86-SUM($K119:K119)&gt;$C102,$C102,$S86-SUM($K119:K119))</f>
        <v>5</v>
      </c>
      <c r="M119" s="14">
        <f>IF($S86-SUM($K119:L119)&gt;$C102,$C102,$S86-SUM($K119:L119))</f>
        <v>5</v>
      </c>
      <c r="N119" s="14">
        <f>IF($S86-SUM($K119:M119)&gt;$C102,$C102,$S86-SUM($K119:M119))</f>
        <v>5</v>
      </c>
      <c r="O119" s="14">
        <f>IF($S86-SUM($K119:N119)&gt;$C102,$C102,$S86-SUM($K119:N119))</f>
        <v>5</v>
      </c>
      <c r="Q119" s="1" t="str">
        <f>Q102</f>
        <v>Asset type 1</v>
      </c>
      <c r="R119" s="4">
        <f t="shared" ref="R119:R128" si="116">$R$6</f>
        <v>1000</v>
      </c>
      <c r="S119" s="14">
        <f>$S86-SUM($K119:K119)</f>
        <v>47.5</v>
      </c>
      <c r="T119" s="14">
        <f>$S86-SUM($K119:L119)</f>
        <v>42.5</v>
      </c>
      <c r="U119" s="14">
        <f>$S86-SUM($K119:M119)</f>
        <v>37.5</v>
      </c>
      <c r="V119" s="14">
        <f>$S86-SUM($K119:N119)</f>
        <v>32.5</v>
      </c>
      <c r="W119" s="14">
        <f>$S86-SUM($K119:O119)</f>
        <v>27.5</v>
      </c>
    </row>
    <row r="120" spans="9:23" x14ac:dyDescent="0.25">
      <c r="I120" s="1" t="str">
        <f t="shared" ref="I120:I128" si="117">A87</f>
        <v>Asset type 2</v>
      </c>
      <c r="J120" s="4">
        <f t="shared" si="114"/>
        <v>1000</v>
      </c>
      <c r="K120" s="14">
        <f t="shared" si="115"/>
        <v>4</v>
      </c>
      <c r="L120" s="14">
        <f>IF($S87-SUM($K120:K120)&gt;$C103,$C103,$S87-SUM($K120:K120))</f>
        <v>8</v>
      </c>
      <c r="M120" s="14">
        <f>IF($S87-SUM($K120:L120)&gt;$C103,$C103,$S87-SUM($K120:L120))</f>
        <v>8</v>
      </c>
      <c r="N120" s="14">
        <f>IF($S87-SUM($K120:M120)&gt;$C103,$C103,$S87-SUM($K120:M120))</f>
        <v>8</v>
      </c>
      <c r="O120" s="14">
        <f>IF($S87-SUM($K120:N120)&gt;$C103,$C103,$S87-SUM($K120:N120))</f>
        <v>8</v>
      </c>
      <c r="Q120" s="1" t="str">
        <f t="shared" ref="Q120:Q128" si="118">Q103</f>
        <v>Asset type 2</v>
      </c>
      <c r="R120" s="4">
        <f t="shared" si="116"/>
        <v>1000</v>
      </c>
      <c r="S120" s="14">
        <f>$S87-SUM($K120:K120)</f>
        <v>36</v>
      </c>
      <c r="T120" s="14">
        <f>$S87-SUM($K120:L120)</f>
        <v>28</v>
      </c>
      <c r="U120" s="14">
        <f>$S87-SUM($K120:M120)</f>
        <v>20</v>
      </c>
      <c r="V120" s="14">
        <f>$S87-SUM($K120:N120)</f>
        <v>12</v>
      </c>
      <c r="W120" s="14">
        <f>$S87-SUM($K120:O120)</f>
        <v>4</v>
      </c>
    </row>
    <row r="121" spans="9:23" x14ac:dyDescent="0.25">
      <c r="I121" s="1" t="str">
        <f t="shared" si="117"/>
        <v>Asset type 3</v>
      </c>
      <c r="J121" s="4">
        <f t="shared" si="114"/>
        <v>1000</v>
      </c>
      <c r="K121" s="14">
        <f t="shared" si="115"/>
        <v>3</v>
      </c>
      <c r="L121" s="14">
        <f>IF($S88-SUM($K121:K121)&gt;$C104,$C104,$S88-SUM($K121:K121))</f>
        <v>6</v>
      </c>
      <c r="M121" s="14">
        <f>IF($S88-SUM($K121:L121)&gt;$C104,$C104,$S88-SUM($K121:L121))</f>
        <v>6</v>
      </c>
      <c r="N121" s="14">
        <f>IF($S88-SUM($K121:M121)&gt;$C104,$C104,$S88-SUM($K121:M121))</f>
        <v>6</v>
      </c>
      <c r="O121" s="14">
        <f>IF($S88-SUM($K121:N121)&gt;$C104,$C104,$S88-SUM($K121:N121))</f>
        <v>6</v>
      </c>
      <c r="Q121" s="1" t="str">
        <f t="shared" si="118"/>
        <v>Asset type 3</v>
      </c>
      <c r="R121" s="4">
        <f t="shared" si="116"/>
        <v>1000</v>
      </c>
      <c r="S121" s="14">
        <f>$S88-SUM($K121:K121)</f>
        <v>27</v>
      </c>
      <c r="T121" s="14">
        <f>$S88-SUM($K121:L121)</f>
        <v>21</v>
      </c>
      <c r="U121" s="14">
        <f>$S88-SUM($K121:M121)</f>
        <v>15</v>
      </c>
      <c r="V121" s="14">
        <f>$S88-SUM($K121:N121)</f>
        <v>9</v>
      </c>
      <c r="W121" s="14">
        <f>$S88-SUM($K121:O121)</f>
        <v>3</v>
      </c>
    </row>
    <row r="122" spans="9:23" x14ac:dyDescent="0.25">
      <c r="I122" s="1" t="str">
        <f t="shared" si="117"/>
        <v>Asset type 4</v>
      </c>
      <c r="J122" s="4">
        <f t="shared" si="114"/>
        <v>1000</v>
      </c>
      <c r="K122" s="14">
        <f t="shared" si="115"/>
        <v>2</v>
      </c>
      <c r="L122" s="14">
        <f>IF($S89-SUM($K122:K122)&gt;$C105,$C105,$S89-SUM($K122:K122))</f>
        <v>4</v>
      </c>
      <c r="M122" s="14">
        <f>IF($S89-SUM($K122:L122)&gt;$C105,$C105,$S89-SUM($K122:L122))</f>
        <v>4</v>
      </c>
      <c r="N122" s="14">
        <f>IF($S89-SUM($K122:M122)&gt;$C105,$C105,$S89-SUM($K122:M122))</f>
        <v>4</v>
      </c>
      <c r="O122" s="14">
        <f>IF($S89-SUM($K122:N122)&gt;$C105,$C105,$S89-SUM($K122:N122))</f>
        <v>4</v>
      </c>
      <c r="Q122" s="1" t="str">
        <f t="shared" si="118"/>
        <v>Asset type 4</v>
      </c>
      <c r="R122" s="4">
        <f t="shared" si="116"/>
        <v>1000</v>
      </c>
      <c r="S122" s="14">
        <f>$S89-SUM($K122:K122)</f>
        <v>18</v>
      </c>
      <c r="T122" s="14">
        <f>$S89-SUM($K122:L122)</f>
        <v>14</v>
      </c>
      <c r="U122" s="14">
        <f>$S89-SUM($K122:M122)</f>
        <v>10</v>
      </c>
      <c r="V122" s="14">
        <f>$S89-SUM($K122:N122)</f>
        <v>6</v>
      </c>
      <c r="W122" s="14">
        <f>$S89-SUM($K122:O122)</f>
        <v>2</v>
      </c>
    </row>
    <row r="123" spans="9:23" x14ac:dyDescent="0.25">
      <c r="I123" s="1" t="str">
        <f t="shared" si="117"/>
        <v>Asset type 5</v>
      </c>
      <c r="J123" s="4">
        <f t="shared" si="114"/>
        <v>1000</v>
      </c>
      <c r="K123" s="14">
        <f t="shared" si="115"/>
        <v>1</v>
      </c>
      <c r="L123" s="14">
        <f>IF($S90-SUM($K123:K123)&gt;$C106,$C106,$S90-SUM($K123:K123))</f>
        <v>2</v>
      </c>
      <c r="M123" s="14">
        <f>IF($S90-SUM($K123:L123)&gt;$C106,$C106,$S90-SUM($K123:L123))</f>
        <v>2</v>
      </c>
      <c r="N123" s="14">
        <f>IF($S90-SUM($K123:M123)&gt;$C106,$C106,$S90-SUM($K123:M123))</f>
        <v>2</v>
      </c>
      <c r="O123" s="14">
        <f>IF($S90-SUM($K123:N123)&gt;$C106,$C106,$S90-SUM($K123:N123))</f>
        <v>2</v>
      </c>
      <c r="Q123" s="1" t="str">
        <f t="shared" si="118"/>
        <v>Asset type 5</v>
      </c>
      <c r="R123" s="4">
        <f t="shared" si="116"/>
        <v>1000</v>
      </c>
      <c r="S123" s="14">
        <f>$S90-SUM($K123:K123)</f>
        <v>9</v>
      </c>
      <c r="T123" s="14">
        <f>$S90-SUM($K123:L123)</f>
        <v>7</v>
      </c>
      <c r="U123" s="14">
        <f>$S90-SUM($K123:M123)</f>
        <v>5</v>
      </c>
      <c r="V123" s="14">
        <f>$S90-SUM($K123:N123)</f>
        <v>3</v>
      </c>
      <c r="W123" s="14">
        <f>$S90-SUM($K123:O123)</f>
        <v>1</v>
      </c>
    </row>
    <row r="124" spans="9:23" x14ac:dyDescent="0.25">
      <c r="I124" s="1" t="str">
        <f t="shared" si="117"/>
        <v>Asset type 6</v>
      </c>
      <c r="J124" s="4">
        <f t="shared" si="114"/>
        <v>1000</v>
      </c>
      <c r="K124" s="14">
        <f t="shared" si="115"/>
        <v>0.9</v>
      </c>
      <c r="L124" s="14">
        <f>IF($S91-SUM($K124:K124)&gt;$C107,$C107,$S91-SUM($K124:K124))</f>
        <v>1.8</v>
      </c>
      <c r="M124" s="14">
        <f>IF($S91-SUM($K124:L124)&gt;$C107,$C107,$S91-SUM($K124:L124))</f>
        <v>1.8</v>
      </c>
      <c r="N124" s="14">
        <f>IF($S91-SUM($K124:M124)&gt;$C107,$C107,$S91-SUM($K124:M124))</f>
        <v>1.8</v>
      </c>
      <c r="O124" s="14">
        <f>IF($S91-SUM($K124:N124)&gt;$C107,$C107,$S91-SUM($K124:N124))</f>
        <v>1.8</v>
      </c>
      <c r="Q124" s="1" t="str">
        <f t="shared" si="118"/>
        <v>Asset type 6</v>
      </c>
      <c r="R124" s="4">
        <f t="shared" si="116"/>
        <v>1000</v>
      </c>
      <c r="S124" s="14">
        <f>$S91-SUM($K124:K124)</f>
        <v>8.1</v>
      </c>
      <c r="T124" s="14">
        <f>$S91-SUM($K124:L124)</f>
        <v>6.3</v>
      </c>
      <c r="U124" s="14">
        <f>$S91-SUM($K124:M124)</f>
        <v>4.5</v>
      </c>
      <c r="V124" s="14">
        <f>$S91-SUM($K124:N124)</f>
        <v>2.7</v>
      </c>
      <c r="W124" s="14">
        <f>$S91-SUM($K124:O124)</f>
        <v>0.90000000000000036</v>
      </c>
    </row>
    <row r="125" spans="9:23" x14ac:dyDescent="0.25">
      <c r="I125" s="1" t="str">
        <f t="shared" si="117"/>
        <v>Asset type 7</v>
      </c>
      <c r="J125" s="4">
        <f t="shared" si="114"/>
        <v>1000</v>
      </c>
      <c r="K125" s="14">
        <f t="shared" si="115"/>
        <v>0.8</v>
      </c>
      <c r="L125" s="14">
        <f>IF($S92-SUM($K125:K125)&gt;$C108,$C108,$S92-SUM($K125:K125))</f>
        <v>1.6</v>
      </c>
      <c r="M125" s="14">
        <f>IF($S92-SUM($K125:L125)&gt;$C108,$C108,$S92-SUM($K125:L125))</f>
        <v>1.6</v>
      </c>
      <c r="N125" s="14">
        <f>IF($S92-SUM($K125:M125)&gt;$C108,$C108,$S92-SUM($K125:M125))</f>
        <v>1.6</v>
      </c>
      <c r="O125" s="14">
        <f>IF($S92-SUM($K125:N125)&gt;$C108,$C108,$S92-SUM($K125:N125))</f>
        <v>1.6</v>
      </c>
      <c r="Q125" s="1" t="str">
        <f t="shared" si="118"/>
        <v>Asset type 7</v>
      </c>
      <c r="R125" s="4">
        <f t="shared" si="116"/>
        <v>1000</v>
      </c>
      <c r="S125" s="14">
        <f>$S92-SUM($K125:K125)</f>
        <v>7.2</v>
      </c>
      <c r="T125" s="14">
        <f>$S92-SUM($K125:L125)</f>
        <v>5.6</v>
      </c>
      <c r="U125" s="14">
        <f>$S92-SUM($K125:M125)</f>
        <v>4</v>
      </c>
      <c r="V125" s="14">
        <f>$S92-SUM($K125:N125)</f>
        <v>2.4000000000000004</v>
      </c>
      <c r="W125" s="14">
        <f>$S92-SUM($K125:O125)</f>
        <v>0.80000000000000071</v>
      </c>
    </row>
    <row r="126" spans="9:23" x14ac:dyDescent="0.25">
      <c r="I126" s="1" t="str">
        <f t="shared" si="117"/>
        <v>Asset type 8</v>
      </c>
      <c r="J126" s="4">
        <f t="shared" si="114"/>
        <v>1000</v>
      </c>
      <c r="K126" s="14">
        <f t="shared" si="115"/>
        <v>0.7</v>
      </c>
      <c r="L126" s="14">
        <f>IF($S93-SUM($K126:K126)&gt;$C109,$C109,$S93-SUM($K126:K126))</f>
        <v>1.4</v>
      </c>
      <c r="M126" s="14">
        <f>IF($S93-SUM($K126:L126)&gt;$C109,$C109,$S93-SUM($K126:L126))</f>
        <v>1.4</v>
      </c>
      <c r="N126" s="14">
        <f>IF($S93-SUM($K126:M126)&gt;$C109,$C109,$S93-SUM($K126:M126))</f>
        <v>1.4</v>
      </c>
      <c r="O126" s="14">
        <f>IF($S93-SUM($K126:N126)&gt;$C109,$C109,$S93-SUM($K126:N126))</f>
        <v>1.4</v>
      </c>
      <c r="Q126" s="1" t="str">
        <f t="shared" si="118"/>
        <v>Asset type 8</v>
      </c>
      <c r="R126" s="4">
        <f t="shared" si="116"/>
        <v>1000</v>
      </c>
      <c r="S126" s="14">
        <f>$S93-SUM($K126:K126)</f>
        <v>6.3</v>
      </c>
      <c r="T126" s="14">
        <f>$S93-SUM($K126:L126)</f>
        <v>4.9000000000000004</v>
      </c>
      <c r="U126" s="14">
        <f>$S93-SUM($K126:M126)</f>
        <v>3.5000000000000004</v>
      </c>
      <c r="V126" s="14">
        <f>$S93-SUM($K126:N126)</f>
        <v>2.1000000000000005</v>
      </c>
      <c r="W126" s="14">
        <f>$S93-SUM($K126:O126)</f>
        <v>0.70000000000000107</v>
      </c>
    </row>
    <row r="127" spans="9:23" x14ac:dyDescent="0.25">
      <c r="I127" s="1" t="str">
        <f t="shared" si="117"/>
        <v>Asset type 9</v>
      </c>
      <c r="J127" s="4">
        <f t="shared" si="114"/>
        <v>1000</v>
      </c>
      <c r="K127" s="14">
        <f t="shared" si="115"/>
        <v>0.6</v>
      </c>
      <c r="L127" s="14">
        <f>IF($S94-SUM($K127:K127)&gt;$C110,$C110,$S94-SUM($K127:K127))</f>
        <v>1.2</v>
      </c>
      <c r="M127" s="14">
        <f>IF($S94-SUM($K127:L127)&gt;$C110,$C110,$S94-SUM($K127:L127))</f>
        <v>1.2</v>
      </c>
      <c r="N127" s="14">
        <f>IF($S94-SUM($K127:M127)&gt;$C110,$C110,$S94-SUM($K127:M127))</f>
        <v>1.2</v>
      </c>
      <c r="O127" s="14">
        <f>IF($S94-SUM($K127:N127)&gt;$C110,$C110,$S94-SUM($K127:N127))</f>
        <v>1.2</v>
      </c>
      <c r="Q127" s="1" t="str">
        <f t="shared" si="118"/>
        <v>Asset type 9</v>
      </c>
      <c r="R127" s="4">
        <f t="shared" si="116"/>
        <v>1000</v>
      </c>
      <c r="S127" s="14">
        <f>$S94-SUM($K127:K127)</f>
        <v>5.4</v>
      </c>
      <c r="T127" s="14">
        <f>$S94-SUM($K127:L127)</f>
        <v>4.2</v>
      </c>
      <c r="U127" s="14">
        <f>$S94-SUM($K127:M127)</f>
        <v>3</v>
      </c>
      <c r="V127" s="14">
        <f>$S94-SUM($K127:N127)</f>
        <v>1.7999999999999998</v>
      </c>
      <c r="W127" s="14">
        <f>$S94-SUM($K127:O127)</f>
        <v>0.59999999999999964</v>
      </c>
    </row>
    <row r="128" spans="9:23" x14ac:dyDescent="0.25">
      <c r="I128" s="1" t="str">
        <f t="shared" si="117"/>
        <v>Asset type 10</v>
      </c>
      <c r="J128" s="4">
        <f t="shared" si="114"/>
        <v>1000</v>
      </c>
      <c r="K128" s="14">
        <f t="shared" si="115"/>
        <v>0.5</v>
      </c>
      <c r="L128" s="14">
        <f>IF($S95-SUM($K128:K128)&gt;$C111,$C111,$S95-SUM($K128:K128))</f>
        <v>1</v>
      </c>
      <c r="M128" s="14">
        <f>IF($S95-SUM($K128:L128)&gt;$C111,$C111,$S95-SUM($K128:L128))</f>
        <v>1</v>
      </c>
      <c r="N128" s="14">
        <f>IF($S95-SUM($K128:M128)&gt;$C111,$C111,$S95-SUM($K128:M128))</f>
        <v>1</v>
      </c>
      <c r="O128" s="14">
        <f>IF($S95-SUM($K128:N128)&gt;$C111,$C111,$S95-SUM($K128:N128))</f>
        <v>1</v>
      </c>
      <c r="Q128" s="1" t="str">
        <f t="shared" si="118"/>
        <v>Asset type 10</v>
      </c>
      <c r="R128" s="4">
        <f t="shared" si="116"/>
        <v>1000</v>
      </c>
      <c r="S128" s="14">
        <f>$S95-SUM($K128:K128)</f>
        <v>4.5</v>
      </c>
      <c r="T128" s="14">
        <f>$S95-SUM($K128:L128)</f>
        <v>3.5</v>
      </c>
      <c r="U128" s="14">
        <f>$S95-SUM($K128:M128)</f>
        <v>2.5</v>
      </c>
      <c r="V128" s="14">
        <f>$S95-SUM($K128:N128)</f>
        <v>1.5</v>
      </c>
      <c r="W128" s="14">
        <f>$S95-SUM($K128:O128)</f>
        <v>0.5</v>
      </c>
    </row>
    <row r="132" spans="9:23" ht="18" thickBot="1" x14ac:dyDescent="0.35">
      <c r="I132" s="15" t="s">
        <v>71</v>
      </c>
      <c r="K132" s="11">
        <f>K117</f>
        <v>2016</v>
      </c>
      <c r="L132" s="11">
        <f t="shared" ref="L132:O132" si="119">L117</f>
        <v>2017</v>
      </c>
      <c r="M132" s="11">
        <f t="shared" si="119"/>
        <v>2018</v>
      </c>
      <c r="N132" s="11">
        <f t="shared" si="119"/>
        <v>2019</v>
      </c>
      <c r="O132" s="11">
        <f t="shared" si="119"/>
        <v>2020</v>
      </c>
      <c r="Q132" s="15" t="s">
        <v>76</v>
      </c>
      <c r="S132" s="11">
        <f>S117</f>
        <v>2016</v>
      </c>
      <c r="T132" s="11">
        <f t="shared" ref="T132:W132" si="120">T117</f>
        <v>2017</v>
      </c>
      <c r="U132" s="11">
        <f t="shared" si="120"/>
        <v>2018</v>
      </c>
      <c r="V132" s="11">
        <f t="shared" si="120"/>
        <v>2019</v>
      </c>
      <c r="W132" s="11">
        <f t="shared" si="120"/>
        <v>2020</v>
      </c>
    </row>
    <row r="133" spans="9:23" ht="16.5" thickTop="1" x14ac:dyDescent="0.25"/>
    <row r="134" spans="9:23" x14ac:dyDescent="0.25">
      <c r="I134" s="1" t="str">
        <f>A86</f>
        <v>Asset type 1</v>
      </c>
      <c r="J134" s="4">
        <f t="shared" ref="J134:J143" si="121">$R$6</f>
        <v>1000</v>
      </c>
      <c r="L134" s="14">
        <f>D102/2</f>
        <v>2.5</v>
      </c>
      <c r="M134" s="14">
        <f>IF($T86-SUM($L134:L134)&gt;$D102,$D102,$T86-SUM($L134:L134))</f>
        <v>5</v>
      </c>
      <c r="N134" s="14">
        <f>IF($T86-SUM($L134:M134)&gt;$D102,$D102,$T86-SUM($L134:M134))</f>
        <v>5</v>
      </c>
      <c r="O134" s="14">
        <f>IF($T86-SUM($L134:N134)&gt;$D102,$D102,$T86-SUM($L134:N134))</f>
        <v>5</v>
      </c>
      <c r="Q134" s="1" t="str">
        <f>Q119</f>
        <v>Asset type 1</v>
      </c>
      <c r="R134" s="4">
        <f t="shared" ref="R134:R143" si="122">$R$6</f>
        <v>1000</v>
      </c>
      <c r="T134" s="14">
        <f>$T86-SUM($L134:L134)</f>
        <v>47.5</v>
      </c>
      <c r="U134" s="14">
        <f>$T86-SUM($L134:M134)</f>
        <v>42.5</v>
      </c>
      <c r="V134" s="14">
        <f>$T86-SUM($L134:N134)</f>
        <v>37.5</v>
      </c>
      <c r="W134" s="14">
        <f>$T86-SUM($L134:O134)</f>
        <v>32.5</v>
      </c>
    </row>
    <row r="135" spans="9:23" x14ac:dyDescent="0.25">
      <c r="I135" s="1" t="str">
        <f t="shared" ref="I135:I143" si="123">A87</f>
        <v>Asset type 2</v>
      </c>
      <c r="J135" s="4">
        <f t="shared" si="121"/>
        <v>1000</v>
      </c>
      <c r="L135" s="14">
        <f t="shared" ref="L135:L143" si="124">D103/2</f>
        <v>4</v>
      </c>
      <c r="M135" s="14">
        <f>IF($T87-SUM($L135:L135)&gt;$D103,$D103,$T87-SUM($L135:L135))</f>
        <v>8</v>
      </c>
      <c r="N135" s="14">
        <f>IF($T87-SUM($L135:M135)&gt;$D103,$D103,$T87-SUM($L135:M135))</f>
        <v>8</v>
      </c>
      <c r="O135" s="14">
        <f>IF($T87-SUM($L135:N135)&gt;$D103,$D103,$T87-SUM($L135:N135))</f>
        <v>8</v>
      </c>
      <c r="Q135" s="1" t="str">
        <f t="shared" ref="Q135:Q143" si="125">Q120</f>
        <v>Asset type 2</v>
      </c>
      <c r="R135" s="4">
        <f t="shared" si="122"/>
        <v>1000</v>
      </c>
      <c r="T135" s="14">
        <f>$T87-SUM($L135:L135)</f>
        <v>36</v>
      </c>
      <c r="U135" s="14">
        <f>$T87-SUM($L135:M135)</f>
        <v>28</v>
      </c>
      <c r="V135" s="14">
        <f>$T87-SUM($L135:N135)</f>
        <v>20</v>
      </c>
      <c r="W135" s="14">
        <f>$T87-SUM($L135:O135)</f>
        <v>12</v>
      </c>
    </row>
    <row r="136" spans="9:23" x14ac:dyDescent="0.25">
      <c r="I136" s="1" t="str">
        <f t="shared" si="123"/>
        <v>Asset type 3</v>
      </c>
      <c r="J136" s="4">
        <f t="shared" si="121"/>
        <v>1000</v>
      </c>
      <c r="L136" s="14">
        <f t="shared" si="124"/>
        <v>3</v>
      </c>
      <c r="M136" s="14">
        <f>IF($T88-SUM($L136:L136)&gt;$D104,$D104,$T88-SUM($L136:L136))</f>
        <v>6</v>
      </c>
      <c r="N136" s="14">
        <f>IF($T88-SUM($L136:M136)&gt;$D104,$D104,$T88-SUM($L136:M136))</f>
        <v>6</v>
      </c>
      <c r="O136" s="14">
        <f>IF($T88-SUM($L136:N136)&gt;$D104,$D104,$T88-SUM($L136:N136))</f>
        <v>6</v>
      </c>
      <c r="Q136" s="1" t="str">
        <f t="shared" si="125"/>
        <v>Asset type 3</v>
      </c>
      <c r="R136" s="4">
        <f t="shared" si="122"/>
        <v>1000</v>
      </c>
      <c r="T136" s="14">
        <f>$T88-SUM($L136:L136)</f>
        <v>27</v>
      </c>
      <c r="U136" s="14">
        <f>$T88-SUM($L136:M136)</f>
        <v>21</v>
      </c>
      <c r="V136" s="14">
        <f>$T88-SUM($L136:N136)</f>
        <v>15</v>
      </c>
      <c r="W136" s="14">
        <f>$T88-SUM($L136:O136)</f>
        <v>9</v>
      </c>
    </row>
    <row r="137" spans="9:23" x14ac:dyDescent="0.25">
      <c r="I137" s="1" t="str">
        <f t="shared" si="123"/>
        <v>Asset type 4</v>
      </c>
      <c r="J137" s="4">
        <f t="shared" si="121"/>
        <v>1000</v>
      </c>
      <c r="L137" s="14">
        <f t="shared" si="124"/>
        <v>2</v>
      </c>
      <c r="M137" s="14">
        <f>IF($T89-SUM($L137:L137)&gt;$D105,$D105,$T89-SUM($L137:L137))</f>
        <v>4</v>
      </c>
      <c r="N137" s="14">
        <f>IF($T89-SUM($L137:M137)&gt;$D105,$D105,$T89-SUM($L137:M137))</f>
        <v>4</v>
      </c>
      <c r="O137" s="14">
        <f>IF($T89-SUM($L137:N137)&gt;$D105,$D105,$T89-SUM($L137:N137))</f>
        <v>4</v>
      </c>
      <c r="Q137" s="1" t="str">
        <f t="shared" si="125"/>
        <v>Asset type 4</v>
      </c>
      <c r="R137" s="4">
        <f t="shared" si="122"/>
        <v>1000</v>
      </c>
      <c r="T137" s="14">
        <f>$T89-SUM($L137:L137)</f>
        <v>18</v>
      </c>
      <c r="U137" s="14">
        <f>$T89-SUM($L137:M137)</f>
        <v>14</v>
      </c>
      <c r="V137" s="14">
        <f>$T89-SUM($L137:N137)</f>
        <v>10</v>
      </c>
      <c r="W137" s="14">
        <f>$T89-SUM($L137:O137)</f>
        <v>6</v>
      </c>
    </row>
    <row r="138" spans="9:23" x14ac:dyDescent="0.25">
      <c r="I138" s="1" t="str">
        <f t="shared" si="123"/>
        <v>Asset type 5</v>
      </c>
      <c r="J138" s="4">
        <f t="shared" si="121"/>
        <v>1000</v>
      </c>
      <c r="L138" s="14">
        <f t="shared" si="124"/>
        <v>1</v>
      </c>
      <c r="M138" s="14">
        <f>IF($T90-SUM($L138:L138)&gt;$D106,$D106,$T90-SUM($L138:L138))</f>
        <v>2</v>
      </c>
      <c r="N138" s="14">
        <f>IF($T90-SUM($L138:M138)&gt;$D106,$D106,$T90-SUM($L138:M138))</f>
        <v>2</v>
      </c>
      <c r="O138" s="14">
        <f>IF($T90-SUM($L138:N138)&gt;$D106,$D106,$T90-SUM($L138:N138))</f>
        <v>2</v>
      </c>
      <c r="Q138" s="1" t="str">
        <f t="shared" si="125"/>
        <v>Asset type 5</v>
      </c>
      <c r="R138" s="4">
        <f t="shared" si="122"/>
        <v>1000</v>
      </c>
      <c r="T138" s="14">
        <f>$T90-SUM($L138:L138)</f>
        <v>9</v>
      </c>
      <c r="U138" s="14">
        <f>$T90-SUM($L138:M138)</f>
        <v>7</v>
      </c>
      <c r="V138" s="14">
        <f>$T90-SUM($L138:N138)</f>
        <v>5</v>
      </c>
      <c r="W138" s="14">
        <f>$T90-SUM($L138:O138)</f>
        <v>3</v>
      </c>
    </row>
    <row r="139" spans="9:23" x14ac:dyDescent="0.25">
      <c r="I139" s="1" t="str">
        <f t="shared" si="123"/>
        <v>Asset type 6</v>
      </c>
      <c r="J139" s="4">
        <f t="shared" si="121"/>
        <v>1000</v>
      </c>
      <c r="L139" s="14">
        <f t="shared" si="124"/>
        <v>0.9</v>
      </c>
      <c r="M139" s="14">
        <f>IF($T91-SUM($L139:L139)&gt;$D107,$D107,$T91-SUM($L139:L139))</f>
        <v>1.8</v>
      </c>
      <c r="N139" s="14">
        <f>IF($T91-SUM($L139:M139)&gt;$D107,$D107,$T91-SUM($L139:M139))</f>
        <v>1.8</v>
      </c>
      <c r="O139" s="14">
        <f>IF($T91-SUM($L139:N139)&gt;$D107,$D107,$T91-SUM($L139:N139))</f>
        <v>1.8</v>
      </c>
      <c r="Q139" s="1" t="str">
        <f t="shared" si="125"/>
        <v>Asset type 6</v>
      </c>
      <c r="R139" s="4">
        <f t="shared" si="122"/>
        <v>1000</v>
      </c>
      <c r="T139" s="14">
        <f>$T91-SUM($L139:L139)</f>
        <v>8.1</v>
      </c>
      <c r="U139" s="14">
        <f>$T91-SUM($L139:M139)</f>
        <v>6.3</v>
      </c>
      <c r="V139" s="14">
        <f>$T91-SUM($L139:N139)</f>
        <v>4.5</v>
      </c>
      <c r="W139" s="14">
        <f>$T91-SUM($L139:O139)</f>
        <v>2.7</v>
      </c>
    </row>
    <row r="140" spans="9:23" x14ac:dyDescent="0.25">
      <c r="I140" s="1" t="str">
        <f t="shared" si="123"/>
        <v>Asset type 7</v>
      </c>
      <c r="J140" s="4">
        <f t="shared" si="121"/>
        <v>1000</v>
      </c>
      <c r="L140" s="14">
        <f t="shared" si="124"/>
        <v>0.8</v>
      </c>
      <c r="M140" s="14">
        <f>IF($T92-SUM($L140:L140)&gt;$D108,$D108,$T92-SUM($L140:L140))</f>
        <v>1.6</v>
      </c>
      <c r="N140" s="14">
        <f>IF($T92-SUM($L140:M140)&gt;$D108,$D108,$T92-SUM($L140:M140))</f>
        <v>1.6</v>
      </c>
      <c r="O140" s="14">
        <f>IF($T92-SUM($L140:N140)&gt;$D108,$D108,$T92-SUM($L140:N140))</f>
        <v>1.6</v>
      </c>
      <c r="Q140" s="1" t="str">
        <f t="shared" si="125"/>
        <v>Asset type 7</v>
      </c>
      <c r="R140" s="4">
        <f t="shared" si="122"/>
        <v>1000</v>
      </c>
      <c r="T140" s="14">
        <f>$T92-SUM($L140:L140)</f>
        <v>7.2</v>
      </c>
      <c r="U140" s="14">
        <f>$T92-SUM($L140:M140)</f>
        <v>5.6</v>
      </c>
      <c r="V140" s="14">
        <f>$T92-SUM($L140:N140)</f>
        <v>4</v>
      </c>
      <c r="W140" s="14">
        <f>$T92-SUM($L140:O140)</f>
        <v>2.4000000000000004</v>
      </c>
    </row>
    <row r="141" spans="9:23" x14ac:dyDescent="0.25">
      <c r="I141" s="1" t="str">
        <f t="shared" si="123"/>
        <v>Asset type 8</v>
      </c>
      <c r="J141" s="4">
        <f t="shared" si="121"/>
        <v>1000</v>
      </c>
      <c r="L141" s="14">
        <f t="shared" si="124"/>
        <v>0.7</v>
      </c>
      <c r="M141" s="14">
        <f>IF($T93-SUM($L141:L141)&gt;$D109,$D109,$T93-SUM($L141:L141))</f>
        <v>1.4</v>
      </c>
      <c r="N141" s="14">
        <f>IF($T93-SUM($L141:M141)&gt;$D109,$D109,$T93-SUM($L141:M141))</f>
        <v>1.4</v>
      </c>
      <c r="O141" s="14">
        <f>IF($T93-SUM($L141:N141)&gt;$D109,$D109,$T93-SUM($L141:N141))</f>
        <v>1.4</v>
      </c>
      <c r="Q141" s="1" t="str">
        <f t="shared" si="125"/>
        <v>Asset type 8</v>
      </c>
      <c r="R141" s="4">
        <f t="shared" si="122"/>
        <v>1000</v>
      </c>
      <c r="T141" s="14">
        <f>$T93-SUM($L141:L141)</f>
        <v>6.3</v>
      </c>
      <c r="U141" s="14">
        <f>$T93-SUM($L141:M141)</f>
        <v>4.9000000000000004</v>
      </c>
      <c r="V141" s="14">
        <f>$T93-SUM($L141:N141)</f>
        <v>3.5000000000000004</v>
      </c>
      <c r="W141" s="14">
        <f>$T93-SUM($L141:O141)</f>
        <v>2.1000000000000005</v>
      </c>
    </row>
    <row r="142" spans="9:23" x14ac:dyDescent="0.25">
      <c r="I142" s="1" t="str">
        <f t="shared" si="123"/>
        <v>Asset type 9</v>
      </c>
      <c r="J142" s="4">
        <f t="shared" si="121"/>
        <v>1000</v>
      </c>
      <c r="L142" s="14">
        <f t="shared" si="124"/>
        <v>0.6</v>
      </c>
      <c r="M142" s="14">
        <f>IF($T94-SUM($L142:L142)&gt;$D110,$D110,$T94-SUM($L142:L142))</f>
        <v>1.2</v>
      </c>
      <c r="N142" s="14">
        <f>IF($T94-SUM($L142:M142)&gt;$D110,$D110,$T94-SUM($L142:M142))</f>
        <v>1.2</v>
      </c>
      <c r="O142" s="14">
        <f>IF($T94-SUM($L142:N142)&gt;$D110,$D110,$T94-SUM($L142:N142))</f>
        <v>1.2</v>
      </c>
      <c r="Q142" s="1" t="str">
        <f t="shared" si="125"/>
        <v>Asset type 9</v>
      </c>
      <c r="R142" s="4">
        <f t="shared" si="122"/>
        <v>1000</v>
      </c>
      <c r="T142" s="14">
        <f>$T94-SUM($L142:L142)</f>
        <v>5.4</v>
      </c>
      <c r="U142" s="14">
        <f>$T94-SUM($L142:M142)</f>
        <v>4.2</v>
      </c>
      <c r="V142" s="14">
        <f>$T94-SUM($L142:N142)</f>
        <v>3</v>
      </c>
      <c r="W142" s="14">
        <f>$T94-SUM($L142:O142)</f>
        <v>1.7999999999999998</v>
      </c>
    </row>
    <row r="143" spans="9:23" x14ac:dyDescent="0.25">
      <c r="I143" s="1" t="str">
        <f t="shared" si="123"/>
        <v>Asset type 10</v>
      </c>
      <c r="J143" s="4">
        <f t="shared" si="121"/>
        <v>1000</v>
      </c>
      <c r="L143" s="14">
        <f t="shared" si="124"/>
        <v>0.5</v>
      </c>
      <c r="M143" s="14">
        <f>IF($T95-SUM($L143:L143)&gt;$D111,$D111,$T95-SUM($L143:L143))</f>
        <v>1</v>
      </c>
      <c r="N143" s="14">
        <f>IF($T95-SUM($L143:M143)&gt;$D111,$D111,$T95-SUM($L143:M143))</f>
        <v>1</v>
      </c>
      <c r="O143" s="14">
        <f>IF($T95-SUM($L143:N143)&gt;$D111,$D111,$T95-SUM($L143:N143))</f>
        <v>1</v>
      </c>
      <c r="Q143" s="1" t="str">
        <f t="shared" si="125"/>
        <v>Asset type 10</v>
      </c>
      <c r="R143" s="4">
        <f t="shared" si="122"/>
        <v>1000</v>
      </c>
      <c r="T143" s="14">
        <f>$T95-SUM($L143:L143)</f>
        <v>4.5</v>
      </c>
      <c r="U143" s="14">
        <f>$T95-SUM($L143:M143)</f>
        <v>3.5</v>
      </c>
      <c r="V143" s="14">
        <f>$T95-SUM($L143:N143)</f>
        <v>2.5</v>
      </c>
      <c r="W143" s="14">
        <f>$T95-SUM($L143:O143)</f>
        <v>1.5</v>
      </c>
    </row>
    <row r="147" spans="9:23" ht="18" thickBot="1" x14ac:dyDescent="0.35">
      <c r="I147" s="16" t="s">
        <v>72</v>
      </c>
      <c r="K147" s="11">
        <f>K132</f>
        <v>2016</v>
      </c>
      <c r="L147" s="11">
        <f t="shared" ref="L147:O147" si="126">L132</f>
        <v>2017</v>
      </c>
      <c r="M147" s="11">
        <f t="shared" si="126"/>
        <v>2018</v>
      </c>
      <c r="N147" s="11">
        <f t="shared" si="126"/>
        <v>2019</v>
      </c>
      <c r="O147" s="11">
        <f t="shared" si="126"/>
        <v>2020</v>
      </c>
      <c r="Q147" s="16" t="s">
        <v>72</v>
      </c>
      <c r="S147" s="11">
        <f>S132</f>
        <v>2016</v>
      </c>
      <c r="T147" s="11">
        <f t="shared" ref="T147:W147" si="127">T132</f>
        <v>2017</v>
      </c>
      <c r="U147" s="11">
        <f t="shared" si="127"/>
        <v>2018</v>
      </c>
      <c r="V147" s="11">
        <f t="shared" si="127"/>
        <v>2019</v>
      </c>
      <c r="W147" s="11">
        <f t="shared" si="127"/>
        <v>2020</v>
      </c>
    </row>
    <row r="148" spans="9:23" ht="16.5" thickTop="1" x14ac:dyDescent="0.25"/>
    <row r="149" spans="9:23" x14ac:dyDescent="0.25">
      <c r="I149" s="1" t="str">
        <f>A86</f>
        <v>Asset type 1</v>
      </c>
      <c r="J149" s="4">
        <f t="shared" ref="J149:J158" si="128">$R$6</f>
        <v>1000</v>
      </c>
      <c r="M149" s="14">
        <f>E102/2</f>
        <v>2.5</v>
      </c>
      <c r="N149" s="14">
        <f>IF($U86-SUM($M149:M149)&gt;$E102,$E102,$U86-SUM($M149:M149))</f>
        <v>5</v>
      </c>
      <c r="O149" s="14">
        <f>IF($U86-SUM($M149:N149)&gt;$E102,$E102,$U86-SUM($M149:N149))</f>
        <v>5</v>
      </c>
      <c r="Q149" s="1" t="str">
        <f>Q134</f>
        <v>Asset type 1</v>
      </c>
      <c r="R149" s="4">
        <f t="shared" ref="R149:R158" si="129">$R$6</f>
        <v>1000</v>
      </c>
      <c r="U149" s="14">
        <f>$U86-SUM($M149:M149)</f>
        <v>47.5</v>
      </c>
      <c r="V149" s="14">
        <f>$U86-SUM($M149:N149)</f>
        <v>42.5</v>
      </c>
      <c r="W149" s="14">
        <f>$U86-SUM($M149:O149)</f>
        <v>37.5</v>
      </c>
    </row>
    <row r="150" spans="9:23" x14ac:dyDescent="0.25">
      <c r="I150" s="1" t="str">
        <f t="shared" ref="I150:I158" si="130">A87</f>
        <v>Asset type 2</v>
      </c>
      <c r="J150" s="4">
        <f t="shared" si="128"/>
        <v>1000</v>
      </c>
      <c r="M150" s="14">
        <f t="shared" ref="M150:M158" si="131">E103/2</f>
        <v>4</v>
      </c>
      <c r="N150" s="14">
        <f>IF($U87-SUM($M150:M150)&gt;$E103,$E103,$U87-SUM($M150:M150))</f>
        <v>8</v>
      </c>
      <c r="O150" s="14">
        <f>IF($U87-SUM($M150:N150)&gt;$E103,$E103,$U87-SUM($M150:N150))</f>
        <v>8</v>
      </c>
      <c r="Q150" s="1" t="str">
        <f t="shared" ref="Q150:Q158" si="132">Q135</f>
        <v>Asset type 2</v>
      </c>
      <c r="R150" s="4">
        <f t="shared" si="129"/>
        <v>1000</v>
      </c>
      <c r="U150" s="14">
        <f>$U87-SUM($M150:M150)</f>
        <v>36</v>
      </c>
      <c r="V150" s="14">
        <f>$U87-SUM($M150:N150)</f>
        <v>28</v>
      </c>
      <c r="W150" s="14">
        <f>$U87-SUM($M150:O150)</f>
        <v>20</v>
      </c>
    </row>
    <row r="151" spans="9:23" x14ac:dyDescent="0.25">
      <c r="I151" s="1" t="str">
        <f t="shared" si="130"/>
        <v>Asset type 3</v>
      </c>
      <c r="J151" s="4">
        <f t="shared" si="128"/>
        <v>1000</v>
      </c>
      <c r="M151" s="14">
        <f t="shared" si="131"/>
        <v>3</v>
      </c>
      <c r="N151" s="14">
        <f>IF($U88-SUM($M151:M151)&gt;$E104,$E104,$U88-SUM($M151:M151))</f>
        <v>6</v>
      </c>
      <c r="O151" s="14">
        <f>IF($U88-SUM($M151:N151)&gt;$E104,$E104,$U88-SUM($M151:N151))</f>
        <v>6</v>
      </c>
      <c r="Q151" s="1" t="str">
        <f t="shared" si="132"/>
        <v>Asset type 3</v>
      </c>
      <c r="R151" s="4">
        <f t="shared" si="129"/>
        <v>1000</v>
      </c>
      <c r="U151" s="14">
        <f>$U88-SUM($M151:M151)</f>
        <v>27</v>
      </c>
      <c r="V151" s="14">
        <f>$U88-SUM($M151:N151)</f>
        <v>21</v>
      </c>
      <c r="W151" s="14">
        <f>$U88-SUM($M151:O151)</f>
        <v>15</v>
      </c>
    </row>
    <row r="152" spans="9:23" x14ac:dyDescent="0.25">
      <c r="I152" s="1" t="str">
        <f t="shared" si="130"/>
        <v>Asset type 4</v>
      </c>
      <c r="J152" s="4">
        <f t="shared" si="128"/>
        <v>1000</v>
      </c>
      <c r="M152" s="14">
        <f t="shared" si="131"/>
        <v>2</v>
      </c>
      <c r="N152" s="14">
        <f>IF($U89-SUM($M152:M152)&gt;$E105,$E105,$U89-SUM($M152:M152))</f>
        <v>4</v>
      </c>
      <c r="O152" s="14">
        <f>IF($U89-SUM($M152:N152)&gt;$E105,$E105,$U89-SUM($M152:N152))</f>
        <v>4</v>
      </c>
      <c r="Q152" s="1" t="str">
        <f t="shared" si="132"/>
        <v>Asset type 4</v>
      </c>
      <c r="R152" s="4">
        <f t="shared" si="129"/>
        <v>1000</v>
      </c>
      <c r="U152" s="14">
        <f>$U89-SUM($M152:M152)</f>
        <v>18</v>
      </c>
      <c r="V152" s="14">
        <f>$U89-SUM($M152:N152)</f>
        <v>14</v>
      </c>
      <c r="W152" s="14">
        <f>$U89-SUM($M152:O152)</f>
        <v>10</v>
      </c>
    </row>
    <row r="153" spans="9:23" x14ac:dyDescent="0.25">
      <c r="I153" s="1" t="str">
        <f t="shared" si="130"/>
        <v>Asset type 5</v>
      </c>
      <c r="J153" s="4">
        <f t="shared" si="128"/>
        <v>1000</v>
      </c>
      <c r="M153" s="14">
        <f t="shared" si="131"/>
        <v>1</v>
      </c>
      <c r="N153" s="14">
        <f>IF($U90-SUM($M153:M153)&gt;$E106,$E106,$U90-SUM($M153:M153))</f>
        <v>2</v>
      </c>
      <c r="O153" s="14">
        <f>IF($U90-SUM($M153:N153)&gt;$E106,$E106,$U90-SUM($M153:N153))</f>
        <v>2</v>
      </c>
      <c r="Q153" s="1" t="str">
        <f t="shared" si="132"/>
        <v>Asset type 5</v>
      </c>
      <c r="R153" s="4">
        <f t="shared" si="129"/>
        <v>1000</v>
      </c>
      <c r="U153" s="14">
        <f>$U90-SUM($M153:M153)</f>
        <v>9</v>
      </c>
      <c r="V153" s="14">
        <f>$U90-SUM($M153:N153)</f>
        <v>7</v>
      </c>
      <c r="W153" s="14">
        <f>$U90-SUM($M153:O153)</f>
        <v>5</v>
      </c>
    </row>
    <row r="154" spans="9:23" x14ac:dyDescent="0.25">
      <c r="I154" s="1" t="str">
        <f t="shared" si="130"/>
        <v>Asset type 6</v>
      </c>
      <c r="J154" s="4">
        <f t="shared" si="128"/>
        <v>1000</v>
      </c>
      <c r="M154" s="14">
        <f t="shared" si="131"/>
        <v>0.9</v>
      </c>
      <c r="N154" s="14">
        <f>IF($U91-SUM($M154:M154)&gt;$E107,$E107,$U91-SUM($M154:M154))</f>
        <v>1.8</v>
      </c>
      <c r="O154" s="14">
        <f>IF($U91-SUM($M154:N154)&gt;$E107,$E107,$U91-SUM($M154:N154))</f>
        <v>1.8</v>
      </c>
      <c r="Q154" s="1" t="str">
        <f t="shared" si="132"/>
        <v>Asset type 6</v>
      </c>
      <c r="R154" s="4">
        <f t="shared" si="129"/>
        <v>1000</v>
      </c>
      <c r="U154" s="14">
        <f>$U91-SUM($M154:M154)</f>
        <v>8.1</v>
      </c>
      <c r="V154" s="14">
        <f>$U91-SUM($M154:N154)</f>
        <v>6.3</v>
      </c>
      <c r="W154" s="14">
        <f>$U91-SUM($M154:O154)</f>
        <v>4.5</v>
      </c>
    </row>
    <row r="155" spans="9:23" x14ac:dyDescent="0.25">
      <c r="I155" s="1" t="str">
        <f t="shared" si="130"/>
        <v>Asset type 7</v>
      </c>
      <c r="J155" s="4">
        <f t="shared" si="128"/>
        <v>1000</v>
      </c>
      <c r="M155" s="14">
        <f t="shared" si="131"/>
        <v>0.8</v>
      </c>
      <c r="N155" s="14">
        <f>IF($U92-SUM($M155:M155)&gt;$E108,$E108,$U92-SUM($M155:M155))</f>
        <v>1.6</v>
      </c>
      <c r="O155" s="14">
        <f>IF($U92-SUM($M155:N155)&gt;$E108,$E108,$U92-SUM($M155:N155))</f>
        <v>1.6</v>
      </c>
      <c r="Q155" s="1" t="str">
        <f t="shared" si="132"/>
        <v>Asset type 7</v>
      </c>
      <c r="R155" s="4">
        <f t="shared" si="129"/>
        <v>1000</v>
      </c>
      <c r="U155" s="14">
        <f>$U92-SUM($M155:M155)</f>
        <v>7.2</v>
      </c>
      <c r="V155" s="14">
        <f>$U92-SUM($M155:N155)</f>
        <v>5.6</v>
      </c>
      <c r="W155" s="14">
        <f>$U92-SUM($M155:O155)</f>
        <v>4</v>
      </c>
    </row>
    <row r="156" spans="9:23" x14ac:dyDescent="0.25">
      <c r="I156" s="1" t="str">
        <f t="shared" si="130"/>
        <v>Asset type 8</v>
      </c>
      <c r="J156" s="4">
        <f t="shared" si="128"/>
        <v>1000</v>
      </c>
      <c r="M156" s="14">
        <f t="shared" si="131"/>
        <v>0.7</v>
      </c>
      <c r="N156" s="14">
        <f>IF($U93-SUM($M156:M156)&gt;$E109,$E109,$U93-SUM($M156:M156))</f>
        <v>1.4</v>
      </c>
      <c r="O156" s="14">
        <f>IF($U93-SUM($M156:N156)&gt;$E109,$E109,$U93-SUM($M156:N156))</f>
        <v>1.4</v>
      </c>
      <c r="Q156" s="1" t="str">
        <f t="shared" si="132"/>
        <v>Asset type 8</v>
      </c>
      <c r="R156" s="4">
        <f t="shared" si="129"/>
        <v>1000</v>
      </c>
      <c r="U156" s="14">
        <f>$U93-SUM($M156:M156)</f>
        <v>6.3</v>
      </c>
      <c r="V156" s="14">
        <f>$U93-SUM($M156:N156)</f>
        <v>4.9000000000000004</v>
      </c>
      <c r="W156" s="14">
        <f>$U93-SUM($M156:O156)</f>
        <v>3.5000000000000004</v>
      </c>
    </row>
    <row r="157" spans="9:23" x14ac:dyDescent="0.25">
      <c r="I157" s="1" t="str">
        <f t="shared" si="130"/>
        <v>Asset type 9</v>
      </c>
      <c r="J157" s="4">
        <f t="shared" si="128"/>
        <v>1000</v>
      </c>
      <c r="M157" s="14">
        <f t="shared" si="131"/>
        <v>0.6</v>
      </c>
      <c r="N157" s="14">
        <f>IF($U94-SUM($M157:M157)&gt;$E110,$E110,$U94-SUM($M157:M157))</f>
        <v>1.2</v>
      </c>
      <c r="O157" s="14">
        <f>IF($U94-SUM($M157:N157)&gt;$E110,$E110,$U94-SUM($M157:N157))</f>
        <v>1.2</v>
      </c>
      <c r="Q157" s="1" t="str">
        <f t="shared" si="132"/>
        <v>Asset type 9</v>
      </c>
      <c r="R157" s="4">
        <f t="shared" si="129"/>
        <v>1000</v>
      </c>
      <c r="U157" s="14">
        <f>$U94-SUM($M157:M157)</f>
        <v>5.4</v>
      </c>
      <c r="V157" s="14">
        <f>$U94-SUM($M157:N157)</f>
        <v>4.2</v>
      </c>
      <c r="W157" s="14">
        <f>$U94-SUM($M157:O157)</f>
        <v>3</v>
      </c>
    </row>
    <row r="158" spans="9:23" x14ac:dyDescent="0.25">
      <c r="I158" s="1" t="str">
        <f t="shared" si="130"/>
        <v>Asset type 10</v>
      </c>
      <c r="J158" s="4">
        <f t="shared" si="128"/>
        <v>1000</v>
      </c>
      <c r="M158" s="14">
        <f t="shared" si="131"/>
        <v>0.5</v>
      </c>
      <c r="N158" s="14">
        <f>IF($U95-SUM($M158:M158)&gt;$E111,$E111,$U95-SUM($M158:M158))</f>
        <v>1</v>
      </c>
      <c r="O158" s="14">
        <f>IF($U95-SUM($M158:N158)&gt;$E111,$E111,$U95-SUM($M158:N158))</f>
        <v>1</v>
      </c>
      <c r="Q158" s="1" t="str">
        <f t="shared" si="132"/>
        <v>Asset type 10</v>
      </c>
      <c r="R158" s="4">
        <f t="shared" si="129"/>
        <v>1000</v>
      </c>
      <c r="U158" s="14">
        <f>$U95-SUM($M158:M158)</f>
        <v>4.5</v>
      </c>
      <c r="V158" s="14">
        <f>$U95-SUM($M158:N158)</f>
        <v>3.5</v>
      </c>
      <c r="W158" s="14">
        <f>$U95-SUM($M158:O158)</f>
        <v>2.5</v>
      </c>
    </row>
    <row r="162" spans="9:23" ht="18" thickBot="1" x14ac:dyDescent="0.35">
      <c r="I162" s="16" t="s">
        <v>73</v>
      </c>
      <c r="K162" s="11">
        <f>K147</f>
        <v>2016</v>
      </c>
      <c r="L162" s="11">
        <f>L147</f>
        <v>2017</v>
      </c>
      <c r="M162" s="11">
        <f>M147</f>
        <v>2018</v>
      </c>
      <c r="N162" s="11">
        <f>N147</f>
        <v>2019</v>
      </c>
      <c r="O162" s="11">
        <f>O147</f>
        <v>2020</v>
      </c>
      <c r="Q162" s="16" t="s">
        <v>73</v>
      </c>
      <c r="S162" s="11">
        <f>S147</f>
        <v>2016</v>
      </c>
      <c r="T162" s="11">
        <f>T147</f>
        <v>2017</v>
      </c>
      <c r="U162" s="11">
        <f>U147</f>
        <v>2018</v>
      </c>
      <c r="V162" s="11">
        <f>V147</f>
        <v>2019</v>
      </c>
      <c r="W162" s="11">
        <f>W147</f>
        <v>2020</v>
      </c>
    </row>
    <row r="163" spans="9:23" ht="16.5" thickTop="1" x14ac:dyDescent="0.25"/>
    <row r="164" spans="9:23" x14ac:dyDescent="0.25">
      <c r="I164" s="1" t="str">
        <f>A86</f>
        <v>Asset type 1</v>
      </c>
      <c r="J164" s="4">
        <f t="shared" ref="J164:J173" si="133">$R$6</f>
        <v>1000</v>
      </c>
      <c r="N164" s="14">
        <f>F102/2</f>
        <v>2.5</v>
      </c>
      <c r="O164" s="14">
        <f>IF($V86-SUM($N164:N164)&gt;$F102,$F102,$V86-SUM($N164:N164))</f>
        <v>5</v>
      </c>
      <c r="Q164" s="1" t="str">
        <f>Q149</f>
        <v>Asset type 1</v>
      </c>
      <c r="R164" s="4">
        <f t="shared" ref="R164:R173" si="134">$R$6</f>
        <v>1000</v>
      </c>
      <c r="V164" s="14">
        <f>$V86-SUM($N164:N164)</f>
        <v>47.5</v>
      </c>
      <c r="W164" s="14">
        <f>$V86-SUM($N164:O164)</f>
        <v>42.5</v>
      </c>
    </row>
    <row r="165" spans="9:23" x14ac:dyDescent="0.25">
      <c r="I165" s="1" t="str">
        <f t="shared" ref="I165:I173" si="135">A87</f>
        <v>Asset type 2</v>
      </c>
      <c r="J165" s="4">
        <f t="shared" si="133"/>
        <v>1000</v>
      </c>
      <c r="N165" s="14">
        <f t="shared" ref="N165:N173" si="136">F103/2</f>
        <v>4</v>
      </c>
      <c r="O165" s="14">
        <f>IF($V87-SUM($N165:N165)&gt;$F103,$F103,$V87-SUM($N165:N165))</f>
        <v>8</v>
      </c>
      <c r="Q165" s="1" t="str">
        <f t="shared" ref="Q165:Q173" si="137">Q150</f>
        <v>Asset type 2</v>
      </c>
      <c r="R165" s="4">
        <f t="shared" si="134"/>
        <v>1000</v>
      </c>
      <c r="V165" s="14">
        <f>$V87-SUM($N165:N165)</f>
        <v>36</v>
      </c>
      <c r="W165" s="14">
        <f>$V87-SUM($N165:O165)</f>
        <v>28</v>
      </c>
    </row>
    <row r="166" spans="9:23" x14ac:dyDescent="0.25">
      <c r="I166" s="1" t="str">
        <f t="shared" si="135"/>
        <v>Asset type 3</v>
      </c>
      <c r="J166" s="4">
        <f t="shared" si="133"/>
        <v>1000</v>
      </c>
      <c r="N166" s="14">
        <f t="shared" si="136"/>
        <v>3</v>
      </c>
      <c r="O166" s="14">
        <f>IF($V88-SUM($N166:N166)&gt;$F104,$F104,$V88-SUM($N166:N166))</f>
        <v>6</v>
      </c>
      <c r="Q166" s="1" t="str">
        <f t="shared" si="137"/>
        <v>Asset type 3</v>
      </c>
      <c r="R166" s="4">
        <f t="shared" si="134"/>
        <v>1000</v>
      </c>
      <c r="V166" s="14">
        <f>$V88-SUM($N166:N166)</f>
        <v>27</v>
      </c>
      <c r="W166" s="14">
        <f>$V88-SUM($N166:O166)</f>
        <v>21</v>
      </c>
    </row>
    <row r="167" spans="9:23" x14ac:dyDescent="0.25">
      <c r="I167" s="1" t="str">
        <f t="shared" si="135"/>
        <v>Asset type 4</v>
      </c>
      <c r="J167" s="4">
        <f t="shared" si="133"/>
        <v>1000</v>
      </c>
      <c r="N167" s="14">
        <f t="shared" si="136"/>
        <v>2</v>
      </c>
      <c r="O167" s="14">
        <f>IF($V89-SUM($N167:N167)&gt;$F105,$F105,$V89-SUM($N167:N167))</f>
        <v>4</v>
      </c>
      <c r="Q167" s="1" t="str">
        <f t="shared" si="137"/>
        <v>Asset type 4</v>
      </c>
      <c r="R167" s="4">
        <f t="shared" si="134"/>
        <v>1000</v>
      </c>
      <c r="V167" s="14">
        <f>$V89-SUM($N167:N167)</f>
        <v>18</v>
      </c>
      <c r="W167" s="14">
        <f>$V89-SUM($N167:O167)</f>
        <v>14</v>
      </c>
    </row>
    <row r="168" spans="9:23" x14ac:dyDescent="0.25">
      <c r="I168" s="1" t="str">
        <f t="shared" si="135"/>
        <v>Asset type 5</v>
      </c>
      <c r="J168" s="4">
        <f t="shared" si="133"/>
        <v>1000</v>
      </c>
      <c r="N168" s="14">
        <f t="shared" si="136"/>
        <v>1</v>
      </c>
      <c r="O168" s="14">
        <f>IF($V90-SUM($N168:N168)&gt;$F106,$F106,$V90-SUM($N168:N168))</f>
        <v>2</v>
      </c>
      <c r="Q168" s="1" t="str">
        <f t="shared" si="137"/>
        <v>Asset type 5</v>
      </c>
      <c r="R168" s="4">
        <f t="shared" si="134"/>
        <v>1000</v>
      </c>
      <c r="V168" s="14">
        <f>$V90-SUM($N168:N168)</f>
        <v>9</v>
      </c>
      <c r="W168" s="14">
        <f>$V90-SUM($N168:O168)</f>
        <v>7</v>
      </c>
    </row>
    <row r="169" spans="9:23" x14ac:dyDescent="0.25">
      <c r="I169" s="1" t="str">
        <f t="shared" si="135"/>
        <v>Asset type 6</v>
      </c>
      <c r="J169" s="4">
        <f t="shared" si="133"/>
        <v>1000</v>
      </c>
      <c r="N169" s="14">
        <f t="shared" si="136"/>
        <v>0.9</v>
      </c>
      <c r="O169" s="14">
        <f>IF($V91-SUM($N169:N169)&gt;$F107,$F107,$V91-SUM($N169:N169))</f>
        <v>1.8</v>
      </c>
      <c r="Q169" s="1" t="str">
        <f t="shared" si="137"/>
        <v>Asset type 6</v>
      </c>
      <c r="R169" s="4">
        <f t="shared" si="134"/>
        <v>1000</v>
      </c>
      <c r="V169" s="14">
        <f>$V91-SUM($N169:N169)</f>
        <v>8.1</v>
      </c>
      <c r="W169" s="14">
        <f>$V91-SUM($N169:O169)</f>
        <v>6.3</v>
      </c>
    </row>
    <row r="170" spans="9:23" x14ac:dyDescent="0.25">
      <c r="I170" s="1" t="str">
        <f t="shared" si="135"/>
        <v>Asset type 7</v>
      </c>
      <c r="J170" s="4">
        <f t="shared" si="133"/>
        <v>1000</v>
      </c>
      <c r="N170" s="14">
        <f t="shared" si="136"/>
        <v>0.8</v>
      </c>
      <c r="O170" s="14">
        <f>IF($V92-SUM($N170:N170)&gt;$F108,$F108,$V92-SUM($N170:N170))</f>
        <v>1.6</v>
      </c>
      <c r="Q170" s="1" t="str">
        <f t="shared" si="137"/>
        <v>Asset type 7</v>
      </c>
      <c r="R170" s="4">
        <f t="shared" si="134"/>
        <v>1000</v>
      </c>
      <c r="V170" s="14">
        <f>$V92-SUM($N170:N170)</f>
        <v>7.2</v>
      </c>
      <c r="W170" s="14">
        <f>$V92-SUM($N170:O170)</f>
        <v>5.6</v>
      </c>
    </row>
    <row r="171" spans="9:23" x14ac:dyDescent="0.25">
      <c r="I171" s="1" t="str">
        <f t="shared" si="135"/>
        <v>Asset type 8</v>
      </c>
      <c r="J171" s="4">
        <f t="shared" si="133"/>
        <v>1000</v>
      </c>
      <c r="N171" s="14">
        <f t="shared" si="136"/>
        <v>0.7</v>
      </c>
      <c r="O171" s="14">
        <f>IF($V93-SUM($N171:N171)&gt;$F109,$F109,$V93-SUM($N171:N171))</f>
        <v>1.4</v>
      </c>
      <c r="Q171" s="1" t="str">
        <f t="shared" si="137"/>
        <v>Asset type 8</v>
      </c>
      <c r="R171" s="4">
        <f t="shared" si="134"/>
        <v>1000</v>
      </c>
      <c r="V171" s="14">
        <f>$V93-SUM($N171:N171)</f>
        <v>6.3</v>
      </c>
      <c r="W171" s="14">
        <f>$V93-SUM($N171:O171)</f>
        <v>4.9000000000000004</v>
      </c>
    </row>
    <row r="172" spans="9:23" x14ac:dyDescent="0.25">
      <c r="I172" s="1" t="str">
        <f t="shared" si="135"/>
        <v>Asset type 9</v>
      </c>
      <c r="J172" s="4">
        <f t="shared" si="133"/>
        <v>1000</v>
      </c>
      <c r="N172" s="14">
        <f t="shared" si="136"/>
        <v>0.6</v>
      </c>
      <c r="O172" s="14">
        <f>IF($V94-SUM($N172:N172)&gt;$F110,$F110,$V94-SUM($N172:N172))</f>
        <v>1.2</v>
      </c>
      <c r="Q172" s="1" t="str">
        <f t="shared" si="137"/>
        <v>Asset type 9</v>
      </c>
      <c r="R172" s="4">
        <f t="shared" si="134"/>
        <v>1000</v>
      </c>
      <c r="V172" s="14">
        <f>$V94-SUM($N172:N172)</f>
        <v>5.4</v>
      </c>
      <c r="W172" s="14">
        <f>$V94-SUM($N172:O172)</f>
        <v>4.2</v>
      </c>
    </row>
    <row r="173" spans="9:23" x14ac:dyDescent="0.25">
      <c r="I173" s="1" t="str">
        <f t="shared" si="135"/>
        <v>Asset type 10</v>
      </c>
      <c r="J173" s="4">
        <f t="shared" si="133"/>
        <v>1000</v>
      </c>
      <c r="N173" s="14">
        <f t="shared" si="136"/>
        <v>0.5</v>
      </c>
      <c r="O173" s="14">
        <f>IF($V95-SUM($N173:N173)&gt;$F111,$F111,$V95-SUM($N173:N173))</f>
        <v>1</v>
      </c>
      <c r="Q173" s="1" t="str">
        <f t="shared" si="137"/>
        <v>Asset type 10</v>
      </c>
      <c r="R173" s="4">
        <f t="shared" si="134"/>
        <v>1000</v>
      </c>
      <c r="V173" s="14">
        <f>$V95-SUM($N173:N173)</f>
        <v>4.5</v>
      </c>
      <c r="W173" s="14">
        <f>$V95-SUM($N173:O173)</f>
        <v>3.5</v>
      </c>
    </row>
    <row r="177" spans="9:23" ht="18" thickBot="1" x14ac:dyDescent="0.35">
      <c r="I177" s="16" t="s">
        <v>74</v>
      </c>
      <c r="K177" s="11">
        <f>K162</f>
        <v>2016</v>
      </c>
      <c r="L177" s="11">
        <f t="shared" ref="L177:O177" si="138">L162</f>
        <v>2017</v>
      </c>
      <c r="M177" s="11">
        <f t="shared" si="138"/>
        <v>2018</v>
      </c>
      <c r="N177" s="11">
        <f t="shared" si="138"/>
        <v>2019</v>
      </c>
      <c r="O177" s="11">
        <f t="shared" si="138"/>
        <v>2020</v>
      </c>
      <c r="Q177" s="16" t="s">
        <v>74</v>
      </c>
      <c r="S177" s="11">
        <f>S162</f>
        <v>2016</v>
      </c>
      <c r="T177" s="11">
        <f t="shared" ref="T177:W177" si="139">T162</f>
        <v>2017</v>
      </c>
      <c r="U177" s="11">
        <f t="shared" si="139"/>
        <v>2018</v>
      </c>
      <c r="V177" s="11">
        <f t="shared" si="139"/>
        <v>2019</v>
      </c>
      <c r="W177" s="11">
        <f t="shared" si="139"/>
        <v>2020</v>
      </c>
    </row>
    <row r="178" spans="9:23" ht="16.5" thickTop="1" x14ac:dyDescent="0.25"/>
    <row r="179" spans="9:23" x14ac:dyDescent="0.25">
      <c r="I179" s="1" t="str">
        <f>A86</f>
        <v>Asset type 1</v>
      </c>
      <c r="J179" s="4">
        <f t="shared" ref="J179:J188" si="140">$R$6</f>
        <v>1000</v>
      </c>
      <c r="O179" s="14">
        <f>G102/2</f>
        <v>2.5</v>
      </c>
      <c r="Q179" s="1" t="str">
        <f>Q164</f>
        <v>Asset type 1</v>
      </c>
      <c r="R179" s="4">
        <f t="shared" ref="R179:R188" si="141">$R$6</f>
        <v>1000</v>
      </c>
      <c r="W179" s="14">
        <f>$W86-SUM($O179:O179)</f>
        <v>47.5</v>
      </c>
    </row>
    <row r="180" spans="9:23" x14ac:dyDescent="0.25">
      <c r="I180" s="1" t="str">
        <f t="shared" ref="I180:I188" si="142">A87</f>
        <v>Asset type 2</v>
      </c>
      <c r="J180" s="4">
        <f t="shared" si="140"/>
        <v>1000</v>
      </c>
      <c r="O180" s="14">
        <f t="shared" ref="O180:O188" si="143">G103/2</f>
        <v>4</v>
      </c>
      <c r="Q180" s="1" t="str">
        <f t="shared" ref="Q180:Q188" si="144">I87</f>
        <v>Cost/ #</v>
      </c>
      <c r="R180" s="4">
        <f t="shared" si="141"/>
        <v>1000</v>
      </c>
      <c r="W180" s="14">
        <f>$W87-SUM($O180:O180)</f>
        <v>36</v>
      </c>
    </row>
    <row r="181" spans="9:23" x14ac:dyDescent="0.25">
      <c r="I181" s="1" t="str">
        <f t="shared" si="142"/>
        <v>Asset type 3</v>
      </c>
      <c r="J181" s="4">
        <f t="shared" si="140"/>
        <v>1000</v>
      </c>
      <c r="O181" s="14">
        <f t="shared" si="143"/>
        <v>3</v>
      </c>
      <c r="Q181" s="1" t="str">
        <f t="shared" si="144"/>
        <v>Cost/ #</v>
      </c>
      <c r="R181" s="4">
        <f t="shared" si="141"/>
        <v>1000</v>
      </c>
      <c r="W181" s="14">
        <f>$W88-SUM($O181:O181)</f>
        <v>27</v>
      </c>
    </row>
    <row r="182" spans="9:23" x14ac:dyDescent="0.25">
      <c r="I182" s="1" t="str">
        <f t="shared" si="142"/>
        <v>Asset type 4</v>
      </c>
      <c r="J182" s="4">
        <f t="shared" si="140"/>
        <v>1000</v>
      </c>
      <c r="O182" s="14">
        <f t="shared" si="143"/>
        <v>2</v>
      </c>
      <c r="Q182" s="1" t="str">
        <f t="shared" si="144"/>
        <v>Cost/ #</v>
      </c>
      <c r="R182" s="4">
        <f t="shared" si="141"/>
        <v>1000</v>
      </c>
      <c r="W182" s="14">
        <f>$W89-SUM($O182:O182)</f>
        <v>18</v>
      </c>
    </row>
    <row r="183" spans="9:23" x14ac:dyDescent="0.25">
      <c r="I183" s="1" t="str">
        <f t="shared" si="142"/>
        <v>Asset type 5</v>
      </c>
      <c r="J183" s="4">
        <f t="shared" si="140"/>
        <v>1000</v>
      </c>
      <c r="O183" s="14">
        <f t="shared" si="143"/>
        <v>1</v>
      </c>
      <c r="Q183" s="1" t="str">
        <f t="shared" si="144"/>
        <v>Cost/ #</v>
      </c>
      <c r="R183" s="4">
        <f t="shared" si="141"/>
        <v>1000</v>
      </c>
      <c r="W183" s="14">
        <f>$W90-SUM($O183:O183)</f>
        <v>9</v>
      </c>
    </row>
    <row r="184" spans="9:23" x14ac:dyDescent="0.25">
      <c r="I184" s="1" t="str">
        <f t="shared" si="142"/>
        <v>Asset type 6</v>
      </c>
      <c r="J184" s="4">
        <f t="shared" si="140"/>
        <v>1000</v>
      </c>
      <c r="O184" s="14">
        <f t="shared" si="143"/>
        <v>0.9</v>
      </c>
      <c r="Q184" s="1" t="str">
        <f t="shared" si="144"/>
        <v>Cost/ #</v>
      </c>
      <c r="R184" s="4">
        <f t="shared" si="141"/>
        <v>1000</v>
      </c>
      <c r="W184" s="14">
        <f>$W91-SUM($O184:O184)</f>
        <v>8.1</v>
      </c>
    </row>
    <row r="185" spans="9:23" x14ac:dyDescent="0.25">
      <c r="I185" s="1" t="str">
        <f t="shared" si="142"/>
        <v>Asset type 7</v>
      </c>
      <c r="J185" s="4">
        <f t="shared" si="140"/>
        <v>1000</v>
      </c>
      <c r="O185" s="14">
        <f t="shared" si="143"/>
        <v>0.8</v>
      </c>
      <c r="Q185" s="1" t="str">
        <f t="shared" si="144"/>
        <v>Cost/ #</v>
      </c>
      <c r="R185" s="4">
        <f t="shared" si="141"/>
        <v>1000</v>
      </c>
      <c r="W185" s="14">
        <f>$W92-SUM($O185:O185)</f>
        <v>7.2</v>
      </c>
    </row>
    <row r="186" spans="9:23" x14ac:dyDescent="0.25">
      <c r="I186" s="1" t="str">
        <f t="shared" si="142"/>
        <v>Asset type 8</v>
      </c>
      <c r="J186" s="4">
        <f t="shared" si="140"/>
        <v>1000</v>
      </c>
      <c r="O186" s="14">
        <f t="shared" si="143"/>
        <v>0.7</v>
      </c>
      <c r="Q186" s="1" t="str">
        <f t="shared" si="144"/>
        <v>Cost/ #</v>
      </c>
      <c r="R186" s="4">
        <f t="shared" si="141"/>
        <v>1000</v>
      </c>
      <c r="W186" s="14">
        <f>$W93-SUM($O186:O186)</f>
        <v>6.3</v>
      </c>
    </row>
    <row r="187" spans="9:23" x14ac:dyDescent="0.25">
      <c r="I187" s="1" t="str">
        <f t="shared" si="142"/>
        <v>Asset type 9</v>
      </c>
      <c r="J187" s="4">
        <f t="shared" si="140"/>
        <v>1000</v>
      </c>
      <c r="O187" s="14">
        <f t="shared" si="143"/>
        <v>0.6</v>
      </c>
      <c r="Q187" s="1" t="str">
        <f t="shared" si="144"/>
        <v>Cost/ #</v>
      </c>
      <c r="R187" s="4">
        <f t="shared" si="141"/>
        <v>1000</v>
      </c>
      <c r="W187" s="14">
        <f>$W94-SUM($O187:O187)</f>
        <v>5.4</v>
      </c>
    </row>
    <row r="188" spans="9:23" x14ac:dyDescent="0.25">
      <c r="I188" s="1" t="str">
        <f t="shared" si="142"/>
        <v>Asset type 10</v>
      </c>
      <c r="J188" s="4">
        <f t="shared" si="140"/>
        <v>1000</v>
      </c>
      <c r="O188" s="14">
        <f t="shared" si="143"/>
        <v>0.5</v>
      </c>
      <c r="Q188" s="1" t="str">
        <f t="shared" si="144"/>
        <v>Cost/ #</v>
      </c>
      <c r="R188" s="4">
        <f t="shared" si="141"/>
        <v>1000</v>
      </c>
      <c r="W188" s="14">
        <f>$W95-SUM($O188:O188)</f>
        <v>4.5</v>
      </c>
    </row>
  </sheetData>
  <mergeCells count="6">
    <mergeCell ref="C1:G1"/>
    <mergeCell ref="K1:O1"/>
    <mergeCell ref="S1:W1"/>
    <mergeCell ref="C98:G98"/>
    <mergeCell ref="K98:O98"/>
    <mergeCell ref="S98:W9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8"/>
  <sheetViews>
    <sheetView workbookViewId="0">
      <selection activeCell="G60" sqref="G60"/>
    </sheetView>
  </sheetViews>
  <sheetFormatPr defaultColWidth="10.875" defaultRowHeight="15.75" x14ac:dyDescent="0.25"/>
  <cols>
    <col min="1" max="1" width="8" style="1" customWidth="1"/>
    <col min="2" max="2" width="22.625" style="1" customWidth="1"/>
    <col min="3" max="16384" width="10.875" style="1"/>
  </cols>
  <sheetData>
    <row r="4" spans="1:8" ht="20.25" thickBot="1" x14ac:dyDescent="0.35">
      <c r="A4" s="10" t="s">
        <v>22</v>
      </c>
      <c r="B4" s="10"/>
      <c r="D4" s="11">
        <f>IF(Cover!$D$13&gt;0,Cover!$D$13,"year 1")</f>
        <v>2016</v>
      </c>
      <c r="E4" s="11">
        <f>IF(Cover!$D$13&gt;0,D4+1,"year 2")</f>
        <v>2017</v>
      </c>
      <c r="F4" s="11">
        <f>IF(Cover!$D$13&gt;0,E4+1,"year 3")</f>
        <v>2018</v>
      </c>
      <c r="G4" s="11">
        <f>IF(Cover!$D$13&gt;0,F4+1,"year 4")</f>
        <v>2019</v>
      </c>
      <c r="H4" s="11">
        <f>IF(Cover!$D$13&gt;0,G4+1,"year 5")</f>
        <v>2020</v>
      </c>
    </row>
    <row r="5" spans="1:8" ht="16.5" thickTop="1" x14ac:dyDescent="0.25"/>
    <row r="6" spans="1:8" hidden="1" x14ac:dyDescent="0.25">
      <c r="A6" s="1" t="str">
        <f>PxQ!Q6</f>
        <v>Revenue koekjes</v>
      </c>
      <c r="D6" s="3">
        <f>PxQ!S6</f>
        <v>20</v>
      </c>
      <c r="E6" s="3">
        <f>PxQ!T6</f>
        <v>40</v>
      </c>
      <c r="F6" s="3">
        <f>PxQ!U6</f>
        <v>80</v>
      </c>
      <c r="G6" s="3">
        <f>PxQ!V6</f>
        <v>160</v>
      </c>
      <c r="H6" s="3">
        <f>PxQ!W6</f>
        <v>320</v>
      </c>
    </row>
    <row r="7" spans="1:8" hidden="1" x14ac:dyDescent="0.25">
      <c r="A7" s="1" t="str">
        <f>PxQ!Q7</f>
        <v>Revenue gebak</v>
      </c>
      <c r="D7" s="3">
        <f>PxQ!S7</f>
        <v>15</v>
      </c>
      <c r="E7" s="3">
        <f>PxQ!T7</f>
        <v>15.75</v>
      </c>
      <c r="F7" s="3">
        <f>PxQ!U7</f>
        <v>16.537500000000001</v>
      </c>
      <c r="G7" s="3">
        <f>PxQ!V7</f>
        <v>69.457499999999996</v>
      </c>
      <c r="H7" s="3">
        <f>PxQ!W7</f>
        <v>291.72149999999999</v>
      </c>
    </row>
    <row r="8" spans="1:8" hidden="1" x14ac:dyDescent="0.25">
      <c r="A8" s="1" t="str">
        <f>PxQ!Q8</f>
        <v>Revenue product 3</v>
      </c>
      <c r="D8" s="3">
        <f>PxQ!S8</f>
        <v>0</v>
      </c>
      <c r="E8" s="3">
        <f>PxQ!T8</f>
        <v>0</v>
      </c>
      <c r="F8" s="3">
        <f>PxQ!U8</f>
        <v>0</v>
      </c>
      <c r="G8" s="3">
        <f>PxQ!V8</f>
        <v>0</v>
      </c>
      <c r="H8" s="3">
        <f>PxQ!W8</f>
        <v>0</v>
      </c>
    </row>
    <row r="9" spans="1:8" hidden="1" x14ac:dyDescent="0.25">
      <c r="A9" s="1" t="str">
        <f>PxQ!Q9</f>
        <v>Revenue product 4</v>
      </c>
      <c r="D9" s="3">
        <f>PxQ!S9</f>
        <v>0</v>
      </c>
      <c r="E9" s="3">
        <f>PxQ!T9</f>
        <v>0</v>
      </c>
      <c r="F9" s="3">
        <f>PxQ!U9</f>
        <v>0</v>
      </c>
      <c r="G9" s="3">
        <f>PxQ!V9</f>
        <v>0</v>
      </c>
      <c r="H9" s="3">
        <f>PxQ!W9</f>
        <v>0</v>
      </c>
    </row>
    <row r="10" spans="1:8" hidden="1" x14ac:dyDescent="0.25">
      <c r="A10" s="1" t="str">
        <f>PxQ!Q10</f>
        <v>Revenue product 5</v>
      </c>
      <c r="D10" s="3">
        <f>PxQ!S10</f>
        <v>0</v>
      </c>
      <c r="E10" s="3">
        <f>PxQ!T10</f>
        <v>0</v>
      </c>
      <c r="F10" s="3">
        <f>PxQ!U10</f>
        <v>0</v>
      </c>
      <c r="G10" s="3">
        <f>PxQ!V10</f>
        <v>0</v>
      </c>
      <c r="H10" s="3">
        <f>PxQ!W10</f>
        <v>0</v>
      </c>
    </row>
    <row r="11" spans="1:8" hidden="1" x14ac:dyDescent="0.25">
      <c r="A11" s="1" t="str">
        <f>PxQ!Q11</f>
        <v>Revenue product 6</v>
      </c>
      <c r="D11" s="3">
        <f>PxQ!S11</f>
        <v>0</v>
      </c>
      <c r="E11" s="3">
        <f>PxQ!T11</f>
        <v>0</v>
      </c>
      <c r="F11" s="3">
        <f>PxQ!U11</f>
        <v>0</v>
      </c>
      <c r="G11" s="3">
        <f>PxQ!V11</f>
        <v>0</v>
      </c>
      <c r="H11" s="3">
        <f>PxQ!W11</f>
        <v>0</v>
      </c>
    </row>
    <row r="12" spans="1:8" hidden="1" x14ac:dyDescent="0.25">
      <c r="A12" s="1" t="str">
        <f>PxQ!Q12</f>
        <v>Revenue product 7</v>
      </c>
      <c r="D12" s="3">
        <f>PxQ!S12</f>
        <v>0</v>
      </c>
      <c r="E12" s="3">
        <f>PxQ!T12</f>
        <v>0</v>
      </c>
      <c r="F12" s="3">
        <f>PxQ!U12</f>
        <v>0</v>
      </c>
      <c r="G12" s="3">
        <f>PxQ!V12</f>
        <v>0</v>
      </c>
      <c r="H12" s="3">
        <f>PxQ!W12</f>
        <v>0</v>
      </c>
    </row>
    <row r="13" spans="1:8" hidden="1" x14ac:dyDescent="0.25">
      <c r="A13" s="1" t="str">
        <f>PxQ!Q13</f>
        <v>Revenue product 8</v>
      </c>
      <c r="D13" s="3">
        <f>PxQ!S13</f>
        <v>0</v>
      </c>
      <c r="E13" s="3">
        <f>PxQ!T13</f>
        <v>0</v>
      </c>
      <c r="F13" s="3">
        <f>PxQ!U13</f>
        <v>0</v>
      </c>
      <c r="G13" s="3">
        <f>PxQ!V13</f>
        <v>0</v>
      </c>
      <c r="H13" s="3">
        <f>PxQ!W13</f>
        <v>0</v>
      </c>
    </row>
    <row r="14" spans="1:8" hidden="1" x14ac:dyDescent="0.25">
      <c r="A14" s="1" t="str">
        <f>PxQ!Q14</f>
        <v>Revenue product 9</v>
      </c>
      <c r="D14" s="3">
        <f>PxQ!S14</f>
        <v>0</v>
      </c>
      <c r="E14" s="3">
        <f>PxQ!T14</f>
        <v>0</v>
      </c>
      <c r="F14" s="3">
        <f>PxQ!U14</f>
        <v>0</v>
      </c>
      <c r="G14" s="3">
        <f>PxQ!V14</f>
        <v>0</v>
      </c>
      <c r="H14" s="3">
        <f>PxQ!W14</f>
        <v>0</v>
      </c>
    </row>
    <row r="15" spans="1:8" hidden="1" x14ac:dyDescent="0.25">
      <c r="A15" s="1" t="str">
        <f>PxQ!Q15</f>
        <v>Revenue product 10</v>
      </c>
      <c r="D15" s="3">
        <f>PxQ!S15</f>
        <v>0</v>
      </c>
      <c r="E15" s="3">
        <f>PxQ!T15</f>
        <v>0</v>
      </c>
      <c r="F15" s="3">
        <f>PxQ!U15</f>
        <v>0</v>
      </c>
      <c r="G15" s="3">
        <f>PxQ!V15</f>
        <v>0</v>
      </c>
      <c r="H15" s="3">
        <f>PxQ!W15</f>
        <v>0</v>
      </c>
    </row>
    <row r="16" spans="1:8" ht="16.5" thickBot="1" x14ac:dyDescent="0.3">
      <c r="A16" s="1" t="s">
        <v>23</v>
      </c>
      <c r="C16" s="32" t="str">
        <f>"€"&amp;1000</f>
        <v>€1000</v>
      </c>
      <c r="D16" s="18">
        <f>SUM(D6:D15)</f>
        <v>35</v>
      </c>
      <c r="E16" s="18">
        <f t="shared" ref="E16:H16" si="0">SUM(E6:E15)</f>
        <v>55.75</v>
      </c>
      <c r="F16" s="18">
        <f t="shared" si="0"/>
        <v>96.537499999999994</v>
      </c>
      <c r="G16" s="18">
        <f t="shared" si="0"/>
        <v>229.45749999999998</v>
      </c>
      <c r="H16" s="18">
        <f t="shared" si="0"/>
        <v>611.72149999999999</v>
      </c>
    </row>
    <row r="17" spans="1:8" ht="16.5" thickTop="1" x14ac:dyDescent="0.25">
      <c r="D17" s="17"/>
      <c r="E17" s="17"/>
      <c r="F17" s="17"/>
      <c r="G17" s="17"/>
      <c r="H17" s="17"/>
    </row>
    <row r="18" spans="1:8" hidden="1" x14ac:dyDescent="0.25">
      <c r="A18" s="1" t="str">
        <f>PxQ!Q22</f>
        <v>Direct cost koekjes</v>
      </c>
      <c r="D18" s="14">
        <f>PxQ!S22</f>
        <v>10</v>
      </c>
      <c r="E18" s="14">
        <f>PxQ!T22</f>
        <v>20</v>
      </c>
      <c r="F18" s="14">
        <f>PxQ!U22</f>
        <v>40</v>
      </c>
      <c r="G18" s="14">
        <f>PxQ!V22</f>
        <v>80</v>
      </c>
      <c r="H18" s="14">
        <f>PxQ!W22</f>
        <v>160</v>
      </c>
    </row>
    <row r="19" spans="1:8" hidden="1" x14ac:dyDescent="0.25">
      <c r="A19" s="1" t="str">
        <f>PxQ!Q23</f>
        <v>Direct cost gebak</v>
      </c>
      <c r="D19" s="14">
        <f>PxQ!S23</f>
        <v>3</v>
      </c>
      <c r="E19" s="14">
        <f>PxQ!T23</f>
        <v>0</v>
      </c>
      <c r="F19" s="14">
        <f>PxQ!U23</f>
        <v>0</v>
      </c>
      <c r="G19" s="14">
        <f>PxQ!V23</f>
        <v>0</v>
      </c>
      <c r="H19" s="14">
        <f>PxQ!W23</f>
        <v>0</v>
      </c>
    </row>
    <row r="20" spans="1:8" hidden="1" x14ac:dyDescent="0.25">
      <c r="A20" s="1" t="str">
        <f>PxQ!Q24</f>
        <v>Direct cost product 3</v>
      </c>
      <c r="D20" s="14">
        <f>PxQ!S24</f>
        <v>0</v>
      </c>
      <c r="E20" s="14">
        <f>PxQ!T24</f>
        <v>0</v>
      </c>
      <c r="F20" s="14">
        <f>PxQ!U24</f>
        <v>0</v>
      </c>
      <c r="G20" s="14">
        <f>PxQ!V24</f>
        <v>0</v>
      </c>
      <c r="H20" s="14">
        <f>PxQ!W24</f>
        <v>0</v>
      </c>
    </row>
    <row r="21" spans="1:8" hidden="1" x14ac:dyDescent="0.25">
      <c r="A21" s="1" t="str">
        <f>PxQ!Q25</f>
        <v>Direct cost product 4</v>
      </c>
      <c r="D21" s="14">
        <f>PxQ!S25</f>
        <v>0</v>
      </c>
      <c r="E21" s="14">
        <f>PxQ!T25</f>
        <v>0</v>
      </c>
      <c r="F21" s="14">
        <f>PxQ!U25</f>
        <v>0</v>
      </c>
      <c r="G21" s="14">
        <f>PxQ!V25</f>
        <v>0</v>
      </c>
      <c r="H21" s="14">
        <f>PxQ!W25</f>
        <v>0</v>
      </c>
    </row>
    <row r="22" spans="1:8" hidden="1" x14ac:dyDescent="0.25">
      <c r="A22" s="1" t="str">
        <f>PxQ!Q26</f>
        <v>Direct cost product 5</v>
      </c>
      <c r="D22" s="14">
        <f>PxQ!S26</f>
        <v>0</v>
      </c>
      <c r="E22" s="14">
        <f>PxQ!T26</f>
        <v>0</v>
      </c>
      <c r="F22" s="14">
        <f>PxQ!U26</f>
        <v>0</v>
      </c>
      <c r="G22" s="14">
        <f>PxQ!V26</f>
        <v>0</v>
      </c>
      <c r="H22" s="14">
        <f>PxQ!W26</f>
        <v>0</v>
      </c>
    </row>
    <row r="23" spans="1:8" hidden="1" x14ac:dyDescent="0.25">
      <c r="A23" s="1" t="str">
        <f>PxQ!Q27</f>
        <v>Direct cost product 6</v>
      </c>
      <c r="D23" s="14">
        <f>PxQ!S27</f>
        <v>0</v>
      </c>
      <c r="E23" s="14">
        <f>PxQ!T27</f>
        <v>0</v>
      </c>
      <c r="F23" s="14">
        <f>PxQ!U27</f>
        <v>0</v>
      </c>
      <c r="G23" s="14">
        <f>PxQ!V27</f>
        <v>0</v>
      </c>
      <c r="H23" s="14">
        <f>PxQ!W27</f>
        <v>0</v>
      </c>
    </row>
    <row r="24" spans="1:8" hidden="1" x14ac:dyDescent="0.25">
      <c r="A24" s="1" t="str">
        <f>PxQ!Q28</f>
        <v>Direct cost product 7</v>
      </c>
      <c r="D24" s="14">
        <f>PxQ!S28</f>
        <v>0</v>
      </c>
      <c r="E24" s="14">
        <f>PxQ!T28</f>
        <v>0</v>
      </c>
      <c r="F24" s="14">
        <f>PxQ!U28</f>
        <v>0</v>
      </c>
      <c r="G24" s="14">
        <f>PxQ!V28</f>
        <v>0</v>
      </c>
      <c r="H24" s="14">
        <f>PxQ!W28</f>
        <v>0</v>
      </c>
    </row>
    <row r="25" spans="1:8" hidden="1" x14ac:dyDescent="0.25">
      <c r="A25" s="1" t="str">
        <f>PxQ!Q29</f>
        <v>Direct cost product 8</v>
      </c>
      <c r="D25" s="14">
        <f>PxQ!S29</f>
        <v>0</v>
      </c>
      <c r="E25" s="14">
        <f>PxQ!T29</f>
        <v>0</v>
      </c>
      <c r="F25" s="14">
        <f>PxQ!U29</f>
        <v>0</v>
      </c>
      <c r="G25" s="14">
        <f>PxQ!V29</f>
        <v>0</v>
      </c>
      <c r="H25" s="14">
        <f>PxQ!W29</f>
        <v>0</v>
      </c>
    </row>
    <row r="26" spans="1:8" hidden="1" x14ac:dyDescent="0.25">
      <c r="A26" s="1" t="str">
        <f>PxQ!Q30</f>
        <v>Direct cost product 9</v>
      </c>
      <c r="D26" s="14">
        <f>PxQ!S30</f>
        <v>0</v>
      </c>
      <c r="E26" s="14">
        <f>PxQ!T30</f>
        <v>0</v>
      </c>
      <c r="F26" s="14">
        <f>PxQ!U30</f>
        <v>0</v>
      </c>
      <c r="G26" s="14">
        <f>PxQ!V30</f>
        <v>0</v>
      </c>
      <c r="H26" s="14">
        <f>PxQ!W30</f>
        <v>0</v>
      </c>
    </row>
    <row r="27" spans="1:8" hidden="1" x14ac:dyDescent="0.25">
      <c r="A27" s="1" t="str">
        <f>PxQ!Q31</f>
        <v>Direct cost product 10</v>
      </c>
      <c r="D27" s="14">
        <f>PxQ!S31</f>
        <v>0</v>
      </c>
      <c r="E27" s="14">
        <f>PxQ!T31</f>
        <v>0</v>
      </c>
      <c r="F27" s="14">
        <f>PxQ!U31</f>
        <v>0</v>
      </c>
      <c r="G27" s="14">
        <f>PxQ!V31</f>
        <v>0</v>
      </c>
      <c r="H27" s="14">
        <f>PxQ!W31</f>
        <v>0</v>
      </c>
    </row>
    <row r="28" spans="1:8" ht="16.5" thickBot="1" x14ac:dyDescent="0.3">
      <c r="A28" s="1" t="s">
        <v>24</v>
      </c>
      <c r="C28" s="32" t="str">
        <f>"€"&amp;1000</f>
        <v>€1000</v>
      </c>
      <c r="D28" s="18">
        <f>SUM(D18:D27)</f>
        <v>13</v>
      </c>
      <c r="E28" s="18">
        <f t="shared" ref="E28:H28" si="1">SUM(E18:E27)</f>
        <v>20</v>
      </c>
      <c r="F28" s="18">
        <f t="shared" si="1"/>
        <v>40</v>
      </c>
      <c r="G28" s="18">
        <f t="shared" si="1"/>
        <v>80</v>
      </c>
      <c r="H28" s="18">
        <f t="shared" si="1"/>
        <v>160</v>
      </c>
    </row>
    <row r="29" spans="1:8" ht="16.5" thickTop="1" x14ac:dyDescent="0.25">
      <c r="D29" s="17"/>
      <c r="E29" s="17"/>
      <c r="F29" s="17"/>
      <c r="G29" s="17"/>
      <c r="H29" s="17"/>
    </row>
    <row r="30" spans="1:8" ht="16.5" thickBot="1" x14ac:dyDescent="0.3">
      <c r="A30" s="1" t="s">
        <v>7</v>
      </c>
      <c r="C30" s="32" t="str">
        <f>"€"&amp;1000</f>
        <v>€1000</v>
      </c>
      <c r="D30" s="18">
        <f>D16-D28</f>
        <v>22</v>
      </c>
      <c r="E30" s="18">
        <f t="shared" ref="E30:H30" si="2">E16-E28</f>
        <v>35.75</v>
      </c>
      <c r="F30" s="18">
        <f t="shared" si="2"/>
        <v>56.537499999999994</v>
      </c>
      <c r="G30" s="18">
        <f t="shared" si="2"/>
        <v>149.45749999999998</v>
      </c>
      <c r="H30" s="18">
        <f t="shared" si="2"/>
        <v>451.72149999999999</v>
      </c>
    </row>
    <row r="31" spans="1:8" ht="16.5" thickTop="1" x14ac:dyDescent="0.25">
      <c r="C31" s="32"/>
    </row>
    <row r="32" spans="1:8" hidden="1" x14ac:dyDescent="0.25">
      <c r="A32" s="1" t="str">
        <f>PxQ!A54</f>
        <v>general manager</v>
      </c>
      <c r="C32" s="32"/>
      <c r="D32" s="14">
        <f>PxQ!S54</f>
        <v>76.7</v>
      </c>
      <c r="E32" s="14">
        <f>PxQ!T54</f>
        <v>156.46799999999999</v>
      </c>
      <c r="F32" s="14">
        <f>PxQ!U54</f>
        <v>79.79867999999999</v>
      </c>
      <c r="G32" s="14">
        <f>PxQ!V54</f>
        <v>81.394653599999984</v>
      </c>
      <c r="H32" s="14">
        <f>PxQ!W54</f>
        <v>83.02254667199999</v>
      </c>
    </row>
    <row r="33" spans="1:8" hidden="1" x14ac:dyDescent="0.25">
      <c r="A33" s="1" t="str">
        <f>PxQ!A55</f>
        <v>function 2</v>
      </c>
      <c r="C33" s="32"/>
      <c r="D33" s="14">
        <f>PxQ!S55</f>
        <v>0</v>
      </c>
      <c r="E33" s="14">
        <f>PxQ!T55</f>
        <v>0</v>
      </c>
      <c r="F33" s="14">
        <f>PxQ!U55</f>
        <v>0</v>
      </c>
      <c r="G33" s="14">
        <f>PxQ!V55</f>
        <v>0</v>
      </c>
      <c r="H33" s="14">
        <f>PxQ!W55</f>
        <v>0</v>
      </c>
    </row>
    <row r="34" spans="1:8" hidden="1" x14ac:dyDescent="0.25">
      <c r="A34" s="1" t="str">
        <f>PxQ!A56</f>
        <v>function 3</v>
      </c>
      <c r="C34" s="32"/>
      <c r="D34" s="14">
        <f>PxQ!S56</f>
        <v>0</v>
      </c>
      <c r="E34" s="14">
        <f>PxQ!T56</f>
        <v>0</v>
      </c>
      <c r="F34" s="14">
        <f>PxQ!U56</f>
        <v>0</v>
      </c>
      <c r="G34" s="14">
        <f>PxQ!V56</f>
        <v>0</v>
      </c>
      <c r="H34" s="14">
        <f>PxQ!W56</f>
        <v>0</v>
      </c>
    </row>
    <row r="35" spans="1:8" hidden="1" x14ac:dyDescent="0.25">
      <c r="A35" s="1" t="str">
        <f>PxQ!A57</f>
        <v>function 4</v>
      </c>
      <c r="C35" s="32"/>
      <c r="D35" s="14">
        <f>PxQ!S57</f>
        <v>0</v>
      </c>
      <c r="E35" s="14">
        <f>PxQ!T57</f>
        <v>0</v>
      </c>
      <c r="F35" s="14">
        <f>PxQ!U57</f>
        <v>0</v>
      </c>
      <c r="G35" s="14">
        <f>PxQ!V57</f>
        <v>0</v>
      </c>
      <c r="H35" s="14">
        <f>PxQ!W57</f>
        <v>0</v>
      </c>
    </row>
    <row r="36" spans="1:8" hidden="1" x14ac:dyDescent="0.25">
      <c r="A36" s="1" t="str">
        <f>PxQ!A58</f>
        <v>function 5</v>
      </c>
      <c r="C36" s="32"/>
      <c r="D36" s="14">
        <f>PxQ!S58</f>
        <v>0</v>
      </c>
      <c r="E36" s="14">
        <f>PxQ!T58</f>
        <v>0</v>
      </c>
      <c r="F36" s="14">
        <f>PxQ!U58</f>
        <v>0</v>
      </c>
      <c r="G36" s="14">
        <f>PxQ!V58</f>
        <v>0</v>
      </c>
      <c r="H36" s="14">
        <f>PxQ!W58</f>
        <v>0</v>
      </c>
    </row>
    <row r="37" spans="1:8" hidden="1" x14ac:dyDescent="0.25">
      <c r="A37" s="1" t="str">
        <f>PxQ!A59</f>
        <v>function 6</v>
      </c>
      <c r="C37" s="32"/>
      <c r="D37" s="14">
        <f>PxQ!S59</f>
        <v>0</v>
      </c>
      <c r="E37" s="14">
        <f>PxQ!T59</f>
        <v>0</v>
      </c>
      <c r="F37" s="14">
        <f>PxQ!U59</f>
        <v>0</v>
      </c>
      <c r="G37" s="14">
        <f>PxQ!V59</f>
        <v>0</v>
      </c>
      <c r="H37" s="14">
        <f>PxQ!W59</f>
        <v>0</v>
      </c>
    </row>
    <row r="38" spans="1:8" hidden="1" x14ac:dyDescent="0.25">
      <c r="A38" s="1" t="str">
        <f>PxQ!A60</f>
        <v>function 7</v>
      </c>
      <c r="C38" s="32"/>
      <c r="D38" s="14">
        <f>PxQ!S60</f>
        <v>0</v>
      </c>
      <c r="E38" s="14">
        <f>PxQ!T60</f>
        <v>0</v>
      </c>
      <c r="F38" s="14">
        <f>PxQ!U60</f>
        <v>0</v>
      </c>
      <c r="G38" s="14">
        <f>PxQ!V60</f>
        <v>0</v>
      </c>
      <c r="H38" s="14">
        <f>PxQ!W60</f>
        <v>0</v>
      </c>
    </row>
    <row r="39" spans="1:8" hidden="1" x14ac:dyDescent="0.25">
      <c r="A39" s="1" t="str">
        <f>PxQ!A61</f>
        <v>function 8</v>
      </c>
      <c r="C39" s="32"/>
      <c r="D39" s="14">
        <f>PxQ!S61</f>
        <v>0</v>
      </c>
      <c r="E39" s="14">
        <f>PxQ!T61</f>
        <v>0</v>
      </c>
      <c r="F39" s="14">
        <f>PxQ!U61</f>
        <v>0</v>
      </c>
      <c r="G39" s="14">
        <f>PxQ!V61</f>
        <v>0</v>
      </c>
      <c r="H39" s="14">
        <f>PxQ!W61</f>
        <v>0</v>
      </c>
    </row>
    <row r="40" spans="1:8" hidden="1" x14ac:dyDescent="0.25">
      <c r="A40" s="1" t="str">
        <f>PxQ!A62</f>
        <v>function 9</v>
      </c>
      <c r="C40" s="32"/>
      <c r="D40" s="14">
        <f>PxQ!S62</f>
        <v>0</v>
      </c>
      <c r="E40" s="14">
        <f>PxQ!T62</f>
        <v>0</v>
      </c>
      <c r="F40" s="14">
        <f>PxQ!U62</f>
        <v>0</v>
      </c>
      <c r="G40" s="14">
        <f>PxQ!V62</f>
        <v>0</v>
      </c>
      <c r="H40" s="14">
        <f>PxQ!W62</f>
        <v>0</v>
      </c>
    </row>
    <row r="41" spans="1:8" hidden="1" x14ac:dyDescent="0.25">
      <c r="A41" s="1" t="str">
        <f>PxQ!A63</f>
        <v>function 10</v>
      </c>
      <c r="C41" s="32"/>
      <c r="D41" s="14">
        <f>PxQ!S63</f>
        <v>0</v>
      </c>
      <c r="E41" s="14">
        <f>PxQ!T63</f>
        <v>0</v>
      </c>
      <c r="F41" s="14">
        <f>PxQ!U63</f>
        <v>0</v>
      </c>
      <c r="G41" s="14">
        <f>PxQ!V63</f>
        <v>0</v>
      </c>
      <c r="H41" s="14">
        <f>PxQ!W63</f>
        <v>0</v>
      </c>
    </row>
    <row r="42" spans="1:8" ht="16.5" thickBot="1" x14ac:dyDescent="0.3">
      <c r="A42" s="1" t="s">
        <v>152</v>
      </c>
      <c r="C42" s="32" t="str">
        <f>"€"&amp;1000</f>
        <v>€1000</v>
      </c>
      <c r="D42" s="18">
        <f>SUM(D32:D41)</f>
        <v>76.7</v>
      </c>
      <c r="E42" s="18">
        <f t="shared" ref="E42:H42" si="3">SUM(E32:E41)</f>
        <v>156.46799999999999</v>
      </c>
      <c r="F42" s="18">
        <f t="shared" si="3"/>
        <v>79.79867999999999</v>
      </c>
      <c r="G42" s="18">
        <f t="shared" si="3"/>
        <v>81.394653599999984</v>
      </c>
      <c r="H42" s="18">
        <f t="shared" si="3"/>
        <v>83.02254667199999</v>
      </c>
    </row>
    <row r="43" spans="1:8" ht="16.5" thickTop="1" x14ac:dyDescent="0.25">
      <c r="D43" s="17"/>
      <c r="E43" s="17"/>
      <c r="F43" s="17"/>
      <c r="G43" s="17"/>
      <c r="H43" s="17"/>
    </row>
    <row r="44" spans="1:8" hidden="1" x14ac:dyDescent="0.25">
      <c r="A44" s="1" t="str">
        <f>PxQ!Q70</f>
        <v>Cost rent of office space</v>
      </c>
      <c r="D44" s="14">
        <f>PxQ!S69</f>
        <v>0</v>
      </c>
      <c r="E44" s="14">
        <f>PxQ!T69</f>
        <v>0</v>
      </c>
      <c r="F44" s="14">
        <f>PxQ!U69</f>
        <v>0</v>
      </c>
      <c r="G44" s="14">
        <f>PxQ!V69</f>
        <v>0</v>
      </c>
      <c r="H44" s="14">
        <f>PxQ!W69</f>
        <v>0</v>
      </c>
    </row>
    <row r="45" spans="1:8" hidden="1" x14ac:dyDescent="0.25">
      <c r="A45" s="1" t="str">
        <f>PxQ!Q71</f>
        <v>Cost Indirect cost tye 2</v>
      </c>
      <c r="D45" s="14">
        <f>PxQ!S70</f>
        <v>20</v>
      </c>
      <c r="E45" s="14">
        <f>PxQ!T70</f>
        <v>41.6</v>
      </c>
      <c r="F45" s="14">
        <f>PxQ!U70</f>
        <v>0</v>
      </c>
      <c r="G45" s="14">
        <f>PxQ!V70</f>
        <v>0</v>
      </c>
      <c r="H45" s="14">
        <f>PxQ!W70</f>
        <v>0</v>
      </c>
    </row>
    <row r="46" spans="1:8" hidden="1" x14ac:dyDescent="0.25">
      <c r="A46" s="1" t="str">
        <f>PxQ!Q72</f>
        <v>Cost Indirect cost tye 3</v>
      </c>
      <c r="D46" s="14">
        <f>PxQ!S71</f>
        <v>0</v>
      </c>
      <c r="E46" s="14">
        <f>PxQ!T71</f>
        <v>0</v>
      </c>
      <c r="F46" s="14">
        <f>PxQ!U71</f>
        <v>0</v>
      </c>
      <c r="G46" s="14">
        <f>PxQ!V71</f>
        <v>0</v>
      </c>
      <c r="H46" s="14">
        <f>PxQ!W71</f>
        <v>0</v>
      </c>
    </row>
    <row r="47" spans="1:8" hidden="1" x14ac:dyDescent="0.25">
      <c r="A47" s="1" t="str">
        <f>PxQ!Q73</f>
        <v>Cost Indirect cost tye 4</v>
      </c>
      <c r="D47" s="14">
        <f>PxQ!S72</f>
        <v>0</v>
      </c>
      <c r="E47" s="14">
        <f>PxQ!T72</f>
        <v>0</v>
      </c>
      <c r="F47" s="14">
        <f>PxQ!U72</f>
        <v>0</v>
      </c>
      <c r="G47" s="14">
        <f>PxQ!V72</f>
        <v>0</v>
      </c>
      <c r="H47" s="14">
        <f>PxQ!W72</f>
        <v>0</v>
      </c>
    </row>
    <row r="48" spans="1:8" hidden="1" x14ac:dyDescent="0.25">
      <c r="A48" s="1" t="str">
        <f>PxQ!Q74</f>
        <v>Cost Indirect cost tye 5</v>
      </c>
      <c r="D48" s="14">
        <f>PxQ!S73</f>
        <v>0</v>
      </c>
      <c r="E48" s="14">
        <f>PxQ!T73</f>
        <v>0</v>
      </c>
      <c r="F48" s="14">
        <f>PxQ!U73</f>
        <v>0</v>
      </c>
      <c r="G48" s="14">
        <f>PxQ!V73</f>
        <v>0</v>
      </c>
      <c r="H48" s="14">
        <f>PxQ!W73</f>
        <v>0</v>
      </c>
    </row>
    <row r="49" spans="1:8" hidden="1" x14ac:dyDescent="0.25">
      <c r="A49" s="1" t="str">
        <f>PxQ!Q75</f>
        <v>Cost Indirect cost tye 6</v>
      </c>
      <c r="D49" s="14">
        <f>PxQ!S74</f>
        <v>0</v>
      </c>
      <c r="E49" s="14">
        <f>PxQ!T74</f>
        <v>0</v>
      </c>
      <c r="F49" s="14">
        <f>PxQ!U74</f>
        <v>0</v>
      </c>
      <c r="G49" s="14">
        <f>PxQ!V74</f>
        <v>0</v>
      </c>
      <c r="H49" s="14">
        <f>PxQ!W74</f>
        <v>0</v>
      </c>
    </row>
    <row r="50" spans="1:8" hidden="1" x14ac:dyDescent="0.25">
      <c r="A50" s="1" t="str">
        <f>PxQ!Q76</f>
        <v>Cost Indirect cost tye 7</v>
      </c>
      <c r="D50" s="14">
        <f>PxQ!S75</f>
        <v>0</v>
      </c>
      <c r="E50" s="14">
        <f>PxQ!T75</f>
        <v>0</v>
      </c>
      <c r="F50" s="14">
        <f>PxQ!U75</f>
        <v>0</v>
      </c>
      <c r="G50" s="14">
        <f>PxQ!V75</f>
        <v>0</v>
      </c>
      <c r="H50" s="14">
        <f>PxQ!W75</f>
        <v>0</v>
      </c>
    </row>
    <row r="51" spans="1:8" hidden="1" x14ac:dyDescent="0.25">
      <c r="A51" s="1" t="str">
        <f>PxQ!Q77</f>
        <v>Cost Indirect cost tye 8</v>
      </c>
      <c r="D51" s="14">
        <f>PxQ!S76</f>
        <v>0</v>
      </c>
      <c r="E51" s="14">
        <f>PxQ!T76</f>
        <v>0</v>
      </c>
      <c r="F51" s="14">
        <f>PxQ!U76</f>
        <v>0</v>
      </c>
      <c r="G51" s="14">
        <f>PxQ!V76</f>
        <v>0</v>
      </c>
      <c r="H51" s="14">
        <f>PxQ!W76</f>
        <v>0</v>
      </c>
    </row>
    <row r="52" spans="1:8" hidden="1" x14ac:dyDescent="0.25">
      <c r="A52" s="1" t="str">
        <f>PxQ!Q78</f>
        <v>Cost Indirect cost tye 9</v>
      </c>
      <c r="D52" s="14">
        <f>PxQ!S77</f>
        <v>0</v>
      </c>
      <c r="E52" s="14">
        <f>PxQ!T77</f>
        <v>0</v>
      </c>
      <c r="F52" s="14">
        <f>PxQ!U77</f>
        <v>0</v>
      </c>
      <c r="G52" s="14">
        <f>PxQ!V77</f>
        <v>0</v>
      </c>
      <c r="H52" s="14">
        <f>PxQ!W77</f>
        <v>0</v>
      </c>
    </row>
    <row r="53" spans="1:8" hidden="1" x14ac:dyDescent="0.25">
      <c r="A53" s="1" t="str">
        <f>PxQ!Q79</f>
        <v>Cost Indirect cost tye 10</v>
      </c>
      <c r="D53" s="14">
        <f>PxQ!S78</f>
        <v>0</v>
      </c>
      <c r="E53" s="14">
        <f>PxQ!T78</f>
        <v>0</v>
      </c>
      <c r="F53" s="14">
        <f>PxQ!U78</f>
        <v>0</v>
      </c>
      <c r="G53" s="14">
        <f>PxQ!V78</f>
        <v>0</v>
      </c>
      <c r="H53" s="14">
        <f>PxQ!W78</f>
        <v>0</v>
      </c>
    </row>
    <row r="54" spans="1:8" ht="16.5" thickBot="1" x14ac:dyDescent="0.3">
      <c r="A54" s="1" t="s">
        <v>151</v>
      </c>
      <c r="C54" s="32" t="str">
        <f>"€"&amp;1000</f>
        <v>€1000</v>
      </c>
      <c r="D54" s="18">
        <f>SUM(D44:D53)</f>
        <v>20</v>
      </c>
      <c r="E54" s="18">
        <f t="shared" ref="E54:H54" si="4">SUM(E44:E53)</f>
        <v>41.6</v>
      </c>
      <c r="F54" s="18">
        <f t="shared" si="4"/>
        <v>0</v>
      </c>
      <c r="G54" s="18">
        <f t="shared" si="4"/>
        <v>0</v>
      </c>
      <c r="H54" s="18">
        <f t="shared" si="4"/>
        <v>0</v>
      </c>
    </row>
    <row r="55" spans="1:8" ht="16.5" thickTop="1" x14ac:dyDescent="0.25">
      <c r="D55" s="17"/>
      <c r="E55" s="17"/>
      <c r="F55" s="17"/>
      <c r="G55" s="17"/>
      <c r="H55" s="17"/>
    </row>
    <row r="56" spans="1:8" ht="16.5" thickBot="1" x14ac:dyDescent="0.3">
      <c r="A56" s="1" t="s">
        <v>25</v>
      </c>
      <c r="C56" s="32" t="str">
        <f>"€"&amp;1000</f>
        <v>€1000</v>
      </c>
      <c r="D56" s="18">
        <f>D30-D54</f>
        <v>2</v>
      </c>
      <c r="E56" s="18">
        <f t="shared" ref="E56:H56" si="5">E30-E54</f>
        <v>-5.8500000000000014</v>
      </c>
      <c r="F56" s="18">
        <f t="shared" si="5"/>
        <v>56.537499999999994</v>
      </c>
      <c r="G56" s="18">
        <f t="shared" si="5"/>
        <v>149.45749999999998</v>
      </c>
      <c r="H56" s="18">
        <f t="shared" si="5"/>
        <v>451.72149999999999</v>
      </c>
    </row>
    <row r="57" spans="1:8" ht="16.5" thickTop="1" x14ac:dyDescent="0.25">
      <c r="D57" s="17"/>
      <c r="E57" s="17"/>
      <c r="F57" s="17"/>
      <c r="G57" s="17"/>
      <c r="H57" s="17"/>
    </row>
    <row r="58" spans="1:8" x14ac:dyDescent="0.25">
      <c r="A58" s="1" t="s">
        <v>78</v>
      </c>
      <c r="C58" s="32" t="str">
        <f>"€"&amp;1000</f>
        <v>€1000</v>
      </c>
      <c r="D58" s="21">
        <f>SUM(PxQ!K102:K111)</f>
        <v>16</v>
      </c>
      <c r="E58" s="21">
        <f>SUM(PxQ!L102:L111)</f>
        <v>48</v>
      </c>
      <c r="F58" s="21">
        <f>SUM(PxQ!M102:M111)</f>
        <v>80</v>
      </c>
      <c r="G58" s="21">
        <f>SUM(PxQ!N102:N111)</f>
        <v>112</v>
      </c>
      <c r="H58" s="21">
        <f>SUM(PxQ!O102:O111)</f>
        <v>144</v>
      </c>
    </row>
    <row r="59" spans="1:8" x14ac:dyDescent="0.25">
      <c r="D59" s="17"/>
      <c r="E59" s="17"/>
      <c r="F59" s="17"/>
      <c r="G59" s="17"/>
      <c r="H59" s="17"/>
    </row>
    <row r="60" spans="1:8" ht="16.5" thickBot="1" x14ac:dyDescent="0.3">
      <c r="A60" s="1" t="s">
        <v>52</v>
      </c>
      <c r="C60" s="32" t="str">
        <f>"€"&amp;1000</f>
        <v>€1000</v>
      </c>
      <c r="D60" s="18">
        <f>D56-D58</f>
        <v>-14</v>
      </c>
      <c r="E60" s="18">
        <f t="shared" ref="E60:H60" si="6">E56-E58</f>
        <v>-53.85</v>
      </c>
      <c r="F60" s="18">
        <f t="shared" si="6"/>
        <v>-23.462500000000006</v>
      </c>
      <c r="G60" s="18">
        <f t="shared" si="6"/>
        <v>37.457499999999982</v>
      </c>
      <c r="H60" s="18">
        <f t="shared" si="6"/>
        <v>307.72149999999999</v>
      </c>
    </row>
    <row r="61" spans="1:8" ht="16.5" thickTop="1" x14ac:dyDescent="0.25">
      <c r="D61" s="17"/>
      <c r="E61" s="17"/>
      <c r="F61" s="17"/>
      <c r="G61" s="17"/>
      <c r="H61" s="17"/>
    </row>
    <row r="62" spans="1:8" x14ac:dyDescent="0.25">
      <c r="A62" s="1" t="s">
        <v>53</v>
      </c>
      <c r="D62" s="17"/>
      <c r="E62" s="17"/>
      <c r="F62" s="17"/>
      <c r="G62" s="17"/>
      <c r="H62" s="17"/>
    </row>
    <row r="63" spans="1:8" x14ac:dyDescent="0.25">
      <c r="A63" s="1" t="s">
        <v>54</v>
      </c>
      <c r="D63" s="30">
        <f>('Balance sheet'!F31+'Balance sheet'!F32+'Balance sheet'!E31+'Balance sheet'!E32)/2*Parameters!$E$64</f>
        <v>1.25</v>
      </c>
      <c r="E63" s="30">
        <f>('Balance sheet'!G31+'Balance sheet'!G32+'Balance sheet'!F31+'Balance sheet'!F32)/2*Parameters!$E$64</f>
        <v>5</v>
      </c>
      <c r="F63" s="30">
        <f>('Balance sheet'!H31+'Balance sheet'!H32+'Balance sheet'!G31+'Balance sheet'!G32)/2*Parameters!$E$64</f>
        <v>12.5</v>
      </c>
      <c r="G63" s="30">
        <f>('Balance sheet'!I31+'Balance sheet'!I32+'Balance sheet'!H31+'Balance sheet'!H32)/2*Parameters!$E$64</f>
        <v>17.5</v>
      </c>
      <c r="H63" s="30">
        <f>('Balance sheet'!J31+'Balance sheet'!J32+'Balance sheet'!I31+'Balance sheet'!I32)/2*Parameters!$E$64</f>
        <v>17.5</v>
      </c>
    </row>
    <row r="64" spans="1:8" x14ac:dyDescent="0.25">
      <c r="D64" s="17"/>
      <c r="E64" s="17"/>
      <c r="F64" s="17"/>
      <c r="G64" s="17"/>
      <c r="H64" s="17"/>
    </row>
    <row r="65" spans="1:9" ht="16.5" thickBot="1" x14ac:dyDescent="0.3">
      <c r="A65" s="1" t="s">
        <v>55</v>
      </c>
      <c r="C65" s="32" t="str">
        <f>"€"&amp;1000</f>
        <v>€1000</v>
      </c>
      <c r="D65" s="18">
        <f>D60+D62-D63</f>
        <v>-15.25</v>
      </c>
      <c r="E65" s="18">
        <f t="shared" ref="E65:H65" si="7">E60+E62-E63</f>
        <v>-58.85</v>
      </c>
      <c r="F65" s="18">
        <f t="shared" si="7"/>
        <v>-35.962500000000006</v>
      </c>
      <c r="G65" s="18">
        <f t="shared" si="7"/>
        <v>19.957499999999982</v>
      </c>
      <c r="H65" s="18">
        <f t="shared" si="7"/>
        <v>290.22149999999999</v>
      </c>
    </row>
    <row r="66" spans="1:9" ht="16.5" thickTop="1" x14ac:dyDescent="0.25">
      <c r="D66" s="17"/>
      <c r="E66" s="17"/>
      <c r="F66" s="17"/>
      <c r="G66" s="17"/>
      <c r="H66" s="17"/>
    </row>
    <row r="67" spans="1:9" ht="16.5" thickBot="1" x14ac:dyDescent="0.3">
      <c r="A67" s="1" t="s">
        <v>56</v>
      </c>
      <c r="C67" s="32" t="str">
        <f>"€"&amp;1000</f>
        <v>€1000</v>
      </c>
      <c r="D67" s="19">
        <f>D65*Cover!$D$20</f>
        <v>-3.8125</v>
      </c>
      <c r="E67" s="19">
        <f>E65*Cover!$D$20</f>
        <v>-14.7125</v>
      </c>
      <c r="F67" s="19">
        <f>F65*Cover!$D$20</f>
        <v>-8.9906250000000014</v>
      </c>
      <c r="G67" s="19">
        <f>G65*Cover!$D$20</f>
        <v>4.9893749999999955</v>
      </c>
      <c r="H67" s="19">
        <f>H65*Cover!$D$20</f>
        <v>72.555374999999998</v>
      </c>
    </row>
    <row r="68" spans="1:9" ht="16.5" thickTop="1" x14ac:dyDescent="0.25">
      <c r="D68" s="17"/>
      <c r="E68" s="17"/>
      <c r="F68" s="17"/>
      <c r="G68" s="17"/>
      <c r="H68" s="17"/>
    </row>
    <row r="69" spans="1:9" ht="16.5" thickBot="1" x14ac:dyDescent="0.3">
      <c r="A69" s="1" t="s">
        <v>57</v>
      </c>
      <c r="C69" s="32" t="str">
        <f>"€"&amp;1000</f>
        <v>€1000</v>
      </c>
      <c r="D69" s="33">
        <f>D65-D67</f>
        <v>-11.4375</v>
      </c>
      <c r="E69" s="33">
        <f t="shared" ref="E69:H69" si="8">E65-E67</f>
        <v>-44.137500000000003</v>
      </c>
      <c r="F69" s="33">
        <f t="shared" si="8"/>
        <v>-26.971875000000004</v>
      </c>
      <c r="G69" s="33">
        <f t="shared" si="8"/>
        <v>14.968124999999986</v>
      </c>
      <c r="H69" s="33">
        <f t="shared" si="8"/>
        <v>217.66612499999999</v>
      </c>
      <c r="I69" s="24"/>
    </row>
    <row r="70" spans="1:9" ht="16.5" thickTop="1" x14ac:dyDescent="0.25"/>
    <row r="72" spans="1:9" x14ac:dyDescent="0.25">
      <c r="A72" s="1" t="s">
        <v>218</v>
      </c>
      <c r="C72" s="32" t="str">
        <f>"€"&amp;1000</f>
        <v>€1000</v>
      </c>
      <c r="D72" s="13">
        <f>IF(D65&lt;0,D65,0)</f>
        <v>-15.25</v>
      </c>
      <c r="E72" s="13">
        <f t="shared" ref="E72:H72" si="9">IF(E65&lt;0,E65,0)</f>
        <v>-58.85</v>
      </c>
      <c r="F72" s="13">
        <f t="shared" si="9"/>
        <v>-35.962500000000006</v>
      </c>
      <c r="G72" s="13">
        <f t="shared" si="9"/>
        <v>0</v>
      </c>
      <c r="H72" s="13">
        <f t="shared" si="9"/>
        <v>0</v>
      </c>
    </row>
    <row r="73" spans="1:9" x14ac:dyDescent="0.25">
      <c r="C73" s="32"/>
    </row>
    <row r="74" spans="1:9" x14ac:dyDescent="0.25">
      <c r="A74" s="1" t="s">
        <v>219</v>
      </c>
      <c r="C74" s="32" t="str">
        <f t="shared" ref="C74:C78" si="10">"€"&amp;1000</f>
        <v>€1000</v>
      </c>
      <c r="D74" s="13">
        <f>IF(D72&lt;0,D72,0)</f>
        <v>-15.25</v>
      </c>
      <c r="E74" s="13">
        <f>IF(D74+E65&lt;0,D74+E65,0)</f>
        <v>-74.099999999999994</v>
      </c>
      <c r="F74" s="13">
        <f t="shared" ref="F74:G74" si="11">IF(E74+F65&lt;0,E74+F65,0)</f>
        <v>-110.0625</v>
      </c>
      <c r="G74" s="13">
        <f t="shared" si="11"/>
        <v>-90.105000000000018</v>
      </c>
      <c r="H74" s="13">
        <f>IF(G74+H65&lt;0,G74+H65,0)</f>
        <v>0</v>
      </c>
    </row>
    <row r="75" spans="1:9" x14ac:dyDescent="0.25">
      <c r="C75" s="32"/>
    </row>
    <row r="76" spans="1:9" x14ac:dyDescent="0.25">
      <c r="A76" s="1" t="s">
        <v>80</v>
      </c>
      <c r="C76" s="32" t="str">
        <f t="shared" si="10"/>
        <v>€1000</v>
      </c>
      <c r="D76" s="13">
        <f>-D74*Cover!$D$20</f>
        <v>3.8125</v>
      </c>
      <c r="E76" s="13">
        <f>-E74*Cover!$D$20</f>
        <v>18.524999999999999</v>
      </c>
      <c r="F76" s="13">
        <f>-F74*Cover!$D$20</f>
        <v>27.515625</v>
      </c>
      <c r="G76" s="13">
        <f>-G74*Cover!$D$20</f>
        <v>22.526250000000005</v>
      </c>
      <c r="H76" s="13">
        <f>-H74*Cover!$D$20</f>
        <v>0</v>
      </c>
    </row>
    <row r="77" spans="1:9" x14ac:dyDescent="0.25">
      <c r="C77" s="32"/>
    </row>
    <row r="78" spans="1:9" x14ac:dyDescent="0.25">
      <c r="A78" s="1" t="s">
        <v>220</v>
      </c>
      <c r="C78" s="32" t="str">
        <f t="shared" si="10"/>
        <v>€1000</v>
      </c>
      <c r="D78" s="13">
        <f>IF(D67&gt;0,D67,0)</f>
        <v>0</v>
      </c>
      <c r="E78" s="13">
        <f>IF(E67&gt;D76,E67-D76,0)</f>
        <v>0</v>
      </c>
      <c r="F78" s="13">
        <f t="shared" ref="F78:H78" si="12">IF(F67&gt;E76,F67-E76,0)</f>
        <v>0</v>
      </c>
      <c r="G78" s="13">
        <f t="shared" si="12"/>
        <v>0</v>
      </c>
      <c r="H78" s="13">
        <f t="shared" si="12"/>
        <v>50.029124999999993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47"/>
  <sheetViews>
    <sheetView topLeftCell="A19" zoomScale="84" zoomScaleNormal="84" workbookViewId="0">
      <selection activeCell="F10" sqref="F10:J10"/>
    </sheetView>
  </sheetViews>
  <sheetFormatPr defaultColWidth="10.875" defaultRowHeight="15.75" x14ac:dyDescent="0.25"/>
  <cols>
    <col min="1" max="1" width="7" style="1" customWidth="1"/>
    <col min="2" max="2" width="15.375" style="1" customWidth="1"/>
    <col min="3" max="3" width="21.125" style="1" customWidth="1"/>
    <col min="4" max="25" width="10.875" style="1"/>
    <col min="26" max="26" width="3.125" style="1" customWidth="1"/>
    <col min="27" max="27" width="10.875" style="1"/>
    <col min="28" max="28" width="22.875" style="1" customWidth="1"/>
    <col min="29" max="29" width="12.5" style="1" customWidth="1"/>
    <col min="30" max="16384" width="10.875" style="1"/>
  </cols>
  <sheetData>
    <row r="4" spans="1:10" ht="20.25" thickBot="1" x14ac:dyDescent="0.35">
      <c r="A4" s="10" t="s">
        <v>27</v>
      </c>
      <c r="B4" s="10"/>
      <c r="E4" s="11">
        <f>IF(Cover!$D$13&gt;0,F4-1,"year 0")</f>
        <v>2015</v>
      </c>
      <c r="F4" s="11">
        <f>IF(Cover!$D$13&gt;0,Cover!$D$13,"year 1")</f>
        <v>2016</v>
      </c>
      <c r="G4" s="11">
        <f>IF(Cover!$D$13&gt;0,F4+1,"year 2")</f>
        <v>2017</v>
      </c>
      <c r="H4" s="11">
        <f>IF(Cover!$D$13&gt;0,G4+1,"year 3")</f>
        <v>2018</v>
      </c>
      <c r="I4" s="11">
        <f>IF(Cover!$D$13&gt;0,H4+1,"year 4")</f>
        <v>2019</v>
      </c>
      <c r="J4" s="11">
        <f>IF(Cover!$D$13&gt;0,I4+1,"year 5")</f>
        <v>2020</v>
      </c>
    </row>
    <row r="5" spans="1:10" ht="16.5" thickTop="1" x14ac:dyDescent="0.25"/>
    <row r="6" spans="1:10" ht="19.5" thickBot="1" x14ac:dyDescent="0.35">
      <c r="A6" s="20" t="s">
        <v>83</v>
      </c>
      <c r="D6" s="32" t="str">
        <f>"€"&amp;1000</f>
        <v>€1000</v>
      </c>
      <c r="E6" s="22">
        <f t="shared" ref="E6:J6" si="0">E8+E13+E20</f>
        <v>10</v>
      </c>
      <c r="F6" s="23">
        <f t="shared" si="0"/>
        <v>185.65673515981737</v>
      </c>
      <c r="G6" s="23">
        <f t="shared" si="0"/>
        <v>354.20671061643833</v>
      </c>
      <c r="H6" s="23">
        <f t="shared" si="0"/>
        <v>521.45047429794522</v>
      </c>
      <c r="I6" s="23">
        <f t="shared" si="0"/>
        <v>553.93531410068499</v>
      </c>
      <c r="J6" s="23">
        <f t="shared" si="0"/>
        <v>867.41924829536993</v>
      </c>
    </row>
    <row r="7" spans="1:10" ht="19.5" thickTop="1" x14ac:dyDescent="0.3">
      <c r="A7" s="20"/>
      <c r="F7" s="17"/>
      <c r="G7" s="17"/>
      <c r="H7" s="17"/>
      <c r="I7" s="17"/>
      <c r="J7" s="17"/>
    </row>
    <row r="8" spans="1:10" x14ac:dyDescent="0.25">
      <c r="B8" s="15" t="s">
        <v>28</v>
      </c>
      <c r="D8" s="32" t="str">
        <f>"€"&amp;1000</f>
        <v>€1000</v>
      </c>
      <c r="E8" s="3">
        <f t="shared" ref="E8:J8" si="1">SUM(E9:E11)</f>
        <v>0</v>
      </c>
      <c r="F8" s="14">
        <f t="shared" si="1"/>
        <v>172.8125</v>
      </c>
      <c r="G8" s="14">
        <f t="shared" si="1"/>
        <v>424.52499999999998</v>
      </c>
      <c r="H8" s="14">
        <f t="shared" si="1"/>
        <v>538.515625</v>
      </c>
      <c r="I8" s="14">
        <f t="shared" si="1"/>
        <v>606.52625</v>
      </c>
      <c r="J8" s="14">
        <f t="shared" si="1"/>
        <v>625</v>
      </c>
    </row>
    <row r="9" spans="1:10" x14ac:dyDescent="0.25">
      <c r="B9" s="1" t="s">
        <v>111</v>
      </c>
      <c r="D9" s="32" t="str">
        <f t="shared" ref="D9:D11" si="2">"€"&amp;1000</f>
        <v>€1000</v>
      </c>
      <c r="E9" s="12"/>
      <c r="F9" s="21">
        <f>SUM(PxQ!S102:S111)</f>
        <v>169</v>
      </c>
      <c r="G9" s="21">
        <f>SUM(PxQ!T102:T111)+$E9</f>
        <v>306</v>
      </c>
      <c r="H9" s="21">
        <f>SUM(PxQ!U102:U111)+$E9</f>
        <v>411</v>
      </c>
      <c r="I9" s="21">
        <f>SUM(PxQ!V102:V111)+$E9</f>
        <v>484</v>
      </c>
      <c r="J9" s="21">
        <f>SUM(PxQ!W102:W111)+$E9</f>
        <v>525</v>
      </c>
    </row>
    <row r="10" spans="1:10" x14ac:dyDescent="0.25">
      <c r="B10" s="1" t="s">
        <v>79</v>
      </c>
      <c r="D10" s="32" t="str">
        <f t="shared" si="2"/>
        <v>€1000</v>
      </c>
      <c r="E10" s="12"/>
      <c r="F10" s="21">
        <f>-SUM('Cashflow + financing'!$E35:'Cashflow + financing'!E35)</f>
        <v>0</v>
      </c>
      <c r="G10" s="21">
        <f>-SUM('Cashflow + financing'!$E35:'Cashflow + financing'!F35)</f>
        <v>100</v>
      </c>
      <c r="H10" s="21">
        <f>-SUM('Cashflow + financing'!$E35:'Cashflow + financing'!G35)</f>
        <v>100</v>
      </c>
      <c r="I10" s="21">
        <f>-SUM('Cashflow + financing'!$E35:'Cashflow + financing'!H35)</f>
        <v>100</v>
      </c>
      <c r="J10" s="21">
        <f>-SUM('Cashflow + financing'!$E35:'Cashflow + financing'!I35)</f>
        <v>100</v>
      </c>
    </row>
    <row r="11" spans="1:10" x14ac:dyDescent="0.25">
      <c r="B11" s="1" t="s">
        <v>80</v>
      </c>
      <c r="D11" s="32" t="str">
        <f t="shared" si="2"/>
        <v>€1000</v>
      </c>
      <c r="E11" s="12"/>
      <c r="F11" s="21">
        <f>'P&amp;L'!D76</f>
        <v>3.8125</v>
      </c>
      <c r="G11" s="21">
        <f>'P&amp;L'!E76</f>
        <v>18.524999999999999</v>
      </c>
      <c r="H11" s="21">
        <f>'P&amp;L'!F76</f>
        <v>27.515625</v>
      </c>
      <c r="I11" s="21">
        <f>'P&amp;L'!G76</f>
        <v>22.526250000000005</v>
      </c>
      <c r="J11" s="21">
        <f>'P&amp;L'!H76</f>
        <v>0</v>
      </c>
    </row>
    <row r="12" spans="1:10" x14ac:dyDescent="0.25">
      <c r="F12" s="17"/>
      <c r="G12" s="17"/>
      <c r="H12" s="17"/>
      <c r="I12" s="17"/>
      <c r="J12" s="17"/>
    </row>
    <row r="13" spans="1:10" x14ac:dyDescent="0.25">
      <c r="B13" s="15" t="s">
        <v>145</v>
      </c>
      <c r="D13" s="32" t="str">
        <f>"€"&amp;1000</f>
        <v>€1000</v>
      </c>
      <c r="E13" s="3">
        <f>SUM(E14:E18)</f>
        <v>0</v>
      </c>
      <c r="F13" s="14">
        <f>SUM(F14:F18)</f>
        <v>19.020342465753423</v>
      </c>
      <c r="G13" s="14">
        <f t="shared" ref="G13:J13" si="3">SUM(G14:G18)</f>
        <v>23.745815068493151</v>
      </c>
      <c r="H13" s="14">
        <f t="shared" si="3"/>
        <v>27.892465753424659</v>
      </c>
      <c r="I13" s="14">
        <f t="shared" si="3"/>
        <v>48.023698630136984</v>
      </c>
      <c r="J13" s="14">
        <f t="shared" si="3"/>
        <v>102.63980821917808</v>
      </c>
    </row>
    <row r="14" spans="1:10" x14ac:dyDescent="0.25">
      <c r="B14" s="1" t="s">
        <v>99</v>
      </c>
      <c r="D14" s="32" t="str">
        <f t="shared" ref="D14:D20" si="4">"€"&amp;1000</f>
        <v>€1000</v>
      </c>
      <c r="E14" s="12"/>
      <c r="F14" s="30">
        <f>SUM(PxQ!AA22:AA31)*Parameters!$E$76/365</f>
        <v>0.27397260273972601</v>
      </c>
      <c r="G14" s="30">
        <f>SUM(PxQ!AB22:AB31)*Parameters!$E$76/365</f>
        <v>0.54794520547945202</v>
      </c>
      <c r="H14" s="30">
        <f>SUM(PxQ!AC22:AC31)*Parameters!$E$76/365</f>
        <v>1.095890410958904</v>
      </c>
      <c r="I14" s="30">
        <f>SUM(PxQ!AD22:AD31)*Parameters!$E$76/365</f>
        <v>2.1917808219178081</v>
      </c>
      <c r="J14" s="30">
        <f>SUM(PxQ!AE22:AE31)*Parameters!$E$76/365</f>
        <v>4.3835616438356162</v>
      </c>
    </row>
    <row r="15" spans="1:10" x14ac:dyDescent="0.25">
      <c r="B15" s="1" t="s">
        <v>97</v>
      </c>
      <c r="D15" s="32" t="str">
        <f t="shared" si="4"/>
        <v>€1000</v>
      </c>
      <c r="E15" s="12"/>
      <c r="F15" s="30">
        <f>'P&amp;L'!D16*Parameters!$E$77/365</f>
        <v>2.8767123287671232</v>
      </c>
      <c r="G15" s="30">
        <f>'P&amp;L'!E16*Parameters!$E$77/365</f>
        <v>4.5821917808219181</v>
      </c>
      <c r="H15" s="30">
        <f>'P&amp;L'!F16*Parameters!$E$77/365</f>
        <v>7.9345890410958901</v>
      </c>
      <c r="I15" s="30">
        <f>'P&amp;L'!G16*Parameters!$E$77/365</f>
        <v>18.859520547945205</v>
      </c>
      <c r="J15" s="30">
        <f>'P&amp;L'!H16*Parameters!$E$77/365</f>
        <v>50.278479452054796</v>
      </c>
    </row>
    <row r="16" spans="1:10" x14ac:dyDescent="0.25">
      <c r="B16" s="1" t="s">
        <v>98</v>
      </c>
      <c r="D16" s="32" t="str">
        <f t="shared" si="4"/>
        <v>€1000</v>
      </c>
      <c r="E16" s="12"/>
      <c r="F16" s="30">
        <f>('P&amp;L'!D28+'P&amp;L'!D54+SUM(PxQ!S86:S95))*Parameters!$E$78/365</f>
        <v>2.9863013698630136</v>
      </c>
      <c r="G16" s="30">
        <f>('P&amp;L'!E28+'P&amp;L'!E54+SUM(PxQ!T86:T95))*Parameters!$E$78/365</f>
        <v>3.3780821917808219</v>
      </c>
      <c r="H16" s="30">
        <f>('P&amp;L'!F28+'P&amp;L'!F54+SUM(PxQ!U86:U95))*Parameters!$E$78/365</f>
        <v>3.0821917808219177</v>
      </c>
      <c r="I16" s="30">
        <f>('P&amp;L'!G28+'P&amp;L'!G54+SUM(PxQ!V86:V95))*Parameters!$E$78/365</f>
        <v>3.6301369863013697</v>
      </c>
      <c r="J16" s="30">
        <f>('P&amp;L'!H28+'P&amp;L'!H54+SUM(PxQ!W86:W95))*Parameters!$E$78/365</f>
        <v>4.7260273972602738</v>
      </c>
    </row>
    <row r="17" spans="1:13" x14ac:dyDescent="0.25">
      <c r="B17" s="1" t="s">
        <v>164</v>
      </c>
      <c r="D17" s="32" t="str">
        <f t="shared" si="4"/>
        <v>€1000</v>
      </c>
      <c r="E17" s="12"/>
      <c r="F17" s="30">
        <f>'P&amp;L'!D16*Parameters!$E$79/365</f>
        <v>1.4383561643835616</v>
      </c>
      <c r="G17" s="30">
        <f>'P&amp;L'!E16*Parameters!$E$79/365</f>
        <v>2.2910958904109591</v>
      </c>
      <c r="H17" s="30">
        <f>'P&amp;L'!F16*Parameters!$E$79/365</f>
        <v>3.9672945205479451</v>
      </c>
      <c r="I17" s="30">
        <f>'P&amp;L'!G16*Parameters!$E$79/365</f>
        <v>9.4297602739726027</v>
      </c>
      <c r="J17" s="30">
        <f>'P&amp;L'!H16*Parameters!$E$79/365</f>
        <v>25.139239726027398</v>
      </c>
    </row>
    <row r="18" spans="1:13" x14ac:dyDescent="0.25">
      <c r="B18" s="1" t="s">
        <v>81</v>
      </c>
      <c r="D18" s="32" t="str">
        <f t="shared" si="4"/>
        <v>€1000</v>
      </c>
      <c r="E18" s="12"/>
      <c r="F18" s="30">
        <f>('P&amp;L'!D28+'P&amp;L'!D54+SUM(PxQ!S86:S95))*Cover!$D$19*Parameters!$E$70/12</f>
        <v>11.445</v>
      </c>
      <c r="G18" s="30">
        <f>('P&amp;L'!E28+'P&amp;L'!E54+SUM(PxQ!T86:T95))*Cover!$D$19*Parameters!$E$70/12</f>
        <v>12.946499999999999</v>
      </c>
      <c r="H18" s="30">
        <f>('P&amp;L'!F28+'P&amp;L'!F54+SUM(PxQ!U86:U95))*Cover!$D$19*Parameters!$E$70/12</f>
        <v>11.8125</v>
      </c>
      <c r="I18" s="30">
        <f>('P&amp;L'!G28+'P&amp;L'!G54+SUM(PxQ!V86:V95))*Cover!$D$19*Parameters!$E$70/12</f>
        <v>13.9125</v>
      </c>
      <c r="J18" s="30">
        <f>('P&amp;L'!H28+'P&amp;L'!H54+SUM(PxQ!W86:W95))*Cover!$D$19*Parameters!$E$70/12</f>
        <v>18.112500000000001</v>
      </c>
    </row>
    <row r="20" spans="1:13" ht="16.5" thickBot="1" x14ac:dyDescent="0.3">
      <c r="B20" s="1" t="s">
        <v>82</v>
      </c>
      <c r="D20" s="32" t="str">
        <f t="shared" si="4"/>
        <v>€1000</v>
      </c>
      <c r="E20" s="26">
        <f>E25</f>
        <v>10</v>
      </c>
      <c r="F20" s="27">
        <f>'Cashflow + financing'!E47</f>
        <v>-6.1761073059360569</v>
      </c>
      <c r="G20" s="27">
        <f>'Cashflow + financing'!F47</f>
        <v>-94.064104452054778</v>
      </c>
      <c r="H20" s="27">
        <f>'Cashflow + financing'!G47</f>
        <v>-44.957616455479439</v>
      </c>
      <c r="I20" s="27">
        <f>'Cashflow + financing'!H47</f>
        <v>-100.61463452945205</v>
      </c>
      <c r="J20" s="27">
        <f>'Cashflow + financing'!I47</f>
        <v>139.77944007619178</v>
      </c>
    </row>
    <row r="21" spans="1:13" ht="16.5" thickTop="1" x14ac:dyDescent="0.25">
      <c r="F21" s="17"/>
      <c r="G21" s="17"/>
      <c r="H21" s="17"/>
      <c r="I21" s="17"/>
      <c r="J21" s="17"/>
    </row>
    <row r="22" spans="1:13" ht="19.5" thickBot="1" x14ac:dyDescent="0.35">
      <c r="A22" s="20" t="s">
        <v>84</v>
      </c>
      <c r="D22" s="32" t="str">
        <f>"€"&amp;1000</f>
        <v>€1000</v>
      </c>
      <c r="E22" s="22">
        <f>E24+E30+E34</f>
        <v>10</v>
      </c>
      <c r="F22" s="23">
        <f t="shared" ref="F22:J22" si="5">F24+F30+F34</f>
        <v>185.65673515981734</v>
      </c>
      <c r="G22" s="23">
        <f t="shared" si="5"/>
        <v>354.20671061643839</v>
      </c>
      <c r="H22" s="23">
        <f t="shared" si="5"/>
        <v>521.45047429794522</v>
      </c>
      <c r="I22" s="23">
        <f t="shared" si="5"/>
        <v>553.93531410068488</v>
      </c>
      <c r="J22" s="23">
        <f t="shared" si="5"/>
        <v>867.41924829536981</v>
      </c>
    </row>
    <row r="23" spans="1:13" ht="19.5" thickTop="1" x14ac:dyDescent="0.3">
      <c r="A23" s="20"/>
      <c r="F23" s="17"/>
      <c r="G23" s="17"/>
      <c r="H23" s="17"/>
      <c r="I23" s="17"/>
      <c r="J23" s="17"/>
    </row>
    <row r="24" spans="1:13" x14ac:dyDescent="0.25">
      <c r="B24" s="15" t="s">
        <v>85</v>
      </c>
      <c r="D24" s="32" t="str">
        <f t="shared" ref="D24:D28" si="6">"€"&amp;1000</f>
        <v>€1000</v>
      </c>
      <c r="E24" s="3">
        <f t="shared" ref="E24:J24" si="7">SUM(E25:E28)</f>
        <v>10</v>
      </c>
      <c r="F24" s="13">
        <f t="shared" si="7"/>
        <v>98.5625</v>
      </c>
      <c r="G24" s="13">
        <f t="shared" si="7"/>
        <v>154.42500000000001</v>
      </c>
      <c r="H24" s="13">
        <f t="shared" si="7"/>
        <v>127.453125</v>
      </c>
      <c r="I24" s="13">
        <f t="shared" si="7"/>
        <v>142.42124999999999</v>
      </c>
      <c r="J24" s="13">
        <f t="shared" si="7"/>
        <v>360.08737499999995</v>
      </c>
      <c r="M24" s="1">
        <v>1</v>
      </c>
    </row>
    <row r="25" spans="1:13" ht="16.5" thickBot="1" x14ac:dyDescent="0.3">
      <c r="B25" s="1" t="s">
        <v>86</v>
      </c>
      <c r="D25" s="32" t="str">
        <f t="shared" si="6"/>
        <v>€1000</v>
      </c>
      <c r="E25" s="26">
        <f>Cover!D17</f>
        <v>10</v>
      </c>
      <c r="F25" s="30">
        <f>E25</f>
        <v>10</v>
      </c>
      <c r="G25" s="30">
        <f t="shared" ref="G25:J25" si="8">F25</f>
        <v>10</v>
      </c>
      <c r="H25" s="30">
        <f t="shared" si="8"/>
        <v>10</v>
      </c>
      <c r="I25" s="30">
        <f t="shared" si="8"/>
        <v>10</v>
      </c>
      <c r="J25" s="30">
        <f t="shared" si="8"/>
        <v>10</v>
      </c>
    </row>
    <row r="26" spans="1:13" ht="16.5" thickTop="1" x14ac:dyDescent="0.25">
      <c r="B26" s="1" t="s">
        <v>144</v>
      </c>
      <c r="D26" s="32" t="str">
        <f t="shared" si="6"/>
        <v>€1000</v>
      </c>
      <c r="E26" s="12"/>
      <c r="F26" s="30">
        <f>'Cashflow + financing'!E39</f>
        <v>100</v>
      </c>
      <c r="G26" s="30">
        <f>'Cashflow + financing'!F39+'Balance sheet'!F26</f>
        <v>200</v>
      </c>
      <c r="H26" s="30">
        <f>'Cashflow + financing'!G39+'Balance sheet'!G26</f>
        <v>200</v>
      </c>
      <c r="I26" s="30">
        <f>'Cashflow + financing'!H39+'Balance sheet'!H26</f>
        <v>200</v>
      </c>
      <c r="J26" s="30">
        <f>'Cashflow + financing'!I39+'Balance sheet'!I26</f>
        <v>200</v>
      </c>
    </row>
    <row r="27" spans="1:13" x14ac:dyDescent="0.25">
      <c r="B27" s="1" t="s">
        <v>143</v>
      </c>
      <c r="D27" s="32" t="str">
        <f t="shared" si="6"/>
        <v>€1000</v>
      </c>
      <c r="E27" s="12"/>
      <c r="F27" s="30">
        <f>E27+E26</f>
        <v>0</v>
      </c>
      <c r="G27" s="30">
        <f t="shared" ref="G27:J27" si="9">F28+F27</f>
        <v>-11.4375</v>
      </c>
      <c r="H27" s="30">
        <f t="shared" si="9"/>
        <v>-55.575000000000003</v>
      </c>
      <c r="I27" s="30">
        <f t="shared" si="9"/>
        <v>-82.546875</v>
      </c>
      <c r="J27" s="30">
        <f t="shared" si="9"/>
        <v>-67.578750000000014</v>
      </c>
    </row>
    <row r="28" spans="1:13" x14ac:dyDescent="0.25">
      <c r="B28" s="1" t="s">
        <v>87</v>
      </c>
      <c r="D28" s="32" t="str">
        <f t="shared" si="6"/>
        <v>€1000</v>
      </c>
      <c r="F28" s="30">
        <f>'P&amp;L'!D69</f>
        <v>-11.4375</v>
      </c>
      <c r="G28" s="30">
        <f>'P&amp;L'!E69</f>
        <v>-44.137500000000003</v>
      </c>
      <c r="H28" s="30">
        <f>'P&amp;L'!F69</f>
        <v>-26.971875000000004</v>
      </c>
      <c r="I28" s="30">
        <f>'P&amp;L'!G69</f>
        <v>14.968124999999986</v>
      </c>
      <c r="J28" s="30">
        <f>'P&amp;L'!H69</f>
        <v>217.66612499999999</v>
      </c>
    </row>
    <row r="29" spans="1:13" x14ac:dyDescent="0.25">
      <c r="F29" s="24"/>
      <c r="G29" s="24"/>
      <c r="H29" s="24"/>
      <c r="I29" s="24"/>
      <c r="J29" s="24"/>
    </row>
    <row r="30" spans="1:13" x14ac:dyDescent="0.25">
      <c r="B30" s="15" t="s">
        <v>88</v>
      </c>
      <c r="D30" s="32" t="str">
        <f t="shared" ref="D30:D32" si="10">"€"&amp;1000</f>
        <v>€1000</v>
      </c>
      <c r="E30" s="3">
        <f>SUM(E31:E32)</f>
        <v>0</v>
      </c>
      <c r="F30" s="13">
        <f t="shared" ref="F30:J30" si="11">SUM(F31:F32)</f>
        <v>50</v>
      </c>
      <c r="G30" s="13">
        <f t="shared" si="11"/>
        <v>150</v>
      </c>
      <c r="H30" s="13">
        <f t="shared" si="11"/>
        <v>350</v>
      </c>
      <c r="I30" s="13">
        <f t="shared" si="11"/>
        <v>350</v>
      </c>
      <c r="J30" s="13">
        <f t="shared" si="11"/>
        <v>350</v>
      </c>
    </row>
    <row r="31" spans="1:13" x14ac:dyDescent="0.25">
      <c r="B31" s="1" t="s">
        <v>89</v>
      </c>
      <c r="D31" s="32" t="str">
        <f t="shared" si="10"/>
        <v>€1000</v>
      </c>
      <c r="E31" s="12"/>
      <c r="F31" s="30">
        <f>SUM('Cashflow + financing'!$E40:E40)+SUM('Cashflow + financing'!$E41:E41)+$E31</f>
        <v>50</v>
      </c>
      <c r="G31" s="30">
        <f>SUM('Cashflow + financing'!$E40:F40)+SUM('Cashflow + financing'!$E41:F41)+$E31</f>
        <v>150</v>
      </c>
      <c r="H31" s="30">
        <f>SUM('Cashflow + financing'!$E40:G40)+SUM('Cashflow + financing'!$E41:G41)+$E31</f>
        <v>350</v>
      </c>
      <c r="I31" s="30">
        <f>SUM('Cashflow + financing'!$E40:H40)+SUM('Cashflow + financing'!$E41:H41)+$E31</f>
        <v>350</v>
      </c>
      <c r="J31" s="30">
        <f>SUM('Cashflow + financing'!$E40:I40)+SUM('Cashflow + financing'!$E41:I41)+$E31</f>
        <v>350</v>
      </c>
    </row>
    <row r="32" spans="1:13" x14ac:dyDescent="0.25">
      <c r="B32" s="1" t="s">
        <v>90</v>
      </c>
      <c r="D32" s="32" t="str">
        <f t="shared" si="10"/>
        <v>€1000</v>
      </c>
      <c r="E32" s="12"/>
      <c r="F32" s="30">
        <f>SUM('Cashflow + financing'!$E42:E42)+$E32</f>
        <v>0</v>
      </c>
      <c r="G32" s="30">
        <f>SUM('Cashflow + financing'!$E42:F42)+$E32</f>
        <v>0</v>
      </c>
      <c r="H32" s="30">
        <f>SUM('Cashflow + financing'!$E42:G42)+$E32</f>
        <v>0</v>
      </c>
      <c r="I32" s="30">
        <f>SUM('Cashflow + financing'!$E42:H42)+$E32</f>
        <v>0</v>
      </c>
      <c r="J32" s="30">
        <f>SUM('Cashflow + financing'!$E42:I42)+$E32</f>
        <v>0</v>
      </c>
    </row>
    <row r="33" spans="2:35" x14ac:dyDescent="0.25">
      <c r="F33" s="24"/>
      <c r="G33" s="24"/>
      <c r="H33" s="24"/>
      <c r="I33" s="24"/>
      <c r="J33" s="24"/>
    </row>
    <row r="34" spans="2:35" x14ac:dyDescent="0.25">
      <c r="B34" s="15" t="s">
        <v>91</v>
      </c>
      <c r="D34" s="32" t="str">
        <f t="shared" ref="D34:D42" si="12">"€"&amp;1000</f>
        <v>€1000</v>
      </c>
      <c r="E34" s="13">
        <f>SUM(E35:E42)</f>
        <v>0</v>
      </c>
      <c r="F34" s="13">
        <f>SUM(F35:F42)</f>
        <v>37.094235159817352</v>
      </c>
      <c r="G34" s="13">
        <f t="shared" ref="G34:J34" si="13">SUM(G35:G42)</f>
        <v>49.78171061643836</v>
      </c>
      <c r="H34" s="13">
        <f t="shared" si="13"/>
        <v>43.997349297945206</v>
      </c>
      <c r="I34" s="13">
        <f t="shared" si="13"/>
        <v>61.514064100684934</v>
      </c>
      <c r="J34" s="13">
        <f t="shared" si="13"/>
        <v>157.33187329536989</v>
      </c>
    </row>
    <row r="35" spans="2:35" x14ac:dyDescent="0.25">
      <c r="B35" s="1" t="s">
        <v>92</v>
      </c>
      <c r="D35" s="32" t="str">
        <f t="shared" si="12"/>
        <v>€1000</v>
      </c>
      <c r="E35" s="12"/>
      <c r="F35" s="30">
        <f>('P&amp;L'!D28+'P&amp;L'!D54+SUM(PxQ!S86:S95))*Parameters!$E$80/365</f>
        <v>17.917808219178081</v>
      </c>
      <c r="G35" s="30">
        <f>('P&amp;L'!E28+'P&amp;L'!E54+SUM(PxQ!T86:T95))*Parameters!$E$80/365</f>
        <v>20.268493150684932</v>
      </c>
      <c r="H35" s="30">
        <f>('P&amp;L'!F28+'P&amp;L'!F54+SUM(PxQ!U86:U95))*Parameters!$E$80/365</f>
        <v>18.493150684931507</v>
      </c>
      <c r="I35" s="30">
        <f>('P&amp;L'!G28+'P&amp;L'!G54+SUM(PxQ!V86:V95))*Parameters!$E$80/365</f>
        <v>21.780821917808218</v>
      </c>
      <c r="J35" s="30">
        <f>('P&amp;L'!H28+'P&amp;L'!H54+SUM(PxQ!W86:W95))*Parameters!$E$80/365</f>
        <v>28.356164383561644</v>
      </c>
    </row>
    <row r="36" spans="2:35" x14ac:dyDescent="0.25">
      <c r="B36" s="1" t="s">
        <v>96</v>
      </c>
      <c r="D36" s="32" t="str">
        <f t="shared" si="12"/>
        <v>€1000</v>
      </c>
      <c r="E36" s="12"/>
      <c r="F36" s="30">
        <f>('P&amp;L'!D28+'P&amp;L'!D54+SUM(PxQ!S86:S95))*Parameters!$E$81/365</f>
        <v>8.9589041095890405</v>
      </c>
      <c r="G36" s="30">
        <f>('P&amp;L'!E28+'P&amp;L'!E54+SUM(PxQ!T86:T95))*Parameters!$E$81/365</f>
        <v>10.134246575342466</v>
      </c>
      <c r="H36" s="30">
        <f>('P&amp;L'!F28+'P&amp;L'!F54+SUM(PxQ!U86:U95))*Parameters!$E$81/365</f>
        <v>9.2465753424657535</v>
      </c>
      <c r="I36" s="30">
        <f>('P&amp;L'!G28+'P&amp;L'!G54+SUM(PxQ!V86:V95))*Parameters!$E$81/365</f>
        <v>10.890410958904109</v>
      </c>
      <c r="J36" s="30">
        <f>('P&amp;L'!H28+'P&amp;L'!H54+SUM(PxQ!W86:W95))*Parameters!$E$81/365</f>
        <v>14.178082191780822</v>
      </c>
    </row>
    <row r="37" spans="2:35" x14ac:dyDescent="0.25">
      <c r="B37" s="1" t="s">
        <v>165</v>
      </c>
      <c r="D37" s="32" t="str">
        <f t="shared" si="12"/>
        <v>€1000</v>
      </c>
      <c r="E37" s="12"/>
      <c r="F37" s="30">
        <f>'P&amp;L'!D16*Parameters!$E$82/365</f>
        <v>1.4383561643835616</v>
      </c>
      <c r="G37" s="30">
        <f>'P&amp;L'!E16*Parameters!$E$82/365</f>
        <v>2.2910958904109591</v>
      </c>
      <c r="H37" s="30">
        <f>'P&amp;L'!F16*Parameters!$E$82/365</f>
        <v>3.9672945205479451</v>
      </c>
      <c r="I37" s="30">
        <f>'P&amp;L'!G16*Parameters!$E$82/365</f>
        <v>9.4297602739726027</v>
      </c>
      <c r="J37" s="30">
        <f>'P&amp;L'!H16*Parameters!$E$82/365</f>
        <v>25.139239726027398</v>
      </c>
    </row>
    <row r="38" spans="2:35" x14ac:dyDescent="0.25">
      <c r="B38" s="1" t="s">
        <v>93</v>
      </c>
      <c r="D38" s="32" t="str">
        <f t="shared" si="12"/>
        <v>€1000</v>
      </c>
      <c r="E38" s="12"/>
      <c r="F38" s="30">
        <f>'P&amp;L'!D16*Cover!$D$19*Parameters!$E$70/12</f>
        <v>1.8374999999999997</v>
      </c>
      <c r="G38" s="30">
        <f>'P&amp;L'!E16*Cover!$D$19*Parameters!$E$70/12</f>
        <v>2.9268750000000003</v>
      </c>
      <c r="H38" s="30">
        <f>'P&amp;L'!F16*Cover!$D$19*Parameters!$E$70/12</f>
        <v>5.0682187499999998</v>
      </c>
      <c r="I38" s="30">
        <f>'P&amp;L'!G16*Cover!$D$19*Parameters!$E$70/12</f>
        <v>12.046518749999999</v>
      </c>
      <c r="J38" s="30">
        <f>'P&amp;L'!H16*Cover!$D$19*Parameters!$E$70/12</f>
        <v>32.115378749999998</v>
      </c>
    </row>
    <row r="39" spans="2:35" x14ac:dyDescent="0.25">
      <c r="B39" s="1" t="s">
        <v>94</v>
      </c>
      <c r="D39" s="32" t="str">
        <f t="shared" si="12"/>
        <v>€1000</v>
      </c>
      <c r="E39" s="12"/>
      <c r="F39" s="30">
        <f>'P&amp;L'!D78*Parameters!$E$71/12</f>
        <v>0</v>
      </c>
      <c r="G39" s="30">
        <f>'P&amp;L'!E78*Parameters!$E$71/12</f>
        <v>0</v>
      </c>
      <c r="H39" s="30">
        <f>'P&amp;L'!F78*Parameters!$E$71/12</f>
        <v>0</v>
      </c>
      <c r="I39" s="30">
        <f>'P&amp;L'!G78*Parameters!$E$71/12</f>
        <v>0</v>
      </c>
      <c r="J39" s="30">
        <f>'P&amp;L'!H78*Parameters!$E$71/12</f>
        <v>50.029124999999993</v>
      </c>
    </row>
    <row r="40" spans="2:35" x14ac:dyDescent="0.25">
      <c r="B40" s="1" t="s">
        <v>95</v>
      </c>
      <c r="D40" s="32" t="str">
        <f t="shared" si="12"/>
        <v>€1000</v>
      </c>
      <c r="E40" s="12"/>
      <c r="F40" s="30">
        <f>SUM(PxQ!AA54:AA63)*Parameters!$E$72/12</f>
        <v>1.75</v>
      </c>
      <c r="G40" s="30">
        <f>SUM(PxQ!AB54:AB63)*Parameters!$E$72/12</f>
        <v>3.5700000000000003</v>
      </c>
      <c r="H40" s="30">
        <f>SUM(PxQ!AC54:AC63)*Parameters!$E$72/12</f>
        <v>1.8206999999999998</v>
      </c>
      <c r="I40" s="30">
        <f>SUM(PxQ!AD54:AD63)*Parameters!$E$72/12</f>
        <v>1.8571139999999999</v>
      </c>
      <c r="J40" s="30">
        <f>SUM(PxQ!AE54:AE63)*Parameters!$E$72/12</f>
        <v>1.8942562799999998</v>
      </c>
    </row>
    <row r="41" spans="2:35" x14ac:dyDescent="0.25">
      <c r="B41" s="1" t="s">
        <v>110</v>
      </c>
      <c r="D41" s="32" t="str">
        <f t="shared" si="12"/>
        <v>€1000</v>
      </c>
      <c r="E41" s="12"/>
      <c r="F41" s="30">
        <f>SUM(PxQ!AI54:AI63)*(Parameters!$E$73/12)</f>
        <v>1.75</v>
      </c>
      <c r="G41" s="30">
        <f>SUM(PxQ!AJ54:AJ63)*(Parameters!$E$73/12)</f>
        <v>3.5700000000000003</v>
      </c>
      <c r="H41" s="30">
        <f>SUM(PxQ!AK54:AK63)*(Parameters!$E$73/12)</f>
        <v>1.8207</v>
      </c>
      <c r="I41" s="30">
        <f>SUM(PxQ!AL54:AL63)*(Parameters!$E$73/12)</f>
        <v>1.8571140000000002</v>
      </c>
      <c r="J41" s="30">
        <f>SUM(PxQ!AM54:AM63)*(Parameters!$E$73/12)</f>
        <v>1.8942562799999996</v>
      </c>
    </row>
    <row r="42" spans="2:35" x14ac:dyDescent="0.25">
      <c r="B42" s="1" t="s">
        <v>163</v>
      </c>
      <c r="D42" s="32" t="str">
        <f t="shared" si="12"/>
        <v>€1000</v>
      </c>
      <c r="E42" s="12"/>
      <c r="F42" s="30">
        <f>('P&amp;L'!D42*(12/13))/12*((12-Parameters!$E$85)/12)</f>
        <v>3.4416666666666678</v>
      </c>
      <c r="G42" s="30">
        <f>('P&amp;L'!E42*(12/13))/12*((12-Parameters!$E$85)/12)</f>
        <v>7.0209999999999999</v>
      </c>
      <c r="H42" s="30">
        <f>('P&amp;L'!F42*(12/13))/12*((12-Parameters!$E$85)/12)</f>
        <v>3.5807099999999998</v>
      </c>
      <c r="I42" s="30">
        <f>('P&amp;L'!G42*(12/13))/12*((12-Parameters!$E$85)/12)</f>
        <v>3.6523242000000002</v>
      </c>
      <c r="J42" s="30">
        <f>('P&amp;L'!H42*(12/13))/12*((12-Parameters!$E$85)/12)</f>
        <v>3.725370684</v>
      </c>
    </row>
    <row r="43" spans="2:35" x14ac:dyDescent="0.25">
      <c r="F43" s="24"/>
      <c r="G43" s="24"/>
      <c r="H43" s="24"/>
      <c r="I43" s="24"/>
      <c r="J43" s="24"/>
    </row>
    <row r="44" spans="2:35" x14ac:dyDescent="0.25">
      <c r="F44" s="24"/>
      <c r="G44" s="24"/>
      <c r="H44" s="24"/>
      <c r="I44" s="24"/>
      <c r="J44" s="24"/>
    </row>
    <row r="45" spans="2:35" ht="16.5" thickBot="1" x14ac:dyDescent="0.3">
      <c r="E45" s="24"/>
      <c r="F45" s="24"/>
      <c r="G45" s="24"/>
      <c r="H45" s="24"/>
      <c r="I45" s="24"/>
      <c r="J45" s="24"/>
    </row>
    <row r="46" spans="2:35" ht="17.25" thickTop="1" thickBot="1" x14ac:dyDescent="0.3">
      <c r="E46" s="36">
        <f t="shared" ref="E46:J46" si="14">E6-E22</f>
        <v>0</v>
      </c>
      <c r="F46" s="36">
        <f t="shared" si="14"/>
        <v>0</v>
      </c>
      <c r="G46" s="36">
        <f t="shared" si="14"/>
        <v>0</v>
      </c>
      <c r="H46" s="36">
        <f t="shared" si="14"/>
        <v>0</v>
      </c>
      <c r="I46" s="36">
        <f t="shared" si="14"/>
        <v>0</v>
      </c>
      <c r="J46" s="36">
        <f t="shared" si="14"/>
        <v>0</v>
      </c>
      <c r="AD46" s="24"/>
      <c r="AE46" s="24"/>
      <c r="AF46" s="24"/>
      <c r="AG46" s="24"/>
      <c r="AH46" s="24"/>
      <c r="AI46" s="24"/>
    </row>
    <row r="47" spans="2:35" ht="16.5" thickTop="1" x14ac:dyDescent="0.25">
      <c r="AD47" s="24"/>
      <c r="AE47" s="24"/>
      <c r="AF47" s="24"/>
      <c r="AG47" s="24"/>
      <c r="AH47" s="24"/>
      <c r="AI47" s="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54"/>
  <sheetViews>
    <sheetView tabSelected="1" topLeftCell="A18" zoomScale="78" zoomScaleNormal="78" workbookViewId="0">
      <selection activeCell="F36" sqref="F36"/>
    </sheetView>
  </sheetViews>
  <sheetFormatPr defaultColWidth="10.875" defaultRowHeight="15.75" x14ac:dyDescent="0.25"/>
  <cols>
    <col min="1" max="1" width="5.375" style="1" customWidth="1"/>
    <col min="2" max="2" width="10.875" style="1"/>
    <col min="3" max="3" width="32.5" style="1" customWidth="1"/>
    <col min="4" max="16384" width="10.875" style="1"/>
  </cols>
  <sheetData>
    <row r="4" spans="1:9" ht="20.25" thickBot="1" x14ac:dyDescent="0.35">
      <c r="A4" s="10" t="s">
        <v>50</v>
      </c>
      <c r="B4" s="10"/>
      <c r="E4" s="11">
        <f>IF(Cover!$D$13&gt;0,Cover!$D$13,"year 1")</f>
        <v>2016</v>
      </c>
      <c r="F4" s="11">
        <f>IF(Cover!$D$13&gt;0,E4+1,"year 2")</f>
        <v>2017</v>
      </c>
      <c r="G4" s="11">
        <f>IF(Cover!$D$13&gt;0,F4+1,"year 3")</f>
        <v>2018</v>
      </c>
      <c r="H4" s="11">
        <f>IF(Cover!$D$13&gt;0,G4+1,"year 4")</f>
        <v>2019</v>
      </c>
      <c r="I4" s="11">
        <f>IF(Cover!$D$13&gt;0,H4+1,"year 5")</f>
        <v>2020</v>
      </c>
    </row>
    <row r="5" spans="1:9" ht="16.5" thickTop="1" x14ac:dyDescent="0.25"/>
    <row r="6" spans="1:9" ht="16.5" thickBot="1" x14ac:dyDescent="0.3">
      <c r="B6" s="1" t="s">
        <v>57</v>
      </c>
      <c r="D6" s="32" t="str">
        <f>"€"&amp;1000</f>
        <v>€1000</v>
      </c>
      <c r="E6" s="28">
        <f>'P&amp;L'!D69</f>
        <v>-11.4375</v>
      </c>
      <c r="F6" s="28">
        <f>'P&amp;L'!E69</f>
        <v>-44.137500000000003</v>
      </c>
      <c r="G6" s="28">
        <f>'P&amp;L'!F69</f>
        <v>-26.971875000000004</v>
      </c>
      <c r="H6" s="28">
        <f>'P&amp;L'!G69</f>
        <v>14.968124999999986</v>
      </c>
      <c r="I6" s="28">
        <f>'P&amp;L'!H69</f>
        <v>217.66612499999999</v>
      </c>
    </row>
    <row r="7" spans="1:9" ht="16.5" thickTop="1" x14ac:dyDescent="0.25">
      <c r="E7" s="24"/>
      <c r="F7" s="24"/>
      <c r="G7" s="24"/>
      <c r="H7" s="24"/>
      <c r="I7" s="24"/>
    </row>
    <row r="8" spans="1:9" x14ac:dyDescent="0.25">
      <c r="B8" s="15" t="s">
        <v>123</v>
      </c>
    </row>
    <row r="9" spans="1:9" x14ac:dyDescent="0.25">
      <c r="B9" s="1" t="s">
        <v>148</v>
      </c>
      <c r="D9" s="32" t="str">
        <f>"€"&amp;1000</f>
        <v>€1000</v>
      </c>
      <c r="E9" s="30">
        <f>'Balance sheet'!E11-'Balance sheet'!F11</f>
        <v>-3.8125</v>
      </c>
      <c r="F9" s="30">
        <f>'Balance sheet'!F11-'Balance sheet'!G11</f>
        <v>-14.712499999999999</v>
      </c>
      <c r="G9" s="30">
        <f>'Balance sheet'!G11-'Balance sheet'!H11</f>
        <v>-8.9906250000000014</v>
      </c>
      <c r="H9" s="30">
        <f>'Balance sheet'!H11-'Balance sheet'!I11</f>
        <v>4.9893749999999955</v>
      </c>
      <c r="I9" s="30">
        <f>'Balance sheet'!I11-'Balance sheet'!J11</f>
        <v>22.526250000000005</v>
      </c>
    </row>
    <row r="10" spans="1:9" x14ac:dyDescent="0.25">
      <c r="E10" s="24"/>
      <c r="F10" s="24"/>
      <c r="G10" s="24"/>
      <c r="H10" s="24"/>
      <c r="I10" s="24"/>
    </row>
    <row r="11" spans="1:9" x14ac:dyDescent="0.25">
      <c r="B11" s="1" t="s">
        <v>124</v>
      </c>
      <c r="D11" s="32" t="str">
        <f>"€"&amp;1000</f>
        <v>€1000</v>
      </c>
      <c r="E11" s="30">
        <f>E6+E8+E9</f>
        <v>-15.25</v>
      </c>
      <c r="F11" s="30">
        <f t="shared" ref="F11:I11" si="0">F6+F8+F9</f>
        <v>-58.85</v>
      </c>
      <c r="G11" s="30">
        <f t="shared" si="0"/>
        <v>-35.962500000000006</v>
      </c>
      <c r="H11" s="30">
        <f t="shared" si="0"/>
        <v>19.957499999999982</v>
      </c>
      <c r="I11" s="30">
        <f t="shared" si="0"/>
        <v>240.192375</v>
      </c>
    </row>
    <row r="12" spans="1:9" x14ac:dyDescent="0.25">
      <c r="E12" s="24"/>
      <c r="F12" s="24"/>
      <c r="G12" s="24"/>
      <c r="H12" s="24"/>
      <c r="I12" s="24"/>
    </row>
    <row r="13" spans="1:9" ht="16.5" thickBot="1" x14ac:dyDescent="0.3">
      <c r="B13" s="1" t="s">
        <v>51</v>
      </c>
      <c r="E13" s="28">
        <f>'P&amp;L'!D58</f>
        <v>16</v>
      </c>
      <c r="F13" s="28">
        <f>'P&amp;L'!E58</f>
        <v>48</v>
      </c>
      <c r="G13" s="28">
        <f>'P&amp;L'!F58</f>
        <v>80</v>
      </c>
      <c r="H13" s="28">
        <f>'P&amp;L'!G58</f>
        <v>112</v>
      </c>
      <c r="I13" s="28">
        <f>'P&amp;L'!H58</f>
        <v>144</v>
      </c>
    </row>
    <row r="14" spans="1:9" ht="16.5" thickTop="1" x14ac:dyDescent="0.25">
      <c r="E14" s="24"/>
      <c r="F14" s="24"/>
      <c r="G14" s="24"/>
      <c r="H14" s="24"/>
      <c r="I14" s="24"/>
    </row>
    <row r="15" spans="1:9" x14ac:dyDescent="0.25">
      <c r="B15" s="15" t="s">
        <v>135</v>
      </c>
      <c r="D15" s="32" t="str">
        <f t="shared" ref="D15:D22" si="1">"€"&amp;1000</f>
        <v>€1000</v>
      </c>
      <c r="E15" s="29">
        <f>SUM(E16:E22)</f>
        <v>20.739726027397261</v>
      </c>
      <c r="F15" s="29">
        <f t="shared" ref="F15:I15" si="2">SUM(F16:F22)</f>
        <v>1.1547945205479477</v>
      </c>
      <c r="G15" s="29">
        <f t="shared" si="2"/>
        <v>-6.2674657534246574</v>
      </c>
      <c r="H15" s="29">
        <f t="shared" si="2"/>
        <v>-7.6372602739726059</v>
      </c>
      <c r="I15" s="29">
        <f t="shared" si="2"/>
        <v>-24.843616438356158</v>
      </c>
    </row>
    <row r="16" spans="1:9" x14ac:dyDescent="0.25">
      <c r="B16" s="1" t="s">
        <v>125</v>
      </c>
      <c r="D16" s="32" t="str">
        <f t="shared" si="1"/>
        <v>€1000</v>
      </c>
      <c r="E16" s="30">
        <f>'Balance sheet'!E14-'Balance sheet'!F14</f>
        <v>-0.27397260273972601</v>
      </c>
      <c r="F16" s="30">
        <f>'Balance sheet'!F14-'Balance sheet'!G14</f>
        <v>-0.27397260273972601</v>
      </c>
      <c r="G16" s="30">
        <f>'Balance sheet'!G14-'Balance sheet'!H14</f>
        <v>-0.54794520547945202</v>
      </c>
      <c r="H16" s="30">
        <f>'Balance sheet'!H14-'Balance sheet'!I14</f>
        <v>-1.095890410958904</v>
      </c>
      <c r="I16" s="30">
        <f>'Balance sheet'!I14-'Balance sheet'!J14</f>
        <v>-2.1917808219178081</v>
      </c>
    </row>
    <row r="17" spans="2:9" x14ac:dyDescent="0.25">
      <c r="B17" s="1" t="s">
        <v>126</v>
      </c>
      <c r="D17" s="32" t="str">
        <f t="shared" si="1"/>
        <v>€1000</v>
      </c>
      <c r="E17" s="30">
        <f>'Balance sheet'!E15-'Balance sheet'!F15</f>
        <v>-2.8767123287671232</v>
      </c>
      <c r="F17" s="30">
        <f>'Balance sheet'!F15-'Balance sheet'!G15</f>
        <v>-1.7054794520547949</v>
      </c>
      <c r="G17" s="30">
        <f>'Balance sheet'!G15-'Balance sheet'!H15</f>
        <v>-3.352397260273972</v>
      </c>
      <c r="H17" s="30">
        <f>'Balance sheet'!H15-'Balance sheet'!I15</f>
        <v>-10.924931506849315</v>
      </c>
      <c r="I17" s="30">
        <f>'Balance sheet'!I15-'Balance sheet'!J15</f>
        <v>-31.418958904109591</v>
      </c>
    </row>
    <row r="18" spans="2:9" x14ac:dyDescent="0.25">
      <c r="B18" s="1" t="s">
        <v>128</v>
      </c>
      <c r="D18" s="32" t="str">
        <f t="shared" si="1"/>
        <v>€1000</v>
      </c>
      <c r="E18" s="30">
        <f>'Balance sheet'!E16-'Balance sheet'!F16</f>
        <v>-2.9863013698630136</v>
      </c>
      <c r="F18" s="30">
        <f>'Balance sheet'!F16-'Balance sheet'!G16</f>
        <v>-0.39178082191780828</v>
      </c>
      <c r="G18" s="30">
        <f>'Balance sheet'!G16-'Balance sheet'!H16</f>
        <v>0.29589041095890423</v>
      </c>
      <c r="H18" s="30">
        <f>'Balance sheet'!H16-'Balance sheet'!I16</f>
        <v>-0.54794520547945202</v>
      </c>
      <c r="I18" s="30">
        <f>'Balance sheet'!I16-'Balance sheet'!J16</f>
        <v>-1.095890410958904</v>
      </c>
    </row>
    <row r="19" spans="2:9" x14ac:dyDescent="0.25">
      <c r="B19" s="1" t="s">
        <v>167</v>
      </c>
      <c r="D19" s="32" t="str">
        <f t="shared" si="1"/>
        <v>€1000</v>
      </c>
      <c r="E19" s="30">
        <f>'Balance sheet'!E17-'Balance sheet'!F17</f>
        <v>-1.4383561643835616</v>
      </c>
      <c r="F19" s="30">
        <f>'Balance sheet'!F17-'Balance sheet'!G17</f>
        <v>-0.85273972602739745</v>
      </c>
      <c r="G19" s="30">
        <f>'Balance sheet'!G17-'Balance sheet'!H17</f>
        <v>-1.676198630136986</v>
      </c>
      <c r="H19" s="30">
        <f>'Balance sheet'!H17-'Balance sheet'!I17</f>
        <v>-5.4624657534246577</v>
      </c>
      <c r="I19" s="30">
        <f>'Balance sheet'!I17-'Balance sheet'!J17</f>
        <v>-15.709479452054795</v>
      </c>
    </row>
    <row r="20" spans="2:9" x14ac:dyDescent="0.25">
      <c r="B20" s="1" t="s">
        <v>129</v>
      </c>
      <c r="D20" s="32" t="str">
        <f t="shared" si="1"/>
        <v>€1000</v>
      </c>
      <c r="E20" s="30">
        <f>'Balance sheet'!F35-'Balance sheet'!E35</f>
        <v>17.917808219178081</v>
      </c>
      <c r="F20" s="30">
        <f>'Balance sheet'!G35-'Balance sheet'!F35</f>
        <v>2.3506849315068514</v>
      </c>
      <c r="G20" s="30">
        <f>'Balance sheet'!H35-'Balance sheet'!G35</f>
        <v>-1.7753424657534254</v>
      </c>
      <c r="H20" s="30">
        <f>'Balance sheet'!I35-'Balance sheet'!H35</f>
        <v>3.2876712328767113</v>
      </c>
      <c r="I20" s="30">
        <f>'Balance sheet'!J35-'Balance sheet'!I35</f>
        <v>6.5753424657534261</v>
      </c>
    </row>
    <row r="21" spans="2:9" x14ac:dyDescent="0.25">
      <c r="B21" s="1" t="s">
        <v>134</v>
      </c>
      <c r="D21" s="32" t="str">
        <f t="shared" si="1"/>
        <v>€1000</v>
      </c>
      <c r="E21" s="30">
        <f>'Balance sheet'!F36-'Balance sheet'!E36</f>
        <v>8.9589041095890405</v>
      </c>
      <c r="F21" s="30">
        <f>'Balance sheet'!G36-'Balance sheet'!F36</f>
        <v>1.1753424657534257</v>
      </c>
      <c r="G21" s="30">
        <f>'Balance sheet'!H36-'Balance sheet'!G36</f>
        <v>-0.88767123287671268</v>
      </c>
      <c r="H21" s="30">
        <f>'Balance sheet'!I36-'Balance sheet'!H36</f>
        <v>1.6438356164383556</v>
      </c>
      <c r="I21" s="30">
        <f>'Balance sheet'!J36-'Balance sheet'!I36</f>
        <v>3.287671232876713</v>
      </c>
    </row>
    <row r="22" spans="2:9" x14ac:dyDescent="0.25">
      <c r="B22" s="1" t="s">
        <v>169</v>
      </c>
      <c r="D22" s="32" t="str">
        <f t="shared" si="1"/>
        <v>€1000</v>
      </c>
      <c r="E22" s="30">
        <f>'Balance sheet'!F37-'Balance sheet'!E37</f>
        <v>1.4383561643835616</v>
      </c>
      <c r="F22" s="30">
        <f>'Balance sheet'!G37-'Balance sheet'!F37</f>
        <v>0.85273972602739745</v>
      </c>
      <c r="G22" s="30">
        <f>'Balance sheet'!H37-'Balance sheet'!G37</f>
        <v>1.676198630136986</v>
      </c>
      <c r="H22" s="30">
        <f>'Balance sheet'!I37-'Balance sheet'!H37</f>
        <v>5.4624657534246577</v>
      </c>
      <c r="I22" s="30">
        <f>'Balance sheet'!J37-'Balance sheet'!I37</f>
        <v>15.709479452054795</v>
      </c>
    </row>
    <row r="24" spans="2:9" x14ac:dyDescent="0.25">
      <c r="B24" s="15" t="s">
        <v>168</v>
      </c>
      <c r="D24" s="32"/>
      <c r="E24" s="29">
        <f>SUM(E25:E30)</f>
        <v>-2.6658333333333322</v>
      </c>
      <c r="F24" s="29">
        <f t="shared" ref="F24:I24" si="3">SUM(F25:F30)</f>
        <v>6.8072083333333353</v>
      </c>
      <c r="G24" s="29">
        <f t="shared" si="3"/>
        <v>-3.6635462500000031</v>
      </c>
      <c r="H24" s="29">
        <f t="shared" si="3"/>
        <v>5.0227422000000015</v>
      </c>
      <c r="I24" s="29">
        <f t="shared" si="3"/>
        <v>66.045316043999989</v>
      </c>
    </row>
    <row r="25" spans="2:9" x14ac:dyDescent="0.25">
      <c r="B25" s="1" t="s">
        <v>127</v>
      </c>
      <c r="D25" s="32" t="str">
        <f t="shared" ref="D25:D30" si="4">"€"&amp;1000</f>
        <v>€1000</v>
      </c>
      <c r="E25" s="30">
        <f>'Balance sheet'!E18-'Balance sheet'!F18</f>
        <v>-11.445</v>
      </c>
      <c r="F25" s="30">
        <f>'Balance sheet'!F18-'Balance sheet'!G18</f>
        <v>-1.5014999999999983</v>
      </c>
      <c r="G25" s="30">
        <f>'Balance sheet'!G18-'Balance sheet'!H18</f>
        <v>1.1339999999999986</v>
      </c>
      <c r="H25" s="30">
        <f>'Balance sheet'!H18-'Balance sheet'!I18</f>
        <v>-2.0999999999999996</v>
      </c>
      <c r="I25" s="30">
        <f>'Balance sheet'!I18-'Balance sheet'!J18</f>
        <v>-4.2000000000000011</v>
      </c>
    </row>
    <row r="26" spans="2:9" x14ac:dyDescent="0.25">
      <c r="B26" s="1" t="s">
        <v>130</v>
      </c>
      <c r="D26" s="32" t="str">
        <f t="shared" si="4"/>
        <v>€1000</v>
      </c>
      <c r="E26" s="30">
        <f>'Balance sheet'!F38-'Balance sheet'!E38</f>
        <v>1.8374999999999997</v>
      </c>
      <c r="F26" s="30">
        <f>'Balance sheet'!G38-'Balance sheet'!F38</f>
        <v>1.0893750000000006</v>
      </c>
      <c r="G26" s="30">
        <f>'Balance sheet'!H38-'Balance sheet'!G38</f>
        <v>2.1413437499999994</v>
      </c>
      <c r="H26" s="30">
        <f>'Balance sheet'!I38-'Balance sheet'!H38</f>
        <v>6.9782999999999991</v>
      </c>
      <c r="I26" s="30">
        <f>'Balance sheet'!J38-'Balance sheet'!I38</f>
        <v>20.068860000000001</v>
      </c>
    </row>
    <row r="27" spans="2:9" x14ac:dyDescent="0.25">
      <c r="B27" s="1" t="s">
        <v>131</v>
      </c>
      <c r="D27" s="32" t="str">
        <f t="shared" si="4"/>
        <v>€1000</v>
      </c>
      <c r="E27" s="30">
        <f>'Balance sheet'!F39-'Balance sheet'!E39</f>
        <v>0</v>
      </c>
      <c r="F27" s="30">
        <f>'Balance sheet'!G39-'Balance sheet'!F39</f>
        <v>0</v>
      </c>
      <c r="G27" s="30">
        <f>'Balance sheet'!H39-'Balance sheet'!G39</f>
        <v>0</v>
      </c>
      <c r="H27" s="30">
        <f>'Balance sheet'!I39-'Balance sheet'!H39</f>
        <v>0</v>
      </c>
      <c r="I27" s="30">
        <f>'Balance sheet'!J39-'Balance sheet'!I39</f>
        <v>50.029124999999993</v>
      </c>
    </row>
    <row r="28" spans="2:9" x14ac:dyDescent="0.25">
      <c r="B28" s="1" t="s">
        <v>132</v>
      </c>
      <c r="D28" s="32" t="str">
        <f t="shared" si="4"/>
        <v>€1000</v>
      </c>
      <c r="E28" s="30">
        <f>'Balance sheet'!F40-'Balance sheet'!E40</f>
        <v>1.75</v>
      </c>
      <c r="F28" s="30">
        <f>'Balance sheet'!G40-'Balance sheet'!F40</f>
        <v>1.8200000000000003</v>
      </c>
      <c r="G28" s="30">
        <f>'Balance sheet'!H40-'Balance sheet'!G40</f>
        <v>-1.7493000000000005</v>
      </c>
      <c r="H28" s="30">
        <f>'Balance sheet'!I40-'Balance sheet'!H40</f>
        <v>3.6414000000000168E-2</v>
      </c>
      <c r="I28" s="30">
        <f>'Balance sheet'!J40-'Balance sheet'!I40</f>
        <v>3.7142279999999861E-2</v>
      </c>
    </row>
    <row r="29" spans="2:9" x14ac:dyDescent="0.25">
      <c r="B29" s="1" t="s">
        <v>133</v>
      </c>
      <c r="D29" s="32" t="str">
        <f t="shared" si="4"/>
        <v>€1000</v>
      </c>
      <c r="E29" s="30">
        <f>'Balance sheet'!F41-'Balance sheet'!E41</f>
        <v>1.75</v>
      </c>
      <c r="F29" s="30">
        <f>'Balance sheet'!G41-'Balance sheet'!F41</f>
        <v>1.8200000000000003</v>
      </c>
      <c r="G29" s="30">
        <f>'Balance sheet'!H41-'Balance sheet'!G41</f>
        <v>-1.7493000000000003</v>
      </c>
      <c r="H29" s="30">
        <f>'Balance sheet'!I41-'Balance sheet'!H41</f>
        <v>3.6414000000000168E-2</v>
      </c>
      <c r="I29" s="30">
        <f>'Balance sheet'!J41-'Balance sheet'!I41</f>
        <v>3.7142279999999417E-2</v>
      </c>
    </row>
    <row r="30" spans="2:9" x14ac:dyDescent="0.25">
      <c r="B30" s="1" t="s">
        <v>170</v>
      </c>
      <c r="D30" s="32" t="str">
        <f t="shared" si="4"/>
        <v>€1000</v>
      </c>
      <c r="E30" s="30">
        <f>'Balance sheet'!F42-'Balance sheet'!E42</f>
        <v>3.4416666666666678</v>
      </c>
      <c r="F30" s="30">
        <f>'Balance sheet'!G42-'Balance sheet'!F42</f>
        <v>3.5793333333333321</v>
      </c>
      <c r="G30" s="30">
        <f>'Balance sheet'!H42-'Balance sheet'!G42</f>
        <v>-3.4402900000000001</v>
      </c>
      <c r="H30" s="30">
        <f>'Balance sheet'!I42-'Balance sheet'!H42</f>
        <v>7.1614200000000405E-2</v>
      </c>
      <c r="I30" s="30">
        <f>'Balance sheet'!J42-'Balance sheet'!I42</f>
        <v>7.3046483999999801E-2</v>
      </c>
    </row>
    <row r="31" spans="2:9" x14ac:dyDescent="0.25">
      <c r="E31" s="24"/>
      <c r="F31" s="24"/>
      <c r="G31" s="24"/>
      <c r="H31" s="24"/>
      <c r="I31" s="24"/>
    </row>
    <row r="32" spans="2:9" ht="16.5" thickBot="1" x14ac:dyDescent="0.3">
      <c r="B32" s="22" t="s">
        <v>136</v>
      </c>
      <c r="C32" s="22"/>
      <c r="D32" s="31" t="str">
        <f>"€"&amp;1000</f>
        <v>€1000</v>
      </c>
      <c r="E32" s="31">
        <f>E11+E13+E15+E24</f>
        <v>18.823892694063929</v>
      </c>
      <c r="F32" s="31">
        <f t="shared" ref="F32:I32" si="5">F11+F13+F15+F24</f>
        <v>-2.8879971461187175</v>
      </c>
      <c r="G32" s="31">
        <f t="shared" si="5"/>
        <v>34.106487996575332</v>
      </c>
      <c r="H32" s="31">
        <f t="shared" si="5"/>
        <v>129.34298192602739</v>
      </c>
      <c r="I32" s="31">
        <f t="shared" si="5"/>
        <v>425.39407460564382</v>
      </c>
    </row>
    <row r="33" spans="2:9" ht="16.5" thickTop="1" x14ac:dyDescent="0.25">
      <c r="E33" s="24"/>
      <c r="F33" s="24"/>
      <c r="G33" s="24"/>
      <c r="H33" s="24"/>
      <c r="I33" s="24"/>
    </row>
    <row r="34" spans="2:9" x14ac:dyDescent="0.25">
      <c r="B34" s="1" t="s">
        <v>146</v>
      </c>
      <c r="D34" s="32" t="str">
        <f>"€"&amp;1000</f>
        <v>€1000</v>
      </c>
      <c r="E34" s="30">
        <f>-SUM(PxQ!S86:S95)</f>
        <v>-185</v>
      </c>
      <c r="F34" s="30">
        <f>-SUM(PxQ!T86:T95)</f>
        <v>-185</v>
      </c>
      <c r="G34" s="30">
        <f>-SUM(PxQ!U86:U95)</f>
        <v>-185</v>
      </c>
      <c r="H34" s="30">
        <f>-SUM(PxQ!V86:V95)</f>
        <v>-185</v>
      </c>
      <c r="I34" s="30">
        <f>-SUM(PxQ!W86:W95)</f>
        <v>-185</v>
      </c>
    </row>
    <row r="35" spans="2:9" x14ac:dyDescent="0.25">
      <c r="B35" s="1" t="s">
        <v>147</v>
      </c>
      <c r="D35" s="32" t="str">
        <f>"€"&amp;1000</f>
        <v>€1000</v>
      </c>
      <c r="E35" s="37"/>
      <c r="F35" s="37">
        <v>-100</v>
      </c>
      <c r="G35" s="37"/>
      <c r="H35" s="37"/>
      <c r="I35" s="37"/>
    </row>
    <row r="36" spans="2:9" x14ac:dyDescent="0.25">
      <c r="E36" s="24"/>
      <c r="F36" s="24"/>
      <c r="G36" s="24"/>
      <c r="H36" s="24"/>
      <c r="I36" s="24"/>
    </row>
    <row r="37" spans="2:9" ht="16.5" thickBot="1" x14ac:dyDescent="0.3">
      <c r="B37" s="22" t="s">
        <v>137</v>
      </c>
      <c r="C37" s="22"/>
      <c r="D37" s="31" t="str">
        <f>"€"&amp;1000</f>
        <v>€1000</v>
      </c>
      <c r="E37" s="31">
        <f>SUM(E34:E35)</f>
        <v>-185</v>
      </c>
      <c r="F37" s="31">
        <f>SUM(F34:F35)</f>
        <v>-285</v>
      </c>
      <c r="G37" s="31">
        <f>SUM(G34:G35)</f>
        <v>-185</v>
      </c>
      <c r="H37" s="31">
        <f>SUM(H34:H35)</f>
        <v>-185</v>
      </c>
      <c r="I37" s="31">
        <f>SUM(I34:I35)</f>
        <v>-185</v>
      </c>
    </row>
    <row r="38" spans="2:9" ht="16.5" thickTop="1" x14ac:dyDescent="0.25">
      <c r="E38" s="24"/>
      <c r="F38" s="24"/>
      <c r="G38" s="24"/>
      <c r="H38" s="24"/>
      <c r="I38" s="24"/>
    </row>
    <row r="39" spans="2:9" x14ac:dyDescent="0.25">
      <c r="B39" s="1" t="s">
        <v>142</v>
      </c>
      <c r="D39" s="32" t="str">
        <f>"€"&amp;1000</f>
        <v>€1000</v>
      </c>
      <c r="E39" s="34">
        <v>100</v>
      </c>
      <c r="F39" s="34">
        <v>100</v>
      </c>
      <c r="G39" s="34"/>
      <c r="H39" s="34"/>
      <c r="I39" s="34"/>
    </row>
    <row r="40" spans="2:9" x14ac:dyDescent="0.25">
      <c r="B40" s="1" t="s">
        <v>149</v>
      </c>
      <c r="D40" s="32" t="str">
        <f t="shared" ref="D40:D42" si="6">"€"&amp;1000</f>
        <v>€1000</v>
      </c>
      <c r="E40" s="34">
        <v>50</v>
      </c>
      <c r="F40" s="34">
        <v>100</v>
      </c>
      <c r="G40" s="34">
        <v>200</v>
      </c>
      <c r="H40" s="34"/>
      <c r="I40" s="34"/>
    </row>
    <row r="41" spans="2:9" x14ac:dyDescent="0.25">
      <c r="B41" s="1" t="s">
        <v>150</v>
      </c>
      <c r="D41" s="32" t="str">
        <f t="shared" si="6"/>
        <v>€1000</v>
      </c>
      <c r="E41" s="34"/>
      <c r="F41" s="34"/>
      <c r="G41" s="34"/>
      <c r="H41" s="34"/>
      <c r="I41" s="34"/>
    </row>
    <row r="42" spans="2:9" x14ac:dyDescent="0.25">
      <c r="B42" s="1" t="s">
        <v>172</v>
      </c>
      <c r="D42" s="32" t="str">
        <f t="shared" si="6"/>
        <v>€1000</v>
      </c>
      <c r="E42" s="34"/>
      <c r="F42" s="34"/>
      <c r="G42" s="34"/>
      <c r="H42" s="34"/>
      <c r="I42" s="34"/>
    </row>
    <row r="43" spans="2:9" x14ac:dyDescent="0.25">
      <c r="E43" s="24"/>
      <c r="F43" s="24"/>
      <c r="G43" s="24"/>
      <c r="H43" s="24"/>
      <c r="I43" s="24"/>
    </row>
    <row r="44" spans="2:9" ht="16.5" thickBot="1" x14ac:dyDescent="0.3">
      <c r="B44" s="22" t="s">
        <v>138</v>
      </c>
      <c r="C44" s="22"/>
      <c r="D44" s="31" t="str">
        <f>"€"&amp;1000</f>
        <v>€1000</v>
      </c>
      <c r="E44" s="31">
        <f>SUM(E39:E42)</f>
        <v>150</v>
      </c>
      <c r="F44" s="31">
        <f t="shared" ref="F44:I44" si="7">SUM(F39:F42)</f>
        <v>200</v>
      </c>
      <c r="G44" s="31">
        <f t="shared" si="7"/>
        <v>200</v>
      </c>
      <c r="H44" s="31">
        <f t="shared" si="7"/>
        <v>0</v>
      </c>
      <c r="I44" s="31">
        <f t="shared" si="7"/>
        <v>0</v>
      </c>
    </row>
    <row r="45" spans="2:9" ht="16.5" thickTop="1" x14ac:dyDescent="0.25">
      <c r="E45" s="24"/>
      <c r="F45" s="24"/>
      <c r="G45" s="24"/>
      <c r="H45" s="24"/>
      <c r="I45" s="24"/>
    </row>
    <row r="46" spans="2:9" x14ac:dyDescent="0.25">
      <c r="E46" s="24"/>
      <c r="F46" s="24"/>
      <c r="G46" s="24"/>
      <c r="H46" s="24"/>
      <c r="I46" s="24"/>
    </row>
    <row r="47" spans="2:9" ht="16.5" thickBot="1" x14ac:dyDescent="0.3">
      <c r="B47" s="22" t="s">
        <v>139</v>
      </c>
      <c r="C47" s="22"/>
      <c r="D47" s="31" t="str">
        <f>"€"&amp;1000</f>
        <v>€1000</v>
      </c>
      <c r="E47" s="31">
        <f>'Balance sheet'!E25+(E32+E37+E44)</f>
        <v>-6.1761073059360569</v>
      </c>
      <c r="F47" s="31">
        <f>E47+(F32+F37+F44)</f>
        <v>-94.064104452054778</v>
      </c>
      <c r="G47" s="31">
        <f>F47+(G32+G37+G44)</f>
        <v>-44.957616455479439</v>
      </c>
      <c r="H47" s="31">
        <f>G47+(H32+H37+H44)</f>
        <v>-100.61463452945205</v>
      </c>
      <c r="I47" s="31">
        <f>H47+(I32+I37+I44)</f>
        <v>139.77944007619178</v>
      </c>
    </row>
    <row r="48" spans="2:9" ht="16.5" thickTop="1" x14ac:dyDescent="0.25">
      <c r="D48" s="24"/>
      <c r="E48" s="24"/>
      <c r="F48" s="24"/>
      <c r="G48" s="24"/>
      <c r="H48" s="24"/>
    </row>
    <row r="49" spans="4:8" x14ac:dyDescent="0.25">
      <c r="D49" s="24"/>
      <c r="E49" s="24"/>
      <c r="F49" s="24"/>
      <c r="G49" s="24"/>
      <c r="H49" s="24"/>
    </row>
    <row r="50" spans="4:8" x14ac:dyDescent="0.25">
      <c r="D50" s="24"/>
      <c r="E50" s="24"/>
      <c r="F50" s="24"/>
      <c r="G50" s="24"/>
      <c r="H50" s="24"/>
    </row>
    <row r="51" spans="4:8" x14ac:dyDescent="0.25">
      <c r="D51" s="24"/>
      <c r="E51" s="24"/>
      <c r="F51" s="24"/>
      <c r="G51" s="24"/>
      <c r="H51" s="24"/>
    </row>
    <row r="52" spans="4:8" x14ac:dyDescent="0.25">
      <c r="D52" s="24"/>
      <c r="E52" s="24"/>
      <c r="F52" s="24"/>
      <c r="G52" s="24"/>
      <c r="H52" s="24"/>
    </row>
    <row r="53" spans="4:8" x14ac:dyDescent="0.25">
      <c r="D53" s="24"/>
      <c r="E53" s="24"/>
      <c r="F53" s="24"/>
      <c r="G53" s="24"/>
      <c r="H53" s="24"/>
    </row>
    <row r="54" spans="4:8" x14ac:dyDescent="0.25">
      <c r="D54" s="24"/>
      <c r="E54" s="24"/>
      <c r="F54" s="24"/>
      <c r="G54" s="24"/>
      <c r="H54" s="24"/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03"/>
  <sheetViews>
    <sheetView topLeftCell="A42" workbookViewId="0">
      <selection activeCell="B44" sqref="B44"/>
    </sheetView>
  </sheetViews>
  <sheetFormatPr defaultColWidth="10.875" defaultRowHeight="15.75" x14ac:dyDescent="0.25"/>
  <cols>
    <col min="1" max="1" width="5.125" style="1" customWidth="1"/>
    <col min="2" max="2" width="7.625" style="1" customWidth="1"/>
    <col min="3" max="3" width="36.125" style="1" customWidth="1"/>
    <col min="4" max="4" width="15" style="1" customWidth="1"/>
    <col min="5" max="5" width="11.125" style="1" customWidth="1"/>
    <col min="6" max="6" width="6.375" style="1" customWidth="1"/>
    <col min="7" max="7" width="11" style="1" customWidth="1"/>
    <col min="8" max="8" width="3" style="1" customWidth="1"/>
    <col min="9" max="9" width="10.875" style="1"/>
    <col min="10" max="10" width="3.125" style="1" customWidth="1"/>
    <col min="11" max="11" width="10.875" style="1"/>
    <col min="12" max="12" width="2.875" style="1" customWidth="1"/>
    <col min="13" max="13" width="11.875" style="1" customWidth="1"/>
    <col min="14" max="14" width="10.875" style="1"/>
    <col min="15" max="15" width="19.125" style="1" customWidth="1"/>
    <col min="16" max="16384" width="10.875" style="1"/>
  </cols>
  <sheetData>
    <row r="2" spans="1:15" ht="21" x14ac:dyDescent="0.35">
      <c r="A2" s="25" t="s">
        <v>108</v>
      </c>
    </row>
    <row r="3" spans="1:15" ht="21" x14ac:dyDescent="0.35">
      <c r="A3" s="25"/>
    </row>
    <row r="4" spans="1:15" ht="21" x14ac:dyDescent="0.35">
      <c r="A4" s="25"/>
    </row>
    <row r="5" spans="1:15" ht="20.100000000000001" customHeight="1" x14ac:dyDescent="0.35">
      <c r="A5" s="25"/>
      <c r="B5" s="6" t="s">
        <v>140</v>
      </c>
      <c r="E5" s="1" t="s">
        <v>217</v>
      </c>
      <c r="O5" s="1" t="s">
        <v>67</v>
      </c>
    </row>
    <row r="6" spans="1:15" ht="15" customHeight="1" x14ac:dyDescent="0.25">
      <c r="C6" s="2" t="s">
        <v>122</v>
      </c>
      <c r="E6" s="12"/>
      <c r="O6" s="12" t="s">
        <v>112</v>
      </c>
    </row>
    <row r="7" spans="1:15" ht="15" customHeight="1" x14ac:dyDescent="0.25">
      <c r="C7" s="2" t="s">
        <v>221</v>
      </c>
      <c r="E7" s="38">
        <v>0.05</v>
      </c>
      <c r="O7" s="12" t="s">
        <v>113</v>
      </c>
    </row>
    <row r="8" spans="1:15" ht="15" customHeight="1" x14ac:dyDescent="0.25">
      <c r="C8" s="2"/>
      <c r="E8" s="12"/>
      <c r="O8" s="12" t="s">
        <v>114</v>
      </c>
    </row>
    <row r="9" spans="1:15" ht="15" customHeight="1" x14ac:dyDescent="0.25">
      <c r="C9" s="2"/>
      <c r="E9" s="12"/>
      <c r="O9" s="12" t="s">
        <v>115</v>
      </c>
    </row>
    <row r="10" spans="1:15" ht="15" customHeight="1" x14ac:dyDescent="0.25">
      <c r="C10" s="2"/>
      <c r="E10" s="12"/>
      <c r="O10" s="12" t="s">
        <v>116</v>
      </c>
    </row>
    <row r="11" spans="1:15" ht="15" customHeight="1" x14ac:dyDescent="0.25">
      <c r="C11" s="2"/>
      <c r="E11" s="12"/>
      <c r="O11" s="12" t="s">
        <v>117</v>
      </c>
    </row>
    <row r="12" spans="1:15" ht="15" customHeight="1" x14ac:dyDescent="0.25">
      <c r="C12" s="2"/>
      <c r="E12" s="12"/>
      <c r="O12" s="12" t="s">
        <v>118</v>
      </c>
    </row>
    <row r="13" spans="1:15" ht="15" customHeight="1" x14ac:dyDescent="0.25">
      <c r="C13" s="2"/>
      <c r="E13" s="12"/>
      <c r="O13" s="12" t="s">
        <v>119</v>
      </c>
    </row>
    <row r="14" spans="1:15" ht="15" customHeight="1" x14ac:dyDescent="0.25">
      <c r="C14" s="2"/>
      <c r="E14" s="12"/>
      <c r="O14" s="12" t="s">
        <v>120</v>
      </c>
    </row>
    <row r="15" spans="1:15" ht="15" customHeight="1" x14ac:dyDescent="0.25">
      <c r="C15" s="2"/>
      <c r="E15" s="12"/>
      <c r="O15" s="12" t="s">
        <v>121</v>
      </c>
    </row>
    <row r="16" spans="1:15" ht="15" customHeight="1" x14ac:dyDescent="0.35">
      <c r="A16" s="25"/>
    </row>
    <row r="17" spans="1:7" ht="15" customHeight="1" x14ac:dyDescent="0.35">
      <c r="A17" s="25"/>
      <c r="C17" s="1" t="s">
        <v>153</v>
      </c>
      <c r="E17" s="8">
        <v>0.03</v>
      </c>
    </row>
    <row r="18" spans="1:7" ht="15" customHeight="1" x14ac:dyDescent="0.35">
      <c r="A18" s="25"/>
    </row>
    <row r="19" spans="1:7" ht="21" x14ac:dyDescent="0.35">
      <c r="A19" s="25"/>
      <c r="B19" s="6" t="s">
        <v>215</v>
      </c>
      <c r="E19" s="1" t="s">
        <v>217</v>
      </c>
      <c r="G19" s="1" t="s">
        <v>216</v>
      </c>
    </row>
    <row r="20" spans="1:7" ht="15" customHeight="1" x14ac:dyDescent="0.35">
      <c r="A20" s="25"/>
      <c r="C20" s="1" t="str">
        <f>C6</f>
        <v>koekjes</v>
      </c>
      <c r="E20" s="12"/>
      <c r="G20" s="12"/>
    </row>
    <row r="21" spans="1:7" ht="15" customHeight="1" x14ac:dyDescent="0.35">
      <c r="A21" s="25"/>
      <c r="E21" s="38">
        <v>0.05</v>
      </c>
      <c r="G21" s="38"/>
    </row>
    <row r="22" spans="1:7" ht="15" customHeight="1" x14ac:dyDescent="0.35">
      <c r="A22" s="25"/>
      <c r="E22" s="12"/>
      <c r="G22" s="12"/>
    </row>
    <row r="23" spans="1:7" ht="15" customHeight="1" x14ac:dyDescent="0.35">
      <c r="A23" s="25"/>
      <c r="E23" s="12"/>
      <c r="G23" s="12"/>
    </row>
    <row r="24" spans="1:7" ht="15" customHeight="1" x14ac:dyDescent="0.35">
      <c r="A24" s="25"/>
      <c r="E24" s="12"/>
      <c r="G24" s="12"/>
    </row>
    <row r="25" spans="1:7" ht="15" customHeight="1" x14ac:dyDescent="0.35">
      <c r="A25" s="25"/>
      <c r="E25" s="12"/>
      <c r="G25" s="12"/>
    </row>
    <row r="26" spans="1:7" ht="15" customHeight="1" x14ac:dyDescent="0.35">
      <c r="A26" s="25"/>
      <c r="E26" s="12"/>
      <c r="G26" s="12"/>
    </row>
    <row r="27" spans="1:7" ht="15" customHeight="1" x14ac:dyDescent="0.35">
      <c r="A27" s="25"/>
      <c r="E27" s="12"/>
      <c r="G27" s="12"/>
    </row>
    <row r="28" spans="1:7" ht="15" customHeight="1" x14ac:dyDescent="0.35">
      <c r="A28" s="25"/>
      <c r="E28" s="12"/>
      <c r="G28" s="12"/>
    </row>
    <row r="29" spans="1:7" ht="15" customHeight="1" x14ac:dyDescent="0.35">
      <c r="A29" s="25"/>
      <c r="E29" s="12"/>
      <c r="G29" s="12"/>
    </row>
    <row r="30" spans="1:7" ht="15" customHeight="1" x14ac:dyDescent="0.35">
      <c r="A30" s="25"/>
    </row>
    <row r="31" spans="1:7" ht="15" customHeight="1" x14ac:dyDescent="0.35">
      <c r="A31" s="25"/>
      <c r="E31" s="8">
        <v>0.03</v>
      </c>
      <c r="G31" s="8"/>
    </row>
    <row r="32" spans="1:7" ht="15" customHeight="1" x14ac:dyDescent="0.35">
      <c r="A32" s="25"/>
    </row>
    <row r="33" spans="1:15" ht="21" x14ac:dyDescent="0.35">
      <c r="A33" s="25"/>
    </row>
    <row r="34" spans="1:15" ht="21" x14ac:dyDescent="0.35">
      <c r="A34" s="25"/>
      <c r="B34" s="6" t="s">
        <v>141</v>
      </c>
      <c r="E34" s="1" t="s">
        <v>157</v>
      </c>
      <c r="G34" s="1" t="s">
        <v>156</v>
      </c>
      <c r="I34" s="1" t="s">
        <v>158</v>
      </c>
      <c r="K34" s="1" t="s">
        <v>159</v>
      </c>
      <c r="M34" s="1" t="s">
        <v>162</v>
      </c>
      <c r="O34" s="1" t="s">
        <v>67</v>
      </c>
    </row>
    <row r="35" spans="1:15" x14ac:dyDescent="0.25">
      <c r="C35" s="2" t="s">
        <v>183</v>
      </c>
      <c r="E35" s="38"/>
      <c r="G35" s="12"/>
      <c r="I35" s="12"/>
      <c r="K35" s="12"/>
      <c r="M35" s="12"/>
      <c r="O35" s="12" t="s">
        <v>194</v>
      </c>
    </row>
    <row r="36" spans="1:15" x14ac:dyDescent="0.25">
      <c r="C36" s="2"/>
      <c r="E36" s="12"/>
      <c r="G36" s="12"/>
      <c r="I36" s="12"/>
      <c r="K36" s="12"/>
      <c r="M36" s="12"/>
      <c r="O36" s="12" t="s">
        <v>195</v>
      </c>
    </row>
    <row r="37" spans="1:15" x14ac:dyDescent="0.25">
      <c r="C37" s="2"/>
      <c r="E37" s="12"/>
      <c r="G37" s="12"/>
      <c r="I37" s="12"/>
      <c r="K37" s="12"/>
      <c r="M37" s="12"/>
      <c r="O37" s="12" t="s">
        <v>196</v>
      </c>
    </row>
    <row r="38" spans="1:15" x14ac:dyDescent="0.25">
      <c r="C38" s="2"/>
      <c r="E38" s="12"/>
      <c r="G38" s="12"/>
      <c r="I38" s="12"/>
      <c r="K38" s="12"/>
      <c r="M38" s="12"/>
      <c r="O38" s="12" t="s">
        <v>197</v>
      </c>
    </row>
    <row r="39" spans="1:15" x14ac:dyDescent="0.25">
      <c r="C39" s="2"/>
      <c r="E39" s="12"/>
      <c r="G39" s="12"/>
      <c r="I39" s="12"/>
      <c r="K39" s="12"/>
      <c r="M39" s="12"/>
      <c r="O39" s="12" t="s">
        <v>198</v>
      </c>
    </row>
    <row r="40" spans="1:15" x14ac:dyDescent="0.25">
      <c r="C40" s="2"/>
      <c r="E40" s="12"/>
      <c r="G40" s="12"/>
      <c r="I40" s="12"/>
      <c r="K40" s="12"/>
      <c r="M40" s="12"/>
      <c r="O40" s="12" t="s">
        <v>199</v>
      </c>
    </row>
    <row r="41" spans="1:15" x14ac:dyDescent="0.25">
      <c r="C41" s="2"/>
      <c r="E41" s="12"/>
      <c r="G41" s="12"/>
      <c r="I41" s="12"/>
      <c r="K41" s="12"/>
      <c r="M41" s="12"/>
      <c r="O41" s="12" t="s">
        <v>200</v>
      </c>
    </row>
    <row r="42" spans="1:15" x14ac:dyDescent="0.25">
      <c r="C42" s="2"/>
      <c r="E42" s="12"/>
      <c r="G42" s="12"/>
      <c r="I42" s="12"/>
      <c r="K42" s="12"/>
      <c r="M42" s="12"/>
      <c r="O42" s="12" t="s">
        <v>201</v>
      </c>
    </row>
    <row r="43" spans="1:15" x14ac:dyDescent="0.25">
      <c r="C43" s="2"/>
      <c r="E43" s="12"/>
      <c r="G43" s="12"/>
      <c r="I43" s="12"/>
      <c r="K43" s="12"/>
      <c r="M43" s="12"/>
      <c r="O43" s="12" t="s">
        <v>202</v>
      </c>
    </row>
    <row r="44" spans="1:15" x14ac:dyDescent="0.25">
      <c r="C44" s="2"/>
      <c r="E44" s="12"/>
      <c r="G44" s="12"/>
      <c r="I44" s="12"/>
      <c r="K44" s="12"/>
      <c r="M44" s="12"/>
      <c r="O44" s="12" t="s">
        <v>203</v>
      </c>
    </row>
    <row r="45" spans="1:15" ht="21" x14ac:dyDescent="0.35">
      <c r="A45" s="25"/>
    </row>
    <row r="46" spans="1:15" x14ac:dyDescent="0.25">
      <c r="C46" s="1" t="s">
        <v>160</v>
      </c>
      <c r="E46" s="8">
        <v>0.02</v>
      </c>
      <c r="G46" s="8">
        <v>0.35</v>
      </c>
      <c r="I46" s="8">
        <v>0.18</v>
      </c>
      <c r="K46" s="8">
        <v>0.17</v>
      </c>
      <c r="M46" s="8">
        <f>1/12</f>
        <v>8.3333333333333329E-2</v>
      </c>
    </row>
    <row r="48" spans="1:15" ht="21" x14ac:dyDescent="0.35">
      <c r="B48" s="6" t="s">
        <v>193</v>
      </c>
      <c r="E48" s="1" t="s">
        <v>157</v>
      </c>
      <c r="G48" s="1" t="s">
        <v>223</v>
      </c>
      <c r="O48" s="1" t="s">
        <v>67</v>
      </c>
    </row>
    <row r="49" spans="2:15" x14ac:dyDescent="0.25">
      <c r="C49" s="2" t="s">
        <v>214</v>
      </c>
      <c r="E49" s="38">
        <v>0.04</v>
      </c>
      <c r="G49" s="21">
        <f>PxQ!S70/(SUM(PxQ!C$54:C$63))</f>
        <v>20</v>
      </c>
      <c r="O49" s="12" t="s">
        <v>204</v>
      </c>
    </row>
    <row r="50" spans="2:15" x14ac:dyDescent="0.25">
      <c r="C50" s="2"/>
      <c r="E50" s="12"/>
      <c r="G50" s="21">
        <f>PxQ!S71/(SUM(PxQ!C$54:C$63))</f>
        <v>0</v>
      </c>
      <c r="O50" s="12" t="s">
        <v>205</v>
      </c>
    </row>
    <row r="51" spans="2:15" x14ac:dyDescent="0.25">
      <c r="C51" s="2"/>
      <c r="E51" s="12"/>
      <c r="G51" s="21">
        <f>PxQ!S72/(SUM(PxQ!C$54:C$63))</f>
        <v>0</v>
      </c>
      <c r="O51" s="12" t="s">
        <v>206</v>
      </c>
    </row>
    <row r="52" spans="2:15" x14ac:dyDescent="0.25">
      <c r="C52" s="2"/>
      <c r="E52" s="12"/>
      <c r="G52" s="21">
        <f>PxQ!S73/(SUM(PxQ!C$54:C$63))</f>
        <v>0</v>
      </c>
      <c r="O52" s="12" t="s">
        <v>207</v>
      </c>
    </row>
    <row r="53" spans="2:15" x14ac:dyDescent="0.25">
      <c r="C53" s="2"/>
      <c r="E53" s="12"/>
      <c r="G53" s="21">
        <f>PxQ!S74/(SUM(PxQ!C$54:C$63))</f>
        <v>0</v>
      </c>
      <c r="O53" s="12" t="s">
        <v>208</v>
      </c>
    </row>
    <row r="54" spans="2:15" x14ac:dyDescent="0.25">
      <c r="C54" s="2"/>
      <c r="E54" s="12"/>
      <c r="G54" s="21">
        <f>PxQ!S75/(SUM(PxQ!C$54:C$63))</f>
        <v>0</v>
      </c>
      <c r="O54" s="12" t="s">
        <v>209</v>
      </c>
    </row>
    <row r="55" spans="2:15" x14ac:dyDescent="0.25">
      <c r="C55" s="2"/>
      <c r="E55" s="12"/>
      <c r="G55" s="21">
        <f>PxQ!S76/(SUM(PxQ!C$54:C$63))</f>
        <v>0</v>
      </c>
      <c r="O55" s="12" t="s">
        <v>210</v>
      </c>
    </row>
    <row r="56" spans="2:15" x14ac:dyDescent="0.25">
      <c r="C56" s="2"/>
      <c r="E56" s="12"/>
      <c r="G56" s="21">
        <f>PxQ!S77/(SUM(PxQ!C$54:C$63))</f>
        <v>0</v>
      </c>
      <c r="O56" s="12" t="s">
        <v>211</v>
      </c>
    </row>
    <row r="57" spans="2:15" x14ac:dyDescent="0.25">
      <c r="C57" s="2"/>
      <c r="E57" s="12"/>
      <c r="G57" s="21">
        <f>PxQ!S78/(SUM(PxQ!C$54:C$63))</f>
        <v>0</v>
      </c>
      <c r="O57" s="12" t="s">
        <v>212</v>
      </c>
    </row>
    <row r="58" spans="2:15" x14ac:dyDescent="0.25">
      <c r="C58" s="2"/>
      <c r="E58" s="12"/>
      <c r="G58" s="21">
        <f>PxQ!S79/(SUM(PxQ!C$54:C$63))</f>
        <v>0</v>
      </c>
      <c r="O58" s="12" t="s">
        <v>213</v>
      </c>
    </row>
    <row r="60" spans="2:15" x14ac:dyDescent="0.25">
      <c r="C60" s="1" t="s">
        <v>160</v>
      </c>
      <c r="E60" s="8">
        <v>0.02</v>
      </c>
      <c r="G60" s="3">
        <f>SUM(PxQ!S70:S79)/SUM(PxQ!C54:C63)</f>
        <v>20</v>
      </c>
    </row>
    <row r="62" spans="2:15" ht="21" x14ac:dyDescent="0.35">
      <c r="B62" s="6" t="s">
        <v>13</v>
      </c>
    </row>
    <row r="63" spans="2:15" x14ac:dyDescent="0.25">
      <c r="C63" s="1" t="s">
        <v>14</v>
      </c>
      <c r="D63" s="1" t="s">
        <v>177</v>
      </c>
      <c r="E63" s="8">
        <v>0.08</v>
      </c>
    </row>
    <row r="64" spans="2:15" x14ac:dyDescent="0.25">
      <c r="C64" s="1" t="s">
        <v>15</v>
      </c>
      <c r="D64" s="1" t="s">
        <v>177</v>
      </c>
      <c r="E64" s="8">
        <v>0.05</v>
      </c>
    </row>
    <row r="65" spans="1:6" x14ac:dyDescent="0.25">
      <c r="C65" s="1" t="s">
        <v>16</v>
      </c>
      <c r="D65" s="1" t="s">
        <v>177</v>
      </c>
      <c r="E65" s="8">
        <v>0.01</v>
      </c>
    </row>
    <row r="67" spans="1:6" ht="21" x14ac:dyDescent="0.35">
      <c r="A67" s="25" t="s">
        <v>107</v>
      </c>
    </row>
    <row r="69" spans="1:6" ht="21" x14ac:dyDescent="0.35">
      <c r="B69" s="6" t="s">
        <v>154</v>
      </c>
    </row>
    <row r="70" spans="1:6" x14ac:dyDescent="0.25">
      <c r="C70" s="1" t="s">
        <v>9</v>
      </c>
      <c r="D70" s="1" t="s">
        <v>155</v>
      </c>
      <c r="E70" s="5">
        <v>3</v>
      </c>
      <c r="F70" s="1" t="s">
        <v>49</v>
      </c>
    </row>
    <row r="71" spans="1:6" x14ac:dyDescent="0.25">
      <c r="C71" s="1" t="s">
        <v>104</v>
      </c>
      <c r="D71" s="1" t="s">
        <v>155</v>
      </c>
      <c r="E71" s="5">
        <v>12</v>
      </c>
      <c r="F71" s="1" t="s">
        <v>49</v>
      </c>
    </row>
    <row r="72" spans="1:6" x14ac:dyDescent="0.25">
      <c r="C72" s="1" t="s">
        <v>103</v>
      </c>
      <c r="D72" s="1" t="s">
        <v>155</v>
      </c>
      <c r="E72" s="5">
        <v>1</v>
      </c>
      <c r="F72" s="1" t="s">
        <v>49</v>
      </c>
    </row>
    <row r="73" spans="1:6" x14ac:dyDescent="0.25">
      <c r="C73" s="1" t="s">
        <v>109</v>
      </c>
      <c r="D73" s="1" t="s">
        <v>155</v>
      </c>
      <c r="E73" s="5">
        <v>1</v>
      </c>
      <c r="F73" s="1" t="s">
        <v>49</v>
      </c>
    </row>
    <row r="75" spans="1:6" ht="21" x14ac:dyDescent="0.35">
      <c r="B75" s="6" t="s">
        <v>8</v>
      </c>
    </row>
    <row r="76" spans="1:6" x14ac:dyDescent="0.25">
      <c r="C76" s="1" t="s">
        <v>12</v>
      </c>
      <c r="D76" s="1" t="s">
        <v>186</v>
      </c>
      <c r="E76" s="2">
        <v>10</v>
      </c>
      <c r="F76" s="1" t="s">
        <v>185</v>
      </c>
    </row>
    <row r="77" spans="1:6" x14ac:dyDescent="0.25">
      <c r="C77" s="1" t="s">
        <v>10</v>
      </c>
      <c r="D77" s="1" t="s">
        <v>187</v>
      </c>
      <c r="E77" s="2">
        <v>30</v>
      </c>
      <c r="F77" s="1" t="s">
        <v>185</v>
      </c>
    </row>
    <row r="78" spans="1:6" x14ac:dyDescent="0.25">
      <c r="C78" s="1" t="s">
        <v>105</v>
      </c>
      <c r="D78" s="1" t="s">
        <v>188</v>
      </c>
      <c r="E78" s="2">
        <v>5</v>
      </c>
      <c r="F78" s="1" t="s">
        <v>185</v>
      </c>
    </row>
    <row r="79" spans="1:6" x14ac:dyDescent="0.25">
      <c r="C79" s="1" t="s">
        <v>106</v>
      </c>
      <c r="D79" s="1" t="s">
        <v>189</v>
      </c>
      <c r="E79" s="2">
        <v>15</v>
      </c>
      <c r="F79" s="1" t="s">
        <v>185</v>
      </c>
    </row>
    <row r="80" spans="1:6" x14ac:dyDescent="0.25">
      <c r="C80" s="1" t="s">
        <v>11</v>
      </c>
      <c r="D80" s="1" t="s">
        <v>190</v>
      </c>
      <c r="E80" s="2">
        <v>30</v>
      </c>
      <c r="F80" s="1" t="s">
        <v>185</v>
      </c>
    </row>
    <row r="81" spans="2:15" x14ac:dyDescent="0.25">
      <c r="C81" s="1" t="s">
        <v>166</v>
      </c>
      <c r="D81" s="1" t="s">
        <v>191</v>
      </c>
      <c r="E81" s="2">
        <v>15</v>
      </c>
      <c r="F81" s="1" t="s">
        <v>185</v>
      </c>
    </row>
    <row r="82" spans="2:15" x14ac:dyDescent="0.25">
      <c r="C82" s="1" t="s">
        <v>171</v>
      </c>
      <c r="D82" s="1" t="s">
        <v>192</v>
      </c>
      <c r="E82" s="2">
        <v>15</v>
      </c>
      <c r="F82" s="1" t="s">
        <v>185</v>
      </c>
    </row>
    <row r="84" spans="2:15" ht="21" x14ac:dyDescent="0.35">
      <c r="B84" s="6" t="s">
        <v>161</v>
      </c>
    </row>
    <row r="85" spans="2:15" x14ac:dyDescent="0.25">
      <c r="C85" s="1" t="s">
        <v>175</v>
      </c>
      <c r="E85" s="2">
        <v>5</v>
      </c>
      <c r="F85" s="1" t="s">
        <v>176</v>
      </c>
    </row>
    <row r="86" spans="2:15" x14ac:dyDescent="0.25">
      <c r="C86" s="1" t="s">
        <v>178</v>
      </c>
      <c r="E86" s="2"/>
    </row>
    <row r="88" spans="2:15" ht="21" x14ac:dyDescent="0.35">
      <c r="B88" s="6" t="s">
        <v>66</v>
      </c>
    </row>
    <row r="89" spans="2:15" x14ac:dyDescent="0.25">
      <c r="C89" s="1" t="s">
        <v>65</v>
      </c>
      <c r="E89" s="1" t="s">
        <v>61</v>
      </c>
      <c r="O89" s="1" t="s">
        <v>67</v>
      </c>
    </row>
    <row r="90" spans="2:15" x14ac:dyDescent="0.25">
      <c r="C90" s="2"/>
      <c r="E90" s="12">
        <v>10</v>
      </c>
      <c r="O90" s="12" t="s">
        <v>29</v>
      </c>
    </row>
    <row r="91" spans="2:15" x14ac:dyDescent="0.25">
      <c r="C91" s="2"/>
      <c r="E91" s="12"/>
      <c r="O91" s="12" t="s">
        <v>30</v>
      </c>
    </row>
    <row r="92" spans="2:15" x14ac:dyDescent="0.25">
      <c r="C92" s="2"/>
      <c r="E92" s="12"/>
      <c r="O92" s="12" t="s">
        <v>31</v>
      </c>
    </row>
    <row r="93" spans="2:15" x14ac:dyDescent="0.25">
      <c r="C93" s="2"/>
      <c r="E93" s="12"/>
      <c r="O93" s="12" t="s">
        <v>32</v>
      </c>
    </row>
    <row r="94" spans="2:15" x14ac:dyDescent="0.25">
      <c r="C94" s="2"/>
      <c r="E94" s="12"/>
      <c r="O94" s="12" t="s">
        <v>33</v>
      </c>
    </row>
    <row r="95" spans="2:15" x14ac:dyDescent="0.25">
      <c r="C95" s="2"/>
      <c r="E95" s="12"/>
      <c r="O95" s="12" t="s">
        <v>34</v>
      </c>
    </row>
    <row r="96" spans="2:15" x14ac:dyDescent="0.25">
      <c r="C96" s="2"/>
      <c r="E96" s="12"/>
      <c r="O96" s="12" t="s">
        <v>35</v>
      </c>
    </row>
    <row r="97" spans="3:15" x14ac:dyDescent="0.25">
      <c r="C97" s="2"/>
      <c r="E97" s="12"/>
      <c r="O97" s="12" t="s">
        <v>36</v>
      </c>
    </row>
    <row r="98" spans="3:15" x14ac:dyDescent="0.25">
      <c r="C98" s="2"/>
      <c r="E98" s="12"/>
      <c r="O98" s="12" t="s">
        <v>37</v>
      </c>
    </row>
    <row r="99" spans="3:15" x14ac:dyDescent="0.25">
      <c r="C99" s="2"/>
      <c r="E99" s="12"/>
      <c r="O99" s="12" t="s">
        <v>38</v>
      </c>
    </row>
    <row r="100" spans="3:15" ht="16.5" thickBot="1" x14ac:dyDescent="0.3"/>
    <row r="101" spans="3:15" ht="16.5" thickBot="1" x14ac:dyDescent="0.3">
      <c r="C101" s="1" t="s">
        <v>68</v>
      </c>
      <c r="E101" s="41">
        <v>5</v>
      </c>
    </row>
    <row r="103" spans="3:15" x14ac:dyDescent="0.25">
      <c r="C103" s="1" t="s">
        <v>184</v>
      </c>
      <c r="E103" s="2">
        <v>3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ColWidth="10.875" defaultRowHeight="15.75" x14ac:dyDescent="0.25"/>
  <cols>
    <col min="1" max="16384" width="10.875" style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Cover</vt:lpstr>
      <vt:lpstr>Market</vt:lpstr>
      <vt:lpstr>PxQ</vt:lpstr>
      <vt:lpstr>P&amp;L</vt:lpstr>
      <vt:lpstr>Balance sheet</vt:lpstr>
      <vt:lpstr>Cashflow + financing</vt:lpstr>
      <vt:lpstr>Parameters</vt:lpstr>
      <vt:lpstr>Valuation</vt:lpstr>
    </vt:vector>
  </TitlesOfParts>
  <Company>Almende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Geert van Hall</dc:creator>
  <cp:lastModifiedBy>Jan Geert</cp:lastModifiedBy>
  <dcterms:created xsi:type="dcterms:W3CDTF">2016-03-24T10:20:10Z</dcterms:created>
  <dcterms:modified xsi:type="dcterms:W3CDTF">2016-06-03T09:21:58Z</dcterms:modified>
</cp:coreProperties>
</file>