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drawings/drawing5.xml" ContentType="application/vnd.openxmlformats-officedocument.drawingml.chartshapes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harts/chart17.xml" ContentType="application/vnd.openxmlformats-officedocument.drawingml.chart+xml"/>
  <Override PartName="/xl/drawings/drawing7.xml" ContentType="application/vnd.openxmlformats-officedocument.drawingml.chartshapes+xml"/>
  <Override PartName="/xl/charts/chart1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ml.chartshapes+xml"/>
  <Override PartName="/xl/charts/chart19.xml" ContentType="application/vnd.openxmlformats-officedocument.drawingml.chart+xml"/>
  <Override PartName="/xl/drawings/drawing9.xml" ContentType="application/vnd.openxmlformats-officedocument.drawingml.chartshapes+xml"/>
  <Override PartName="/xl/charts/chart20.xml" ContentType="application/vnd.openxmlformats-officedocument.drawingml.chart+xml"/>
  <Override PartName="/xl/drawings/drawing10.xml" ContentType="application/vnd.openxmlformats-officedocument.drawingml.chartshapes+xml"/>
  <Override PartName="/xl/charts/chart2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ml.chartshapes+xml"/>
  <Override PartName="/xl/charts/chart2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ml.chartshapes+xml"/>
  <Override PartName="/xl/charts/chart2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ml.chartshapes+xml"/>
  <Override PartName="/xl/charts/chart2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3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3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3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7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8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9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40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1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2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3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4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5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6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7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4.xml" ContentType="application/vnd.openxmlformats-officedocument.drawingml.chartshapes+xml"/>
  <Override PartName="/xl/charts/chart48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9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50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51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52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7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18.xml" ContentType="application/vnd.openxmlformats-officedocument.drawingml.chartshapes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omments2.xml" ContentType="application/vnd.openxmlformats-officedocument.spreadsheetml.comments+xml"/>
  <Override PartName="/xl/drawings/drawing19.xml" ContentType="application/vnd.openxmlformats-officedocument.drawing+xml"/>
  <Override PartName="/xl/charts/chart63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64.xml" ContentType="application/vnd.openxmlformats-officedocument.drawingml.chart+xml"/>
  <Override PartName="/xl/drawings/drawing22.xml" ContentType="application/vnd.openxmlformats-officedocument.drawing+xml"/>
  <Override PartName="/xl/charts/chart65.xml" ContentType="application/vnd.openxmlformats-officedocument.drawingml.chart+xml"/>
  <Override PartName="/xl/drawings/drawing23.xml" ContentType="application/vnd.openxmlformats-officedocument.drawing+xml"/>
  <Override PartName="/xl/charts/chart66.xml" ContentType="application/vnd.openxmlformats-officedocument.drawingml.chart+xml"/>
  <Override PartName="/xl/drawings/drawing24.xml" ContentType="application/vnd.openxmlformats-officedocument.drawing+xml"/>
  <Override PartName="/xl/charts/chart67.xml" ContentType="application/vnd.openxmlformats-officedocument.drawingml.chart+xml"/>
  <Override PartName="/xl/drawings/drawing25.xml" ContentType="application/vnd.openxmlformats-officedocument.drawing+xml"/>
  <Override PartName="/xl/charts/chart68.xml" ContentType="application/vnd.openxmlformats-officedocument.drawingml.chart+xml"/>
  <Override PartName="/xl/drawings/drawing26.xml" ContentType="application/vnd.openxmlformats-officedocument.drawing+xml"/>
  <Override PartName="/xl/charts/chart69.xml" ContentType="application/vnd.openxmlformats-officedocument.drawingml.chart+xml"/>
  <Override PartName="/xl/drawings/drawing27.xml" ContentType="application/vnd.openxmlformats-officedocument.drawing+xml"/>
  <Override PartName="/xl/charts/chart70.xml" ContentType="application/vnd.openxmlformats-officedocument.drawingml.chart+xml"/>
  <Override PartName="/xl/drawings/drawing28.xml" ContentType="application/vnd.openxmlformats-officedocument.drawing+xml"/>
  <Override PartName="/xl/charts/chart71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vin\Desktop\publicaciones mias\Articulo CC en HEK293\Resultados utilizados\"/>
    </mc:Choice>
  </mc:AlternateContent>
  <xr:revisionPtr revIDLastSave="0" documentId="13_ncr:1_{DE7844C5-3B7A-4C62-B8F0-CB0496D38742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ferment." sheetId="11" r:id="rId1"/>
    <sheet name="Graficcos" sheetId="7702" r:id="rId2"/>
    <sheet name="Analisis economico" sheetId="7694" r:id="rId3"/>
    <sheet name="Hoja3" sheetId="7703" r:id="rId4"/>
    <sheet name="productividad" sheetId="7649" r:id="rId5"/>
    <sheet name="Cosechas" sheetId="4" r:id="rId6"/>
    <sheet name="Xv y viab" sheetId="7695" r:id="rId7"/>
    <sheet name="Velocidad de crecimiento vs pH" sheetId="7701" r:id="rId8"/>
    <sheet name="Velocidad de crecimiento" sheetId="7699" r:id="rId9"/>
    <sheet name="qp" sheetId="7698" r:id="rId10"/>
    <sheet name="Xv vvd total" sheetId="7683" r:id="rId11"/>
    <sheet name="Xv vs IgG" sheetId="7697" r:id="rId12"/>
    <sheet name="Xv vvd perf cc" sheetId="7686" r:id="rId13"/>
    <sheet name="Kd vvd perf cc " sheetId="7693" r:id="rId14"/>
    <sheet name="Xv vs pH" sheetId="7700" r:id="rId15"/>
  </sheets>
  <externalReferences>
    <externalReference r:id="rId16"/>
    <externalReference r:id="rId17"/>
    <externalReference r:id="rId18"/>
  </externalReferences>
  <definedNames>
    <definedName name="_NH4">ferment.!$BN$8:$BN$16</definedName>
    <definedName name="_qNH4">ferment.!$BN$29:$BN$39</definedName>
    <definedName name="Ac_Asp.">ferment.!$CE$8:$CE$16</definedName>
    <definedName name="Ac_Glut.">ferment.!$CI$8:$CI$17</definedName>
    <definedName name="Alaniana">ferment.!$EE$8:$EE$16</definedName>
    <definedName name="Alanina">ferment.!$EE$8:$EE$16</definedName>
    <definedName name="Arginina">ferment.!$EG$8:$EG$16</definedName>
    <definedName name="Asparag.">ferment.!#REF!</definedName>
    <definedName name="Cohef_List">ferment.!$HS$1:$HS$16</definedName>
    <definedName name="Fenilalanina">ferment.!$ES$8:$ES$16</definedName>
    <definedName name="Glicina">ferment.!$DY$8:$DY$16</definedName>
    <definedName name="Glu">[1]ferment.!$P$8:$P$16</definedName>
    <definedName name="Glucosa">ferment.!#REF!</definedName>
    <definedName name="Glutamina">ferment.!$DW$8:$DW$16</definedName>
    <definedName name="Histidina">ferment.!$EC$8:$EC$16</definedName>
    <definedName name="IgG">ferment.!#REF!</definedName>
    <definedName name="Inoculo_Fecha">ferment.!$B$4</definedName>
    <definedName name="Inoculo_Hora">ferment.!$C$4</definedName>
    <definedName name="Integral_List">ferment.!$HR$1:$HR$16</definedName>
    <definedName name="Isoleucina">ferment.!$EU$8:$EU$16</definedName>
    <definedName name="kd">ferment.!$M$29:$M$39</definedName>
    <definedName name="Lactato">ferment.!$BX$8:$BX$16</definedName>
    <definedName name="Leucina">ferment.!$EW$8:$EW$16</definedName>
    <definedName name="Lisina">ferment.!$EY$8:$EY$16</definedName>
    <definedName name="MeanTime">ferment.!$D$29:$D$39</definedName>
    <definedName name="Metionina">ferment.!$EM$8:$EM$16</definedName>
    <definedName name="Miu_app">ferment.!$F$29:$F$39</definedName>
    <definedName name="Miu_real">ferment.!$R$29:$R$39</definedName>
    <definedName name="Ornitina">ferment.!$EO$8:$EO$16</definedName>
    <definedName name="perfusion_fecha">#REF!</definedName>
    <definedName name="perfusion_hora">#REF!</definedName>
    <definedName name="qAc_Asp.">ferment.!$CE$29:$CE$39</definedName>
    <definedName name="qAc_Glut.">ferment.!$CI$30:$CI$39</definedName>
    <definedName name="qAlaniana">ferment.!$EE$29:$EE$39</definedName>
    <definedName name="qAlanina">ferment.!$EE$29:$EE$39</definedName>
    <definedName name="qArginina">ferment.!$EG$29:$EG$39</definedName>
    <definedName name="qAsparag.">ferment.!#REF!</definedName>
    <definedName name="qFenilalanina">ferment.!$ES$29:$ES$39</definedName>
    <definedName name="qGlicina">ferment.!$DY$29:$DY$39</definedName>
    <definedName name="qGlucosa">ferment.!#REF!</definedName>
    <definedName name="qGlutamina">ferment.!$DW$29:$DW$39</definedName>
    <definedName name="qHistidina">ferment.!$EC$29:$EC$39</definedName>
    <definedName name="qIgG">ferment.!$BZ$30:$BZ$39</definedName>
    <definedName name="qIsoleucina">ferment.!$EU$29:$EU$39</definedName>
    <definedName name="qLactato">ferment.!$BX$29:$BX$39</definedName>
    <definedName name="qLeucina">ferment.!$EW$29:$EW$39</definedName>
    <definedName name="qLisina">ferment.!$EY$29:$EY$39</definedName>
    <definedName name="qMetionina">ferment.!$EM$29:$EM$39</definedName>
    <definedName name="qOrnitina">ferment.!$EO$29:$EO$39</definedName>
    <definedName name="qSerina">ferment.!$DU$29:$DU$39</definedName>
    <definedName name="qTirosina">ferment.!$EI$29:$EI$39</definedName>
    <definedName name="qTreonina">ferment.!$EA$29:$EA$39</definedName>
    <definedName name="qTriptofano">ferment.!$EQ$29:$EQ$39</definedName>
    <definedName name="qValina">ferment.!$EK$29:$EK$39</definedName>
    <definedName name="Runtime">ferment.!$D$8:$D$16</definedName>
    <definedName name="Serina">ferment.!$DU$8:$DU$16</definedName>
    <definedName name="SXv">ferment.!$X$8:$X$16</definedName>
    <definedName name="Tirosina">ferment.!$EI$8:$EI$16</definedName>
    <definedName name="Treonina">ferment.!$EA$8:$EA$16</definedName>
    <definedName name="Triptofano">ferment.!$EQ$8:$EQ$16</definedName>
    <definedName name="Valina">ferment.!$EK$8:$EK$16</definedName>
    <definedName name="Variable_List">ferment.!$HT$1:$HT$58</definedName>
    <definedName name="Viab">ferment.!$W$8:$W$16</definedName>
    <definedName name="Xd">ferment.!$M$8:$M$16</definedName>
    <definedName name="Xt">ferment.!$R$8:$R$16</definedName>
    <definedName name="Xv">ferment.!$F$8:$F$16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10" i="7702" l="1"/>
  <c r="CX31" i="11"/>
  <c r="CY21" i="11" l="1"/>
  <c r="CX21" i="11"/>
  <c r="AE260" i="4"/>
  <c r="AB260" i="4" s="1"/>
  <c r="AE259" i="4"/>
  <c r="AB259" i="4"/>
  <c r="AE258" i="4"/>
  <c r="AB258" i="4" s="1"/>
  <c r="AE257" i="4"/>
  <c r="AB257" i="4"/>
  <c r="AE256" i="4"/>
  <c r="AB256" i="4" s="1"/>
  <c r="AE255" i="4"/>
  <c r="AB255" i="4"/>
  <c r="AE254" i="4"/>
  <c r="AB254" i="4" s="1"/>
  <c r="AE253" i="4"/>
  <c r="AB253" i="4" s="1"/>
  <c r="AE252" i="4"/>
  <c r="AB252" i="4" s="1"/>
  <c r="AE251" i="4"/>
  <c r="AB251" i="4"/>
  <c r="AE250" i="4"/>
  <c r="AB250" i="4" s="1"/>
  <c r="AE249" i="4"/>
  <c r="AB249" i="4"/>
  <c r="AE248" i="4"/>
  <c r="AB248" i="4" s="1"/>
  <c r="AE247" i="4"/>
  <c r="AB247" i="4" s="1"/>
  <c r="AE246" i="4"/>
  <c r="AB246" i="4" s="1"/>
  <c r="AE245" i="4"/>
  <c r="AB245" i="4" s="1"/>
  <c r="AE244" i="4"/>
  <c r="AB244" i="4" s="1"/>
  <c r="AE243" i="4"/>
  <c r="AB243" i="4"/>
  <c r="AE242" i="4"/>
  <c r="AB242" i="4" s="1"/>
  <c r="AE241" i="4"/>
  <c r="AB241" i="4"/>
  <c r="AE240" i="4"/>
  <c r="AB240" i="4" s="1"/>
  <c r="AE239" i="4"/>
  <c r="AB239" i="4" s="1"/>
  <c r="AE238" i="4"/>
  <c r="AB238" i="4" s="1"/>
  <c r="AE237" i="4"/>
  <c r="AB237" i="4" s="1"/>
  <c r="AE236" i="4"/>
  <c r="AB236" i="4" s="1"/>
  <c r="AE235" i="4"/>
  <c r="AB235" i="4"/>
  <c r="AE234" i="4"/>
  <c r="AB234" i="4" s="1"/>
  <c r="AE233" i="4"/>
  <c r="AB233" i="4"/>
  <c r="AE232" i="4"/>
  <c r="AB232" i="4" s="1"/>
  <c r="AE231" i="4"/>
  <c r="AB231" i="4" s="1"/>
  <c r="AE230" i="4"/>
  <c r="AB230" i="4" s="1"/>
  <c r="AE229" i="4"/>
  <c r="AB229" i="4" s="1"/>
  <c r="AE228" i="4"/>
  <c r="AB228" i="4" s="1"/>
  <c r="AE227" i="4"/>
  <c r="AB227" i="4"/>
  <c r="AE226" i="4"/>
  <c r="AB226" i="4" s="1"/>
  <c r="AE225" i="4"/>
  <c r="AB225" i="4"/>
  <c r="AE224" i="4"/>
  <c r="AB224" i="4" s="1"/>
  <c r="AE223" i="4"/>
  <c r="AB223" i="4" s="1"/>
  <c r="AE222" i="4"/>
  <c r="AB222" i="4" s="1"/>
  <c r="AE221" i="4"/>
  <c r="AB221" i="4" s="1"/>
  <c r="AE220" i="4"/>
  <c r="AB220" i="4" s="1"/>
  <c r="AE219" i="4"/>
  <c r="AB219" i="4"/>
  <c r="AE218" i="4"/>
  <c r="AB218" i="4" s="1"/>
  <c r="AE217" i="4"/>
  <c r="AB217" i="4"/>
  <c r="AE216" i="4"/>
  <c r="AB216" i="4" s="1"/>
  <c r="AE215" i="4"/>
  <c r="AB215" i="4" s="1"/>
  <c r="AE214" i="4"/>
  <c r="AB214" i="4" s="1"/>
  <c r="AE213" i="4"/>
  <c r="AB213" i="4" s="1"/>
  <c r="AE212" i="4"/>
  <c r="AB212" i="4" s="1"/>
  <c r="AE211" i="4"/>
  <c r="AB211" i="4"/>
  <c r="AE210" i="4"/>
  <c r="AB210" i="4" s="1"/>
  <c r="AE209" i="4"/>
  <c r="AB209" i="4"/>
  <c r="AE208" i="4"/>
  <c r="AB208" i="4" s="1"/>
  <c r="AE207" i="4"/>
  <c r="AB207" i="4" s="1"/>
  <c r="AE206" i="4"/>
  <c r="AB206" i="4" s="1"/>
  <c r="AE205" i="4"/>
  <c r="AB205" i="4" s="1"/>
  <c r="AE204" i="4"/>
  <c r="AB204" i="4" s="1"/>
  <c r="AE203" i="4"/>
  <c r="AB203" i="4"/>
  <c r="AE202" i="4"/>
  <c r="AB202" i="4" s="1"/>
  <c r="AE201" i="4"/>
  <c r="AB201" i="4"/>
  <c r="AE200" i="4"/>
  <c r="AB200" i="4" s="1"/>
  <c r="AE199" i="4"/>
  <c r="AB199" i="4" s="1"/>
  <c r="AE198" i="4"/>
  <c r="AB198" i="4" s="1"/>
  <c r="AE197" i="4"/>
  <c r="AB197" i="4" s="1"/>
  <c r="AE196" i="4"/>
  <c r="AB196" i="4" s="1"/>
  <c r="AE195" i="4"/>
  <c r="AB195" i="4"/>
  <c r="AE194" i="4"/>
  <c r="AB194" i="4" s="1"/>
  <c r="AE193" i="4"/>
  <c r="AB193" i="4"/>
  <c r="AE192" i="4"/>
  <c r="AB192" i="4" s="1"/>
  <c r="AE191" i="4"/>
  <c r="AB191" i="4" s="1"/>
  <c r="AE190" i="4"/>
  <c r="AB190" i="4" s="1"/>
  <c r="AE189" i="4"/>
  <c r="AB189" i="4" s="1"/>
  <c r="AE188" i="4"/>
  <c r="AB188" i="4" s="1"/>
  <c r="AE187" i="4"/>
  <c r="AB187" i="4"/>
  <c r="AE186" i="4"/>
  <c r="AB186" i="4" s="1"/>
  <c r="AE185" i="4"/>
  <c r="AB185" i="4"/>
  <c r="AE184" i="4"/>
  <c r="AB184" i="4" s="1"/>
  <c r="AE183" i="4"/>
  <c r="AB183" i="4" s="1"/>
  <c r="AE182" i="4"/>
  <c r="AB182" i="4" s="1"/>
  <c r="AE181" i="4"/>
  <c r="AB181" i="4" s="1"/>
  <c r="AE180" i="4"/>
  <c r="AB180" i="4" s="1"/>
  <c r="AE179" i="4"/>
  <c r="AB179" i="4"/>
  <c r="AE178" i="4"/>
  <c r="AB178" i="4" s="1"/>
  <c r="AE177" i="4"/>
  <c r="AB177" i="4"/>
  <c r="AE176" i="4"/>
  <c r="AB176" i="4" s="1"/>
  <c r="AE175" i="4"/>
  <c r="AB175" i="4" s="1"/>
  <c r="AE174" i="4"/>
  <c r="AB174" i="4" s="1"/>
  <c r="AE173" i="4"/>
  <c r="AB173" i="4" s="1"/>
  <c r="AE172" i="4"/>
  <c r="AB172" i="4" s="1"/>
  <c r="AE171" i="4"/>
  <c r="AB171" i="4"/>
  <c r="AE170" i="4"/>
  <c r="AB170" i="4" s="1"/>
  <c r="AJ169" i="4"/>
  <c r="AI169" i="4"/>
  <c r="AF169" i="4"/>
  <c r="AE169" i="4"/>
  <c r="AB169" i="4" s="1"/>
  <c r="AJ168" i="4"/>
  <c r="AI168" i="4"/>
  <c r="AF168" i="4"/>
  <c r="AE168" i="4"/>
  <c r="AB168" i="4" s="1"/>
  <c r="AJ167" i="4"/>
  <c r="AI167" i="4"/>
  <c r="AF167" i="4"/>
  <c r="AE167" i="4"/>
  <c r="AB167" i="4" s="1"/>
  <c r="AJ166" i="4"/>
  <c r="AI166" i="4"/>
  <c r="AF166" i="4"/>
  <c r="AE166" i="4"/>
  <c r="AB166" i="4" s="1"/>
  <c r="AJ165" i="4"/>
  <c r="AI165" i="4"/>
  <c r="AF165" i="4"/>
  <c r="AE165" i="4"/>
  <c r="AB165" i="4" s="1"/>
  <c r="AJ164" i="4"/>
  <c r="AI164" i="4"/>
  <c r="AF164" i="4"/>
  <c r="AE164" i="4"/>
  <c r="AB164" i="4"/>
  <c r="AJ163" i="4"/>
  <c r="AI163" i="4"/>
  <c r="AF163" i="4"/>
  <c r="AE163" i="4"/>
  <c r="AB163" i="4" s="1"/>
  <c r="AJ162" i="4"/>
  <c r="AI162" i="4"/>
  <c r="AF162" i="4"/>
  <c r="AE162" i="4"/>
  <c r="AB162" i="4" s="1"/>
  <c r="AJ161" i="4"/>
  <c r="AI161" i="4"/>
  <c r="AF161" i="4"/>
  <c r="AE161" i="4"/>
  <c r="AB161" i="4" s="1"/>
  <c r="AJ160" i="4"/>
  <c r="AI160" i="4"/>
  <c r="AF160" i="4"/>
  <c r="AE160" i="4"/>
  <c r="AB160" i="4"/>
  <c r="AJ159" i="4"/>
  <c r="AI159" i="4"/>
  <c r="AF159" i="4"/>
  <c r="AE159" i="4"/>
  <c r="AB159" i="4" s="1"/>
  <c r="AJ158" i="4"/>
  <c r="AI158" i="4"/>
  <c r="AF158" i="4"/>
  <c r="AE158" i="4"/>
  <c r="AB158" i="4" s="1"/>
  <c r="AJ157" i="4"/>
  <c r="AI157" i="4"/>
  <c r="AF157" i="4"/>
  <c r="AE157" i="4"/>
  <c r="AB157" i="4" s="1"/>
  <c r="AJ156" i="4"/>
  <c r="AI156" i="4"/>
  <c r="AF156" i="4"/>
  <c r="AE156" i="4"/>
  <c r="AB156" i="4" s="1"/>
  <c r="AJ155" i="4"/>
  <c r="AI155" i="4"/>
  <c r="AF155" i="4"/>
  <c r="AE155" i="4"/>
  <c r="AB155" i="4" s="1"/>
  <c r="AJ154" i="4"/>
  <c r="AI154" i="4"/>
  <c r="AF154" i="4"/>
  <c r="AE154" i="4"/>
  <c r="AB154" i="4" s="1"/>
  <c r="AJ153" i="4"/>
  <c r="AI153" i="4"/>
  <c r="AF153" i="4"/>
  <c r="AE153" i="4"/>
  <c r="AB153" i="4" s="1"/>
  <c r="AJ152" i="4"/>
  <c r="AI152" i="4"/>
  <c r="AF152" i="4"/>
  <c r="AE152" i="4"/>
  <c r="AB152" i="4"/>
  <c r="AJ151" i="4"/>
  <c r="AI151" i="4"/>
  <c r="AF151" i="4"/>
  <c r="AE151" i="4"/>
  <c r="AB151" i="4" s="1"/>
  <c r="AJ150" i="4"/>
  <c r="AI150" i="4"/>
  <c r="AF150" i="4"/>
  <c r="AE150" i="4"/>
  <c r="AB150" i="4" s="1"/>
  <c r="AJ149" i="4"/>
  <c r="AI149" i="4"/>
  <c r="AF149" i="4"/>
  <c r="AE149" i="4"/>
  <c r="AB149" i="4" s="1"/>
  <c r="AJ148" i="4"/>
  <c r="AI148" i="4"/>
  <c r="AF148" i="4"/>
  <c r="AE148" i="4"/>
  <c r="AB148" i="4"/>
  <c r="AJ147" i="4"/>
  <c r="AI147" i="4"/>
  <c r="AF147" i="4"/>
  <c r="AE147" i="4"/>
  <c r="AB147" i="4" s="1"/>
  <c r="AJ146" i="4"/>
  <c r="AI146" i="4"/>
  <c r="AF146" i="4"/>
  <c r="AE146" i="4"/>
  <c r="AB146" i="4" s="1"/>
  <c r="AJ145" i="4"/>
  <c r="AI145" i="4"/>
  <c r="AF145" i="4"/>
  <c r="AE145" i="4"/>
  <c r="AB145" i="4" s="1"/>
  <c r="AJ144" i="4"/>
  <c r="AI144" i="4"/>
  <c r="AF144" i="4"/>
  <c r="AE144" i="4"/>
  <c r="AB144" i="4"/>
  <c r="AJ143" i="4"/>
  <c r="AI143" i="4"/>
  <c r="AF143" i="4"/>
  <c r="AE143" i="4"/>
  <c r="AB143" i="4" s="1"/>
  <c r="AJ142" i="4"/>
  <c r="AI142" i="4"/>
  <c r="AF142" i="4"/>
  <c r="AE142" i="4"/>
  <c r="AB142" i="4" s="1"/>
  <c r="AJ141" i="4"/>
  <c r="AI141" i="4"/>
  <c r="AF141" i="4"/>
  <c r="AE141" i="4"/>
  <c r="AB141" i="4" s="1"/>
  <c r="AJ140" i="4"/>
  <c r="AI140" i="4"/>
  <c r="AF140" i="4"/>
  <c r="AE140" i="4"/>
  <c r="AB140" i="4" s="1"/>
  <c r="AJ139" i="4"/>
  <c r="AI139" i="4"/>
  <c r="AF139" i="4"/>
  <c r="AE139" i="4"/>
  <c r="AB139" i="4" s="1"/>
  <c r="AJ138" i="4"/>
  <c r="AI138" i="4"/>
  <c r="AF138" i="4"/>
  <c r="AE138" i="4"/>
  <c r="AB138" i="4" s="1"/>
  <c r="AJ137" i="4"/>
  <c r="AI137" i="4"/>
  <c r="AF137" i="4"/>
  <c r="AE137" i="4"/>
  <c r="AB137" i="4" s="1"/>
  <c r="AJ136" i="4"/>
  <c r="AI136" i="4"/>
  <c r="AF136" i="4"/>
  <c r="AE136" i="4"/>
  <c r="AB136" i="4"/>
  <c r="AJ135" i="4"/>
  <c r="AI135" i="4"/>
  <c r="AF135" i="4"/>
  <c r="AE135" i="4"/>
  <c r="AB135" i="4" s="1"/>
  <c r="AJ134" i="4"/>
  <c r="AI134" i="4"/>
  <c r="AF134" i="4"/>
  <c r="AE134" i="4"/>
  <c r="AB134" i="4" s="1"/>
  <c r="AJ133" i="4"/>
  <c r="AI133" i="4"/>
  <c r="AF133" i="4"/>
  <c r="AE133" i="4"/>
  <c r="AB133" i="4" s="1"/>
  <c r="AJ132" i="4"/>
  <c r="AI132" i="4"/>
  <c r="AF132" i="4"/>
  <c r="AE132" i="4"/>
  <c r="AB132" i="4"/>
  <c r="AJ131" i="4"/>
  <c r="AI131" i="4"/>
  <c r="AF131" i="4"/>
  <c r="AE131" i="4"/>
  <c r="AB131" i="4" s="1"/>
  <c r="AJ130" i="4"/>
  <c r="AI130" i="4"/>
  <c r="AF130" i="4"/>
  <c r="AE130" i="4"/>
  <c r="AB130" i="4" s="1"/>
  <c r="AJ129" i="4"/>
  <c r="AI129" i="4"/>
  <c r="AF129" i="4"/>
  <c r="AE129" i="4"/>
  <c r="AB129" i="4" s="1"/>
  <c r="AJ128" i="4"/>
  <c r="AI128" i="4"/>
  <c r="AF128" i="4"/>
  <c r="AE128" i="4"/>
  <c r="AB128" i="4"/>
  <c r="AJ127" i="4"/>
  <c r="AI127" i="4"/>
  <c r="AF127" i="4"/>
  <c r="AE127" i="4"/>
  <c r="AB127" i="4" s="1"/>
  <c r="AJ126" i="4"/>
  <c r="AI126" i="4"/>
  <c r="AF126" i="4"/>
  <c r="AE126" i="4"/>
  <c r="AB126" i="4" s="1"/>
  <c r="AJ125" i="4"/>
  <c r="AI125" i="4"/>
  <c r="AF125" i="4"/>
  <c r="AE125" i="4"/>
  <c r="AB125" i="4" s="1"/>
  <c r="AJ124" i="4"/>
  <c r="AI124" i="4"/>
  <c r="AF124" i="4"/>
  <c r="AE124" i="4"/>
  <c r="AB124" i="4" s="1"/>
  <c r="AJ123" i="4"/>
  <c r="AI123" i="4"/>
  <c r="AF123" i="4"/>
  <c r="AE123" i="4"/>
  <c r="AB123" i="4" s="1"/>
  <c r="AJ122" i="4"/>
  <c r="AI122" i="4"/>
  <c r="AF122" i="4"/>
  <c r="AE122" i="4"/>
  <c r="AB122" i="4" s="1"/>
  <c r="AJ121" i="4"/>
  <c r="AI121" i="4"/>
  <c r="AF121" i="4"/>
  <c r="AE121" i="4"/>
  <c r="AB121" i="4" s="1"/>
  <c r="AJ120" i="4"/>
  <c r="AI120" i="4"/>
  <c r="AF120" i="4"/>
  <c r="AE120" i="4"/>
  <c r="AB120" i="4"/>
  <c r="AJ119" i="4"/>
  <c r="AI119" i="4"/>
  <c r="AF119" i="4"/>
  <c r="AE119" i="4"/>
  <c r="AB119" i="4" s="1"/>
  <c r="AJ118" i="4"/>
  <c r="AI118" i="4"/>
  <c r="AF118" i="4"/>
  <c r="AE118" i="4"/>
  <c r="AB118" i="4" s="1"/>
  <c r="AJ117" i="4"/>
  <c r="AI117" i="4"/>
  <c r="AF117" i="4"/>
  <c r="AE117" i="4"/>
  <c r="AB117" i="4" s="1"/>
  <c r="AJ116" i="4"/>
  <c r="AI116" i="4"/>
  <c r="AF116" i="4"/>
  <c r="AE116" i="4"/>
  <c r="AB116" i="4"/>
  <c r="AJ115" i="4"/>
  <c r="AI115" i="4"/>
  <c r="AF115" i="4"/>
  <c r="U62" i="4"/>
  <c r="Q62" i="4"/>
  <c r="M62" i="4"/>
  <c r="D62" i="4"/>
  <c r="E62" i="4" s="1"/>
  <c r="U61" i="4"/>
  <c r="Q61" i="4"/>
  <c r="M61" i="4"/>
  <c r="D61" i="4"/>
  <c r="E61" i="4" s="1"/>
  <c r="U60" i="4"/>
  <c r="Q60" i="4"/>
  <c r="M60" i="4"/>
  <c r="E60" i="4"/>
  <c r="AE111" i="4" s="1"/>
  <c r="AB111" i="4" s="1"/>
  <c r="D60" i="4"/>
  <c r="U59" i="4"/>
  <c r="Q59" i="4"/>
  <c r="M59" i="4"/>
  <c r="D59" i="4"/>
  <c r="E59" i="4" s="1"/>
  <c r="U58" i="4"/>
  <c r="Q58" i="4"/>
  <c r="M58" i="4"/>
  <c r="E58" i="4"/>
  <c r="D58" i="4"/>
  <c r="U57" i="4"/>
  <c r="Q57" i="4"/>
  <c r="M57" i="4"/>
  <c r="D57" i="4"/>
  <c r="E57" i="4" s="1"/>
  <c r="U56" i="4"/>
  <c r="Q56" i="4"/>
  <c r="M56" i="4"/>
  <c r="E56" i="4"/>
  <c r="D56" i="4"/>
  <c r="U55" i="4"/>
  <c r="Q55" i="4"/>
  <c r="M55" i="4"/>
  <c r="D55" i="4"/>
  <c r="E55" i="4" s="1"/>
  <c r="U54" i="4"/>
  <c r="Q54" i="4"/>
  <c r="M54" i="4"/>
  <c r="E54" i="4"/>
  <c r="D54" i="4"/>
  <c r="U53" i="4"/>
  <c r="Q53" i="4"/>
  <c r="M53" i="4"/>
  <c r="D53" i="4"/>
  <c r="E53" i="4" s="1"/>
  <c r="U52" i="4"/>
  <c r="Q52" i="4"/>
  <c r="M52" i="4"/>
  <c r="E52" i="4"/>
  <c r="AE95" i="4" s="1"/>
  <c r="AB95" i="4" s="1"/>
  <c r="D52" i="4"/>
  <c r="U51" i="4"/>
  <c r="Q51" i="4"/>
  <c r="M51" i="4"/>
  <c r="E51" i="4"/>
  <c r="D51" i="4"/>
  <c r="U50" i="4"/>
  <c r="Q50" i="4"/>
  <c r="M50" i="4"/>
  <c r="E50" i="4"/>
  <c r="D50" i="4"/>
  <c r="U49" i="4"/>
  <c r="Q49" i="4"/>
  <c r="M49" i="4"/>
  <c r="D49" i="4"/>
  <c r="E49" i="4" s="1"/>
  <c r="U48" i="4"/>
  <c r="Q48" i="4"/>
  <c r="M48" i="4"/>
  <c r="E48" i="4"/>
  <c r="D48" i="4"/>
  <c r="U47" i="4"/>
  <c r="Q47" i="4"/>
  <c r="M47" i="4"/>
  <c r="E47" i="4"/>
  <c r="D47" i="4"/>
  <c r="U46" i="4"/>
  <c r="Q46" i="4"/>
  <c r="M46" i="4"/>
  <c r="E46" i="4"/>
  <c r="D46" i="4"/>
  <c r="U45" i="4"/>
  <c r="Q45" i="4"/>
  <c r="M45" i="4"/>
  <c r="D45" i="4"/>
  <c r="E45" i="4" s="1"/>
  <c r="U44" i="4"/>
  <c r="Q44" i="4"/>
  <c r="M44" i="4"/>
  <c r="E44" i="4"/>
  <c r="AE79" i="4" s="1"/>
  <c r="AB79" i="4" s="1"/>
  <c r="D44" i="4"/>
  <c r="U43" i="4"/>
  <c r="Q43" i="4"/>
  <c r="M43" i="4"/>
  <c r="E43" i="4"/>
  <c r="D43" i="4"/>
  <c r="U42" i="4"/>
  <c r="Q42" i="4"/>
  <c r="M42" i="4"/>
  <c r="E42" i="4"/>
  <c r="D42" i="4"/>
  <c r="U41" i="4"/>
  <c r="Q41" i="4"/>
  <c r="M41" i="4"/>
  <c r="D41" i="4"/>
  <c r="E41" i="4" s="1"/>
  <c r="U40" i="4"/>
  <c r="Q40" i="4"/>
  <c r="M40" i="4"/>
  <c r="E40" i="4"/>
  <c r="D40" i="4"/>
  <c r="U39" i="4"/>
  <c r="Q39" i="4"/>
  <c r="M39" i="4"/>
  <c r="E39" i="4"/>
  <c r="D39" i="4"/>
  <c r="U38" i="4"/>
  <c r="Q38" i="4"/>
  <c r="M38" i="4"/>
  <c r="E38" i="4"/>
  <c r="D38" i="4"/>
  <c r="U37" i="4"/>
  <c r="Q37" i="4"/>
  <c r="M37" i="4"/>
  <c r="D37" i="4"/>
  <c r="E37" i="4" s="1"/>
  <c r="U36" i="4"/>
  <c r="Q36" i="4"/>
  <c r="M36" i="4"/>
  <c r="E36" i="4"/>
  <c r="AE63" i="4" s="1"/>
  <c r="AB63" i="4" s="1"/>
  <c r="D36" i="4"/>
  <c r="U35" i="4"/>
  <c r="Q35" i="4"/>
  <c r="M35" i="4"/>
  <c r="E35" i="4"/>
  <c r="D35" i="4"/>
  <c r="U34" i="4"/>
  <c r="Q34" i="4"/>
  <c r="M34" i="4"/>
  <c r="E34" i="4"/>
  <c r="D34" i="4"/>
  <c r="U33" i="4"/>
  <c r="Q33" i="4"/>
  <c r="M33" i="4"/>
  <c r="D33" i="4"/>
  <c r="E33" i="4" s="1"/>
  <c r="U32" i="4"/>
  <c r="Q32" i="4"/>
  <c r="M32" i="4"/>
  <c r="E32" i="4"/>
  <c r="D32" i="4"/>
  <c r="U31" i="4"/>
  <c r="Q31" i="4"/>
  <c r="M31" i="4"/>
  <c r="E31" i="4"/>
  <c r="D31" i="4"/>
  <c r="U30" i="4"/>
  <c r="Q30" i="4"/>
  <c r="M30" i="4"/>
  <c r="E30" i="4"/>
  <c r="D30" i="4"/>
  <c r="U29" i="4"/>
  <c r="Q29" i="4"/>
  <c r="M29" i="4"/>
  <c r="D29" i="4"/>
  <c r="E29" i="4" s="1"/>
  <c r="U28" i="4"/>
  <c r="Q28" i="4"/>
  <c r="M28" i="4"/>
  <c r="E28" i="4"/>
  <c r="D28" i="4"/>
  <c r="U27" i="4"/>
  <c r="Q27" i="4"/>
  <c r="M27" i="4"/>
  <c r="E27" i="4"/>
  <c r="D27" i="4"/>
  <c r="U26" i="4"/>
  <c r="Q26" i="4"/>
  <c r="M26" i="4"/>
  <c r="D26" i="4"/>
  <c r="E26" i="4" s="1"/>
  <c r="U25" i="4"/>
  <c r="Q25" i="4"/>
  <c r="M25" i="4"/>
  <c r="D25" i="4"/>
  <c r="E25" i="4" s="1"/>
  <c r="U24" i="4"/>
  <c r="Q24" i="4"/>
  <c r="M24" i="4"/>
  <c r="E24" i="4"/>
  <c r="D24" i="4"/>
  <c r="U23" i="4"/>
  <c r="Q23" i="4"/>
  <c r="M23" i="4"/>
  <c r="E23" i="4"/>
  <c r="D23" i="4"/>
  <c r="U22" i="4"/>
  <c r="Q22" i="4"/>
  <c r="M22" i="4"/>
  <c r="E22" i="4"/>
  <c r="D22" i="4"/>
  <c r="U21" i="4"/>
  <c r="Q21" i="4"/>
  <c r="M21" i="4"/>
  <c r="E21" i="4"/>
  <c r="D21" i="4"/>
  <c r="U20" i="4"/>
  <c r="Q20" i="4"/>
  <c r="M20" i="4"/>
  <c r="D20" i="4"/>
  <c r="E20" i="4" s="1"/>
  <c r="U19" i="4"/>
  <c r="Q19" i="4"/>
  <c r="M19" i="4"/>
  <c r="D19" i="4"/>
  <c r="E19" i="4" s="1"/>
  <c r="A19" i="4"/>
  <c r="U18" i="4"/>
  <c r="Q18" i="4"/>
  <c r="M18" i="4"/>
  <c r="D18" i="4"/>
  <c r="E18" i="4" s="1"/>
  <c r="U17" i="4"/>
  <c r="Q17" i="4"/>
  <c r="M17" i="4"/>
  <c r="D17" i="4"/>
  <c r="E17" i="4" s="1"/>
  <c r="A17" i="4"/>
  <c r="U16" i="4"/>
  <c r="Q16" i="4"/>
  <c r="M16" i="4"/>
  <c r="E16" i="4"/>
  <c r="AE22" i="4" s="1"/>
  <c r="AB22" i="4" s="1"/>
  <c r="D16" i="4"/>
  <c r="A16" i="4"/>
  <c r="U15" i="4"/>
  <c r="Q15" i="4"/>
  <c r="M15" i="4"/>
  <c r="D15" i="4"/>
  <c r="E15" i="4" s="1"/>
  <c r="A15" i="4"/>
  <c r="U14" i="4"/>
  <c r="Q14" i="4"/>
  <c r="M14" i="4"/>
  <c r="D14" i="4"/>
  <c r="E14" i="4" s="1"/>
  <c r="A14" i="4"/>
  <c r="U13" i="4"/>
  <c r="Q13" i="4"/>
  <c r="M13" i="4"/>
  <c r="E13" i="4"/>
  <c r="AE17" i="4" s="1"/>
  <c r="AB17" i="4" s="1"/>
  <c r="D13" i="4"/>
  <c r="A13" i="4"/>
  <c r="U12" i="4"/>
  <c r="Q12" i="4"/>
  <c r="M12" i="4"/>
  <c r="E12" i="4"/>
  <c r="AE15" i="4" s="1"/>
  <c r="AB15" i="4" s="1"/>
  <c r="D12" i="4"/>
  <c r="A12" i="4"/>
  <c r="U11" i="4"/>
  <c r="Q11" i="4"/>
  <c r="M11" i="4"/>
  <c r="D11" i="4"/>
  <c r="E11" i="4" s="1"/>
  <c r="A11" i="4"/>
  <c r="U10" i="4"/>
  <c r="Q10" i="4"/>
  <c r="M10" i="4"/>
  <c r="E10" i="4"/>
  <c r="AE11" i="4" s="1"/>
  <c r="AB11" i="4" s="1"/>
  <c r="D10" i="4"/>
  <c r="A10" i="4"/>
  <c r="U9" i="4"/>
  <c r="V9" i="4" s="1"/>
  <c r="V10" i="4" s="1"/>
  <c r="V11" i="4" s="1"/>
  <c r="Q9" i="4"/>
  <c r="R9" i="4" s="1"/>
  <c r="R10" i="4" s="1"/>
  <c r="R11" i="4" s="1"/>
  <c r="M9" i="4"/>
  <c r="N9" i="4" s="1"/>
  <c r="N10" i="4" s="1"/>
  <c r="N11" i="4" s="1"/>
  <c r="E9" i="4"/>
  <c r="AE9" i="4" s="1"/>
  <c r="AB9" i="4" s="1"/>
  <c r="D9" i="4"/>
  <c r="A9" i="4"/>
  <c r="B8" i="4"/>
  <c r="A8" i="4"/>
  <c r="C4" i="4"/>
  <c r="B4" i="4"/>
  <c r="D117" i="7649"/>
  <c r="E117" i="7649" s="1"/>
  <c r="D116" i="7649"/>
  <c r="E116" i="7649" s="1"/>
  <c r="E115" i="7649"/>
  <c r="D115" i="7649"/>
  <c r="D114" i="7649"/>
  <c r="E114" i="7649" s="1"/>
  <c r="D113" i="7649"/>
  <c r="E113" i="7649" s="1"/>
  <c r="D112" i="7649"/>
  <c r="E112" i="7649" s="1"/>
  <c r="E111" i="7649"/>
  <c r="D111" i="7649"/>
  <c r="D110" i="7649"/>
  <c r="E110" i="7649" s="1"/>
  <c r="D109" i="7649"/>
  <c r="E109" i="7649" s="1"/>
  <c r="D108" i="7649"/>
  <c r="E108" i="7649" s="1"/>
  <c r="E107" i="7649"/>
  <c r="D107" i="7649"/>
  <c r="W34" i="7649"/>
  <c r="S34" i="7649"/>
  <c r="H34" i="7649"/>
  <c r="D34" i="7649"/>
  <c r="E34" i="7649" s="1"/>
  <c r="W33" i="7649"/>
  <c r="S33" i="7649"/>
  <c r="H33" i="7649"/>
  <c r="M33" i="7649" s="1"/>
  <c r="D33" i="7649"/>
  <c r="E33" i="7649" s="1"/>
  <c r="W32" i="7649"/>
  <c r="S32" i="7649"/>
  <c r="T32" i="7649" s="1"/>
  <c r="H32" i="7649"/>
  <c r="M32" i="7649" s="1"/>
  <c r="D32" i="7649"/>
  <c r="E32" i="7649" s="1"/>
  <c r="F32" i="7649" s="1"/>
  <c r="W31" i="7649"/>
  <c r="S31" i="7649"/>
  <c r="T31" i="7649" s="1"/>
  <c r="M31" i="7649"/>
  <c r="J31" i="7649"/>
  <c r="I31" i="7649" s="1"/>
  <c r="H31" i="7649"/>
  <c r="D31" i="7649"/>
  <c r="E31" i="7649" s="1"/>
  <c r="F31" i="7649" s="1"/>
  <c r="W30" i="7649"/>
  <c r="S30" i="7649"/>
  <c r="H30" i="7649"/>
  <c r="E30" i="7649"/>
  <c r="D30" i="7649"/>
  <c r="W29" i="7649"/>
  <c r="S29" i="7649"/>
  <c r="T29" i="7649" s="1"/>
  <c r="H29" i="7649"/>
  <c r="M29" i="7649" s="1"/>
  <c r="D29" i="7649"/>
  <c r="E29" i="7649" s="1"/>
  <c r="W28" i="7649"/>
  <c r="S28" i="7649"/>
  <c r="T28" i="7649" s="1"/>
  <c r="V28" i="7649" s="1"/>
  <c r="J28" i="7649"/>
  <c r="I28" i="7649" s="1"/>
  <c r="H28" i="7649"/>
  <c r="M28" i="7649" s="1"/>
  <c r="D28" i="7649"/>
  <c r="E28" i="7649" s="1"/>
  <c r="F28" i="7649" s="1"/>
  <c r="W27" i="7649"/>
  <c r="S27" i="7649"/>
  <c r="H27" i="7649"/>
  <c r="E27" i="7649"/>
  <c r="D27" i="7649"/>
  <c r="W26" i="7649"/>
  <c r="S26" i="7649"/>
  <c r="T26" i="7649" s="1"/>
  <c r="H26" i="7649"/>
  <c r="M26" i="7649" s="1"/>
  <c r="D26" i="7649"/>
  <c r="E26" i="7649" s="1"/>
  <c r="W25" i="7649"/>
  <c r="S25" i="7649"/>
  <c r="H25" i="7649"/>
  <c r="E25" i="7649"/>
  <c r="D25" i="7649"/>
  <c r="W24" i="7649"/>
  <c r="S24" i="7649"/>
  <c r="T24" i="7649" s="1"/>
  <c r="H24" i="7649"/>
  <c r="M24" i="7649" s="1"/>
  <c r="D24" i="7649"/>
  <c r="E24" i="7649" s="1"/>
  <c r="W23" i="7649"/>
  <c r="S23" i="7649"/>
  <c r="H23" i="7649"/>
  <c r="E23" i="7649"/>
  <c r="D23" i="7649"/>
  <c r="W22" i="7649"/>
  <c r="S22" i="7649"/>
  <c r="T22" i="7649" s="1"/>
  <c r="H22" i="7649"/>
  <c r="M22" i="7649" s="1"/>
  <c r="D22" i="7649"/>
  <c r="E22" i="7649" s="1"/>
  <c r="W21" i="7649"/>
  <c r="S21" i="7649"/>
  <c r="H21" i="7649"/>
  <c r="E21" i="7649"/>
  <c r="D21" i="7649"/>
  <c r="W20" i="7649"/>
  <c r="S20" i="7649"/>
  <c r="T20" i="7649" s="1"/>
  <c r="H20" i="7649"/>
  <c r="M20" i="7649" s="1"/>
  <c r="D20" i="7649"/>
  <c r="E20" i="7649" s="1"/>
  <c r="W19" i="7649"/>
  <c r="S19" i="7649"/>
  <c r="H19" i="7649"/>
  <c r="E19" i="7649"/>
  <c r="D19" i="7649"/>
  <c r="W18" i="7649"/>
  <c r="S18" i="7649"/>
  <c r="T18" i="7649" s="1"/>
  <c r="H18" i="7649"/>
  <c r="M18" i="7649" s="1"/>
  <c r="D18" i="7649"/>
  <c r="E18" i="7649" s="1"/>
  <c r="W17" i="7649"/>
  <c r="S17" i="7649"/>
  <c r="H17" i="7649"/>
  <c r="E17" i="7649"/>
  <c r="D17" i="7649"/>
  <c r="W16" i="7649"/>
  <c r="S16" i="7649"/>
  <c r="T16" i="7649" s="1"/>
  <c r="H16" i="7649"/>
  <c r="M16" i="7649" s="1"/>
  <c r="D16" i="7649"/>
  <c r="E16" i="7649" s="1"/>
  <c r="W15" i="7649"/>
  <c r="S15" i="7649"/>
  <c r="H15" i="7649"/>
  <c r="E15" i="7649"/>
  <c r="D15" i="7649"/>
  <c r="W14" i="7649"/>
  <c r="S14" i="7649"/>
  <c r="T14" i="7649" s="1"/>
  <c r="J14" i="7649"/>
  <c r="I14" i="7649"/>
  <c r="H14" i="7649"/>
  <c r="M14" i="7649" s="1"/>
  <c r="E14" i="7649"/>
  <c r="D14" i="7649"/>
  <c r="W13" i="7649"/>
  <c r="S13" i="7649"/>
  <c r="H13" i="7649"/>
  <c r="J13" i="7649" s="1"/>
  <c r="I13" i="7649" s="1"/>
  <c r="D13" i="7649"/>
  <c r="E13" i="7649" s="1"/>
  <c r="W12" i="7649"/>
  <c r="T12" i="7649"/>
  <c r="S12" i="7649"/>
  <c r="J12" i="7649"/>
  <c r="I12" i="7649" s="1"/>
  <c r="H12" i="7649"/>
  <c r="M12" i="7649" s="1"/>
  <c r="E12" i="7649"/>
  <c r="D12" i="7649"/>
  <c r="W11" i="7649"/>
  <c r="S11" i="7649"/>
  <c r="M11" i="7649"/>
  <c r="H11" i="7649"/>
  <c r="J11" i="7649" s="1"/>
  <c r="I11" i="7649" s="1"/>
  <c r="E11" i="7649"/>
  <c r="D11" i="7649"/>
  <c r="W10" i="7649"/>
  <c r="S10" i="7649"/>
  <c r="T10" i="7649" s="1"/>
  <c r="H10" i="7649"/>
  <c r="M10" i="7649" s="1"/>
  <c r="D10" i="7649"/>
  <c r="E10" i="7649" s="1"/>
  <c r="W9" i="7649"/>
  <c r="S9" i="7649"/>
  <c r="E9" i="7649"/>
  <c r="D9" i="7649"/>
  <c r="W8" i="7649"/>
  <c r="S8" i="7649"/>
  <c r="E8" i="7649"/>
  <c r="D8" i="7649"/>
  <c r="W7" i="7649"/>
  <c r="S7" i="7649"/>
  <c r="D7" i="7649"/>
  <c r="E7" i="7649" s="1"/>
  <c r="F7" i="7649" s="1"/>
  <c r="W6" i="7649"/>
  <c r="S6" i="7649"/>
  <c r="D6" i="7649"/>
  <c r="E6" i="7649" s="1"/>
  <c r="W5" i="7649"/>
  <c r="S5" i="7649"/>
  <c r="E5" i="7649"/>
  <c r="D5" i="7649"/>
  <c r="W4" i="7649"/>
  <c r="S4" i="7649"/>
  <c r="E4" i="7649"/>
  <c r="D4" i="7649"/>
  <c r="W3" i="7649"/>
  <c r="S3" i="7649"/>
  <c r="H3" i="7649"/>
  <c r="D3" i="7649"/>
  <c r="E3" i="7649" s="1"/>
  <c r="D2" i="7649"/>
  <c r="E2" i="7649" s="1"/>
  <c r="S41" i="7702"/>
  <c r="S40" i="7702"/>
  <c r="S39" i="7702"/>
  <c r="U38" i="7702"/>
  <c r="V38" i="7702" s="1"/>
  <c r="T38" i="7702"/>
  <c r="AL17" i="7702" s="1"/>
  <c r="S38" i="7702"/>
  <c r="S37" i="7702"/>
  <c r="S36" i="7702"/>
  <c r="S35" i="7702"/>
  <c r="S34" i="7702"/>
  <c r="S33" i="7702"/>
  <c r="S32" i="7702"/>
  <c r="S31" i="7702"/>
  <c r="S30" i="7702"/>
  <c r="AL29" i="7702"/>
  <c r="S29" i="7702"/>
  <c r="U28" i="7702"/>
  <c r="AJ29" i="7702" s="1"/>
  <c r="T28" i="7702"/>
  <c r="S28" i="7702"/>
  <c r="S27" i="7702"/>
  <c r="S26" i="7702"/>
  <c r="S25" i="7702"/>
  <c r="S24" i="7702"/>
  <c r="AL23" i="7702"/>
  <c r="AK23" i="7702"/>
  <c r="AJ23" i="7702"/>
  <c r="AI23" i="7702"/>
  <c r="AH23" i="7702"/>
  <c r="S22" i="7702"/>
  <c r="AL21" i="7702"/>
  <c r="AK21" i="7702"/>
  <c r="AJ21" i="7702"/>
  <c r="AI21" i="7702"/>
  <c r="AH21" i="7702"/>
  <c r="U21" i="7702"/>
  <c r="AH29" i="7702" s="1"/>
  <c r="T21" i="7702"/>
  <c r="AH17" i="7702" s="1"/>
  <c r="S21" i="7702"/>
  <c r="S20" i="7702"/>
  <c r="S19" i="7702"/>
  <c r="AR18" i="7702"/>
  <c r="S18" i="7702"/>
  <c r="AR17" i="7702"/>
  <c r="AJ17" i="7702"/>
  <c r="S17" i="7702"/>
  <c r="AR16" i="7702"/>
  <c r="S16" i="7702"/>
  <c r="AR15" i="7702"/>
  <c r="S15" i="7702"/>
  <c r="U14" i="7702"/>
  <c r="AI29" i="7702" s="1"/>
  <c r="T14" i="7702"/>
  <c r="AI17" i="7702" s="1"/>
  <c r="S14" i="7702"/>
  <c r="AR13" i="7702"/>
  <c r="S13" i="7702"/>
  <c r="S12" i="7702"/>
  <c r="AR11" i="7702"/>
  <c r="S11" i="7702"/>
  <c r="AR10" i="7702"/>
  <c r="AL10" i="7702"/>
  <c r="AQ10" i="7702" s="1"/>
  <c r="AK10" i="7702"/>
  <c r="AP10" i="7702" s="1"/>
  <c r="AJ10" i="7702"/>
  <c r="AI10" i="7702"/>
  <c r="AR9" i="7702"/>
  <c r="AL9" i="7702"/>
  <c r="AQ9" i="7702" s="1"/>
  <c r="AK9" i="7702"/>
  <c r="AP9" i="7702" s="1"/>
  <c r="AJ9" i="7702"/>
  <c r="AI9" i="7702"/>
  <c r="AH9" i="7702"/>
  <c r="S9" i="7702"/>
  <c r="AR8" i="7702"/>
  <c r="S8" i="7702"/>
  <c r="S7" i="7702"/>
  <c r="AQ6" i="7702"/>
  <c r="AP6" i="7702"/>
  <c r="S6" i="7702"/>
  <c r="S5" i="7702"/>
  <c r="U4" i="7702"/>
  <c r="T4" i="7702"/>
  <c r="AK17" i="7702" s="1"/>
  <c r="S4" i="7702"/>
  <c r="D172" i="11"/>
  <c r="E172" i="11" s="1"/>
  <c r="D171" i="11"/>
  <c r="E171" i="11" s="1"/>
  <c r="D170" i="11"/>
  <c r="E170" i="11" s="1"/>
  <c r="D169" i="11"/>
  <c r="E169" i="11" s="1"/>
  <c r="D168" i="11"/>
  <c r="E168" i="11" s="1"/>
  <c r="E167" i="11"/>
  <c r="D167" i="11"/>
  <c r="D166" i="11"/>
  <c r="E166" i="11" s="1"/>
  <c r="D165" i="11"/>
  <c r="E165" i="11" s="1"/>
  <c r="D164" i="11"/>
  <c r="E164" i="11" s="1"/>
  <c r="D163" i="11"/>
  <c r="E163" i="11" s="1"/>
  <c r="D162" i="11"/>
  <c r="E162" i="11" s="1"/>
  <c r="D161" i="11"/>
  <c r="E161" i="11" s="1"/>
  <c r="D160" i="11"/>
  <c r="E160" i="11" s="1"/>
  <c r="D159" i="11"/>
  <c r="E159" i="11" s="1"/>
  <c r="D158" i="11"/>
  <c r="E158" i="11" s="1"/>
  <c r="D157" i="11"/>
  <c r="E157" i="11" s="1"/>
  <c r="D156" i="11"/>
  <c r="E156" i="11" s="1"/>
  <c r="D155" i="11"/>
  <c r="E155" i="11" s="1"/>
  <c r="D154" i="11"/>
  <c r="E154" i="11" s="1"/>
  <c r="D153" i="11"/>
  <c r="E153" i="11" s="1"/>
  <c r="D152" i="11"/>
  <c r="E152" i="11" s="1"/>
  <c r="E151" i="11"/>
  <c r="D151" i="11"/>
  <c r="D150" i="11"/>
  <c r="E150" i="11" s="1"/>
  <c r="D149" i="11"/>
  <c r="E149" i="11" s="1"/>
  <c r="D148" i="11"/>
  <c r="E148" i="11" s="1"/>
  <c r="D147" i="11"/>
  <c r="E147" i="11" s="1"/>
  <c r="D146" i="11"/>
  <c r="E146" i="11" s="1"/>
  <c r="D145" i="11"/>
  <c r="E145" i="11" s="1"/>
  <c r="D144" i="11"/>
  <c r="E144" i="11" s="1"/>
  <c r="D143" i="11"/>
  <c r="E143" i="11" s="1"/>
  <c r="D142" i="11"/>
  <c r="E142" i="11" s="1"/>
  <c r="D141" i="11"/>
  <c r="E141" i="11" s="1"/>
  <c r="D140" i="11"/>
  <c r="E140" i="11" s="1"/>
  <c r="D139" i="11"/>
  <c r="E139" i="11" s="1"/>
  <c r="D138" i="11"/>
  <c r="E138" i="11" s="1"/>
  <c r="D137" i="11"/>
  <c r="E137" i="11" s="1"/>
  <c r="D136" i="11"/>
  <c r="E136" i="11" s="1"/>
  <c r="E135" i="11"/>
  <c r="D135" i="11"/>
  <c r="D134" i="11"/>
  <c r="E134" i="11" s="1"/>
  <c r="D133" i="11"/>
  <c r="E133" i="11" s="1"/>
  <c r="D132" i="11"/>
  <c r="E132" i="11" s="1"/>
  <c r="D131" i="11"/>
  <c r="E131" i="11" s="1"/>
  <c r="D130" i="11"/>
  <c r="E130" i="11" s="1"/>
  <c r="D129" i="11"/>
  <c r="E129" i="11" s="1"/>
  <c r="D128" i="11"/>
  <c r="E128" i="11" s="1"/>
  <c r="D127" i="11"/>
  <c r="E127" i="11" s="1"/>
  <c r="D126" i="11"/>
  <c r="E126" i="11" s="1"/>
  <c r="D125" i="11"/>
  <c r="E125" i="11" s="1"/>
  <c r="D124" i="11"/>
  <c r="E124" i="11" s="1"/>
  <c r="D123" i="11"/>
  <c r="E123" i="11" s="1"/>
  <c r="D122" i="11"/>
  <c r="E122" i="11" s="1"/>
  <c r="D121" i="11"/>
  <c r="E121" i="11" s="1"/>
  <c r="D120" i="11"/>
  <c r="E120" i="11" s="1"/>
  <c r="E119" i="11"/>
  <c r="D119" i="11"/>
  <c r="D118" i="11"/>
  <c r="E118" i="11" s="1"/>
  <c r="U117" i="11"/>
  <c r="V117" i="11" s="1"/>
  <c r="D117" i="11"/>
  <c r="E117" i="11" s="1"/>
  <c r="U116" i="11"/>
  <c r="V116" i="11" s="1"/>
  <c r="E116" i="11"/>
  <c r="D116" i="11"/>
  <c r="U115" i="11"/>
  <c r="V115" i="11" s="1"/>
  <c r="D115" i="11"/>
  <c r="E115" i="11" s="1"/>
  <c r="U114" i="11"/>
  <c r="V114" i="11" s="1"/>
  <c r="E114" i="11"/>
  <c r="D114" i="11"/>
  <c r="U113" i="11"/>
  <c r="V113" i="11" s="1"/>
  <c r="D113" i="11"/>
  <c r="E113" i="11" s="1"/>
  <c r="U112" i="11"/>
  <c r="V112" i="11" s="1"/>
  <c r="E112" i="11"/>
  <c r="D112" i="11"/>
  <c r="U111" i="11"/>
  <c r="V111" i="11" s="1"/>
  <c r="D111" i="11"/>
  <c r="E111" i="11" s="1"/>
  <c r="U110" i="11"/>
  <c r="V110" i="11" s="1"/>
  <c r="E110" i="11"/>
  <c r="D110" i="11"/>
  <c r="U109" i="11"/>
  <c r="V109" i="11" s="1"/>
  <c r="D109" i="11"/>
  <c r="E109" i="11" s="1"/>
  <c r="U108" i="11"/>
  <c r="V108" i="11" s="1"/>
  <c r="E108" i="11"/>
  <c r="D108" i="11"/>
  <c r="U107" i="11"/>
  <c r="V107" i="11" s="1"/>
  <c r="D107" i="11"/>
  <c r="E107" i="11" s="1"/>
  <c r="U106" i="11"/>
  <c r="V106" i="11" s="1"/>
  <c r="E106" i="11"/>
  <c r="D106" i="11"/>
  <c r="U105" i="11"/>
  <c r="V105" i="11" s="1"/>
  <c r="D105" i="11"/>
  <c r="E105" i="11" s="1"/>
  <c r="U104" i="11"/>
  <c r="V104" i="11" s="1"/>
  <c r="E104" i="11"/>
  <c r="D104" i="11"/>
  <c r="U103" i="11"/>
  <c r="V103" i="11" s="1"/>
  <c r="D103" i="11"/>
  <c r="E103" i="11" s="1"/>
  <c r="U102" i="11"/>
  <c r="V102" i="11" s="1"/>
  <c r="E102" i="11"/>
  <c r="D102" i="11"/>
  <c r="DX79" i="11"/>
  <c r="DV79" i="11"/>
  <c r="BH79" i="11"/>
  <c r="BN79" i="11" s="1"/>
  <c r="AQ79" i="11"/>
  <c r="AL79" i="11"/>
  <c r="AF79" i="11"/>
  <c r="V79" i="11"/>
  <c r="W79" i="11" s="1"/>
  <c r="U79" i="11"/>
  <c r="O79" i="11"/>
  <c r="K79" i="11"/>
  <c r="J79" i="11"/>
  <c r="E79" i="11"/>
  <c r="D79" i="11"/>
  <c r="DX78" i="11"/>
  <c r="DV78" i="11"/>
  <c r="BH78" i="11"/>
  <c r="BN78" i="11" s="1"/>
  <c r="AQ78" i="11"/>
  <c r="AL78" i="11"/>
  <c r="AF78" i="11"/>
  <c r="V78" i="11"/>
  <c r="W78" i="11" s="1"/>
  <c r="U78" i="11"/>
  <c r="O78" i="11"/>
  <c r="K78" i="11"/>
  <c r="J78" i="11"/>
  <c r="M78" i="11" s="1"/>
  <c r="AU78" i="11" s="1"/>
  <c r="E78" i="11"/>
  <c r="D78" i="11"/>
  <c r="DX77" i="11"/>
  <c r="DV77" i="11"/>
  <c r="BH77" i="11"/>
  <c r="BN77" i="11" s="1"/>
  <c r="AQ77" i="11"/>
  <c r="AL77" i="11"/>
  <c r="AF77" i="11"/>
  <c r="V77" i="11"/>
  <c r="W77" i="11" s="1"/>
  <c r="U77" i="11"/>
  <c r="O77" i="11"/>
  <c r="K77" i="11"/>
  <c r="L77" i="11" s="1"/>
  <c r="J77" i="11"/>
  <c r="E77" i="11"/>
  <c r="D77" i="11"/>
  <c r="DX76" i="11"/>
  <c r="DV76" i="11"/>
  <c r="BH76" i="11"/>
  <c r="BN76" i="11" s="1"/>
  <c r="AQ76" i="11"/>
  <c r="AL76" i="11"/>
  <c r="AF76" i="11"/>
  <c r="V76" i="11"/>
  <c r="W76" i="11" s="1"/>
  <c r="U76" i="11"/>
  <c r="O76" i="11"/>
  <c r="K76" i="11"/>
  <c r="L76" i="11" s="1"/>
  <c r="J76" i="11"/>
  <c r="M76" i="11" s="1"/>
  <c r="AU76" i="11" s="1"/>
  <c r="E76" i="11"/>
  <c r="D76" i="11"/>
  <c r="DX75" i="11"/>
  <c r="DV75" i="11"/>
  <c r="BH75" i="11"/>
  <c r="BN75" i="11" s="1"/>
  <c r="AQ75" i="11"/>
  <c r="AL75" i="11"/>
  <c r="AF75" i="11"/>
  <c r="V75" i="11"/>
  <c r="W75" i="11" s="1"/>
  <c r="U75" i="11"/>
  <c r="O75" i="11"/>
  <c r="K75" i="11"/>
  <c r="L75" i="11" s="1"/>
  <c r="J75" i="11"/>
  <c r="E75" i="11"/>
  <c r="AE75" i="11" s="1"/>
  <c r="AH75" i="11" s="1"/>
  <c r="AI75" i="11" s="1"/>
  <c r="D75" i="11"/>
  <c r="DX74" i="11"/>
  <c r="DV74" i="11"/>
  <c r="BH74" i="11"/>
  <c r="BN74" i="11" s="1"/>
  <c r="AQ74" i="11"/>
  <c r="AL74" i="11"/>
  <c r="AF74" i="11"/>
  <c r="V74" i="11"/>
  <c r="W74" i="11" s="1"/>
  <c r="U74" i="11"/>
  <c r="O74" i="11"/>
  <c r="K74" i="11"/>
  <c r="L74" i="11" s="1"/>
  <c r="J74" i="11"/>
  <c r="M74" i="11" s="1"/>
  <c r="AU74" i="11" s="1"/>
  <c r="E74" i="11"/>
  <c r="D74" i="11"/>
  <c r="DX73" i="11"/>
  <c r="DV73" i="11"/>
  <c r="BH73" i="11"/>
  <c r="BN73" i="11" s="1"/>
  <c r="AQ73" i="11"/>
  <c r="AL73" i="11"/>
  <c r="AF73" i="11"/>
  <c r="U73" i="11"/>
  <c r="O73" i="11"/>
  <c r="K73" i="11"/>
  <c r="J73" i="11"/>
  <c r="M73" i="11" s="1"/>
  <c r="AU73" i="11" s="1"/>
  <c r="D73" i="11"/>
  <c r="DX72" i="11"/>
  <c r="DV72" i="11"/>
  <c r="BH72" i="11"/>
  <c r="BN72" i="11" s="1"/>
  <c r="AQ72" i="11"/>
  <c r="AL72" i="11"/>
  <c r="AF72" i="11"/>
  <c r="U72" i="11"/>
  <c r="O72" i="11"/>
  <c r="K72" i="11"/>
  <c r="J72" i="11"/>
  <c r="D72" i="11"/>
  <c r="E72" i="11" s="1"/>
  <c r="AE72" i="11" s="1"/>
  <c r="AN72" i="11" s="1"/>
  <c r="AO72" i="11" s="1"/>
  <c r="DX71" i="11"/>
  <c r="DV71" i="11"/>
  <c r="DI71" i="11"/>
  <c r="BH71" i="11"/>
  <c r="BN71" i="11" s="1"/>
  <c r="AQ71" i="11"/>
  <c r="AL71" i="11"/>
  <c r="AF71" i="11"/>
  <c r="U71" i="11"/>
  <c r="O71" i="11"/>
  <c r="K71" i="11"/>
  <c r="L71" i="11" s="1"/>
  <c r="J71" i="11"/>
  <c r="E71" i="11"/>
  <c r="D71" i="11"/>
  <c r="DV70" i="11"/>
  <c r="DI70" i="11"/>
  <c r="BN70" i="11"/>
  <c r="BH70" i="11"/>
  <c r="BJ70" i="11" s="1"/>
  <c r="BL70" i="11" s="1"/>
  <c r="AQ70" i="11"/>
  <c r="AL70" i="11"/>
  <c r="AF70" i="11"/>
  <c r="U70" i="11"/>
  <c r="O70" i="11"/>
  <c r="K70" i="11"/>
  <c r="J70" i="11"/>
  <c r="DQ70" i="11" s="1"/>
  <c r="D70" i="11"/>
  <c r="DV69" i="11"/>
  <c r="DI69" i="11"/>
  <c r="BH69" i="11"/>
  <c r="BN69" i="11" s="1"/>
  <c r="AQ69" i="11"/>
  <c r="AL69" i="11"/>
  <c r="AF69" i="11"/>
  <c r="U69" i="11"/>
  <c r="O69" i="11"/>
  <c r="K69" i="11"/>
  <c r="L69" i="11" s="1"/>
  <c r="J69" i="11"/>
  <c r="DM69" i="11" s="1"/>
  <c r="D69" i="11"/>
  <c r="DV68" i="11"/>
  <c r="DM68" i="11"/>
  <c r="DI68" i="11"/>
  <c r="CY68" i="11"/>
  <c r="CZ68" i="11" s="1"/>
  <c r="CX68" i="11"/>
  <c r="AL7" i="7702" s="1"/>
  <c r="CN68" i="11"/>
  <c r="CM68" i="11"/>
  <c r="CL68" i="11"/>
  <c r="AL6" i="7702" s="1"/>
  <c r="BH68" i="11"/>
  <c r="AQ68" i="11"/>
  <c r="AL68" i="11"/>
  <c r="AF68" i="11"/>
  <c r="U68" i="11"/>
  <c r="O68" i="11"/>
  <c r="K68" i="11"/>
  <c r="J68" i="11"/>
  <c r="D68" i="11"/>
  <c r="DV67" i="11"/>
  <c r="DI67" i="11"/>
  <c r="BH67" i="11"/>
  <c r="AQ67" i="11"/>
  <c r="AL67" i="11"/>
  <c r="AF67" i="11"/>
  <c r="U67" i="11"/>
  <c r="O67" i="11"/>
  <c r="K67" i="11"/>
  <c r="L67" i="11" s="1"/>
  <c r="J67" i="11"/>
  <c r="DQ67" i="11" s="1"/>
  <c r="D67" i="11"/>
  <c r="DV66" i="11"/>
  <c r="DI66" i="11"/>
  <c r="BH66" i="11"/>
  <c r="BJ66" i="11" s="1"/>
  <c r="BL66" i="11" s="1"/>
  <c r="AQ66" i="11"/>
  <c r="AL66" i="11"/>
  <c r="AF66" i="11"/>
  <c r="U66" i="11"/>
  <c r="O66" i="11"/>
  <c r="K66" i="11"/>
  <c r="J66" i="11"/>
  <c r="DQ66" i="11" s="1"/>
  <c r="D66" i="11"/>
  <c r="DV65" i="11"/>
  <c r="DI65" i="11"/>
  <c r="BH65" i="11"/>
  <c r="BJ65" i="11" s="1"/>
  <c r="BL65" i="11" s="1"/>
  <c r="AQ65" i="11"/>
  <c r="AL65" i="11"/>
  <c r="AF65" i="11"/>
  <c r="U65" i="11"/>
  <c r="O65" i="11"/>
  <c r="K65" i="11"/>
  <c r="J65" i="11"/>
  <c r="DQ65" i="11" s="1"/>
  <c r="D65" i="11"/>
  <c r="DV64" i="11"/>
  <c r="DI64" i="11"/>
  <c r="BN64" i="11"/>
  <c r="BH64" i="11"/>
  <c r="BJ64" i="11" s="1"/>
  <c r="BL64" i="11" s="1"/>
  <c r="AQ64" i="11"/>
  <c r="AL64" i="11"/>
  <c r="AF64" i="11"/>
  <c r="U64" i="11"/>
  <c r="O64" i="11"/>
  <c r="K64" i="11"/>
  <c r="J64" i="11"/>
  <c r="DQ64" i="11" s="1"/>
  <c r="D64" i="11"/>
  <c r="DV63" i="11"/>
  <c r="DQ63" i="11"/>
  <c r="DI63" i="11"/>
  <c r="BH63" i="11"/>
  <c r="AQ63" i="11"/>
  <c r="AL63" i="11"/>
  <c r="AF63" i="11"/>
  <c r="U63" i="11"/>
  <c r="O63" i="11"/>
  <c r="K63" i="11"/>
  <c r="J63" i="11"/>
  <c r="E63" i="11"/>
  <c r="D63" i="11"/>
  <c r="DV62" i="11"/>
  <c r="DI62" i="11"/>
  <c r="BH62" i="11"/>
  <c r="AQ62" i="11"/>
  <c r="AL62" i="11"/>
  <c r="AF62" i="11"/>
  <c r="U62" i="11"/>
  <c r="O62" i="11"/>
  <c r="K62" i="11"/>
  <c r="J62" i="11"/>
  <c r="V62" i="11" s="1"/>
  <c r="W62" i="11" s="1"/>
  <c r="D62" i="11"/>
  <c r="DV61" i="11"/>
  <c r="DI61" i="11"/>
  <c r="BH61" i="11"/>
  <c r="AU61" i="11"/>
  <c r="AQ61" i="11"/>
  <c r="AL61" i="11"/>
  <c r="AF61" i="11"/>
  <c r="U61" i="11"/>
  <c r="O61" i="11"/>
  <c r="M61" i="11"/>
  <c r="L61" i="11"/>
  <c r="K61" i="11"/>
  <c r="J61" i="11"/>
  <c r="DQ61" i="11" s="1"/>
  <c r="D61" i="11"/>
  <c r="DV60" i="11"/>
  <c r="DI60" i="11"/>
  <c r="BZ60" i="11"/>
  <c r="BH60" i="11"/>
  <c r="AQ60" i="11"/>
  <c r="AL60" i="11"/>
  <c r="AF60" i="11"/>
  <c r="U60" i="11"/>
  <c r="O60" i="11"/>
  <c r="K60" i="11"/>
  <c r="J60" i="11"/>
  <c r="E60" i="11"/>
  <c r="D60" i="11"/>
  <c r="DV59" i="11"/>
  <c r="DM59" i="11"/>
  <c r="DI59" i="11"/>
  <c r="BZ59" i="11"/>
  <c r="BH59" i="11"/>
  <c r="BN59" i="11" s="1"/>
  <c r="AQ59" i="11"/>
  <c r="AL59" i="11"/>
  <c r="AF59" i="11"/>
  <c r="U59" i="11"/>
  <c r="O59" i="11"/>
  <c r="K59" i="11"/>
  <c r="J59" i="11"/>
  <c r="DQ59" i="11" s="1"/>
  <c r="D59" i="11"/>
  <c r="DV58" i="11"/>
  <c r="DM58" i="11"/>
  <c r="DI58" i="11"/>
  <c r="CY58" i="11"/>
  <c r="AJ30" i="7702" s="1"/>
  <c r="CX58" i="11"/>
  <c r="AJ7" i="7702" s="1"/>
  <c r="CM58" i="11"/>
  <c r="CL58" i="11"/>
  <c r="AJ6" i="7702" s="1"/>
  <c r="BZ58" i="11"/>
  <c r="BH58" i="11"/>
  <c r="AQ58" i="11"/>
  <c r="AL58" i="11"/>
  <c r="AF58" i="11"/>
  <c r="V58" i="11"/>
  <c r="U58" i="11"/>
  <c r="O58" i="11"/>
  <c r="M58" i="11"/>
  <c r="AU58" i="11" s="1"/>
  <c r="K58" i="11"/>
  <c r="L58" i="11" s="1"/>
  <c r="J58" i="11"/>
  <c r="DQ58" i="11" s="1"/>
  <c r="D58" i="11"/>
  <c r="DV57" i="11"/>
  <c r="DI57" i="11"/>
  <c r="BZ57" i="11"/>
  <c r="BH57" i="11"/>
  <c r="AQ57" i="11"/>
  <c r="AL57" i="11"/>
  <c r="AF57" i="11"/>
  <c r="U57" i="11"/>
  <c r="O57" i="11"/>
  <c r="K57" i="11"/>
  <c r="J57" i="11"/>
  <c r="M57" i="11" s="1"/>
  <c r="AU57" i="11" s="1"/>
  <c r="E57" i="11"/>
  <c r="D57" i="11"/>
  <c r="DV56" i="11"/>
  <c r="DI56" i="11"/>
  <c r="BR56" i="11"/>
  <c r="AQ56" i="11"/>
  <c r="AL56" i="11"/>
  <c r="AF56" i="11"/>
  <c r="U56" i="11"/>
  <c r="O56" i="11"/>
  <c r="M56" i="11"/>
  <c r="AU56" i="11" s="1"/>
  <c r="K56" i="11"/>
  <c r="L56" i="11" s="1"/>
  <c r="J56" i="11"/>
  <c r="V56" i="11" s="1"/>
  <c r="W56" i="11" s="1"/>
  <c r="D56" i="11"/>
  <c r="DV55" i="11"/>
  <c r="DI55" i="11"/>
  <c r="BZ55" i="11"/>
  <c r="BH55" i="11"/>
  <c r="BJ55" i="11" s="1"/>
  <c r="BL55" i="11" s="1"/>
  <c r="AQ55" i="11"/>
  <c r="AL55" i="11"/>
  <c r="AF55" i="11"/>
  <c r="U55" i="11"/>
  <c r="O55" i="11"/>
  <c r="K55" i="11"/>
  <c r="J55" i="11"/>
  <c r="D55" i="11"/>
  <c r="DV54" i="11"/>
  <c r="CW54" i="11"/>
  <c r="DI54" i="11" s="1"/>
  <c r="CK54" i="11"/>
  <c r="BR54" i="11"/>
  <c r="AQ54" i="11"/>
  <c r="AL54" i="11"/>
  <c r="AF54" i="11"/>
  <c r="U54" i="11"/>
  <c r="O54" i="11"/>
  <c r="K54" i="11"/>
  <c r="L54" i="11" s="1"/>
  <c r="J54" i="11"/>
  <c r="V54" i="11" s="1"/>
  <c r="X54" i="11" s="1"/>
  <c r="D54" i="11"/>
  <c r="DV53" i="11"/>
  <c r="DI53" i="11"/>
  <c r="BZ53" i="11"/>
  <c r="BJ53" i="11"/>
  <c r="BL53" i="11" s="1"/>
  <c r="BH53" i="11"/>
  <c r="BN53" i="11" s="1"/>
  <c r="AQ53" i="11"/>
  <c r="AL53" i="11"/>
  <c r="AF53" i="11"/>
  <c r="U53" i="11"/>
  <c r="O53" i="11"/>
  <c r="K53" i="11"/>
  <c r="J53" i="11"/>
  <c r="M53" i="11" s="1"/>
  <c r="AU53" i="11" s="1"/>
  <c r="D53" i="11"/>
  <c r="E53" i="11" s="1"/>
  <c r="DV52" i="11"/>
  <c r="DI52" i="11"/>
  <c r="BZ52" i="11"/>
  <c r="BH52" i="11"/>
  <c r="AQ52" i="11"/>
  <c r="AL52" i="11"/>
  <c r="AF52" i="11"/>
  <c r="U52" i="11"/>
  <c r="O52" i="11"/>
  <c r="K52" i="11"/>
  <c r="J52" i="11"/>
  <c r="V52" i="11" s="1"/>
  <c r="X52" i="11" s="1"/>
  <c r="D52" i="11"/>
  <c r="DV51" i="11"/>
  <c r="DI51" i="11"/>
  <c r="BZ51" i="11"/>
  <c r="BN51" i="11"/>
  <c r="BJ51" i="11"/>
  <c r="BL51" i="11" s="1"/>
  <c r="BH51" i="11"/>
  <c r="AQ51" i="11"/>
  <c r="AL51" i="11"/>
  <c r="AF51" i="11"/>
  <c r="U51" i="11"/>
  <c r="O51" i="11"/>
  <c r="M51" i="11"/>
  <c r="AU51" i="11" s="1"/>
  <c r="K51" i="11"/>
  <c r="L51" i="11" s="1"/>
  <c r="J51" i="11"/>
  <c r="D51" i="11"/>
  <c r="E51" i="11" s="1"/>
  <c r="DV50" i="11"/>
  <c r="DI50" i="11"/>
  <c r="BZ50" i="11"/>
  <c r="BH50" i="11"/>
  <c r="AQ50" i="11"/>
  <c r="AL50" i="11"/>
  <c r="AF50" i="11"/>
  <c r="U50" i="11"/>
  <c r="O50" i="11"/>
  <c r="K50" i="11"/>
  <c r="J50" i="11"/>
  <c r="V50" i="11" s="1"/>
  <c r="X50" i="11" s="1"/>
  <c r="D50" i="11"/>
  <c r="DV49" i="11"/>
  <c r="DI49" i="11"/>
  <c r="BZ49" i="11"/>
  <c r="BN49" i="11"/>
  <c r="BJ49" i="11"/>
  <c r="BL49" i="11" s="1"/>
  <c r="BH49" i="11"/>
  <c r="AQ49" i="11"/>
  <c r="AL49" i="11"/>
  <c r="AF49" i="11"/>
  <c r="U49" i="11"/>
  <c r="O49" i="11"/>
  <c r="M49" i="11"/>
  <c r="K49" i="11"/>
  <c r="J49" i="11"/>
  <c r="D49" i="11"/>
  <c r="E49" i="11" s="1"/>
  <c r="DV48" i="11"/>
  <c r="DI48" i="11"/>
  <c r="BZ48" i="11"/>
  <c r="BH48" i="11"/>
  <c r="AQ48" i="11"/>
  <c r="AL48" i="11"/>
  <c r="AF48" i="11"/>
  <c r="U48" i="11"/>
  <c r="O48" i="11"/>
  <c r="K48" i="11"/>
  <c r="J48" i="11"/>
  <c r="V48" i="11" s="1"/>
  <c r="X48" i="11" s="1"/>
  <c r="D48" i="11"/>
  <c r="DV47" i="11"/>
  <c r="DI47" i="11"/>
  <c r="BZ47" i="11"/>
  <c r="BH47" i="11"/>
  <c r="BN47" i="11" s="1"/>
  <c r="AQ47" i="11"/>
  <c r="AL47" i="11"/>
  <c r="AF47" i="11"/>
  <c r="U47" i="11"/>
  <c r="O47" i="11"/>
  <c r="M47" i="11"/>
  <c r="K47" i="11"/>
  <c r="L47" i="11" s="1"/>
  <c r="J47" i="11"/>
  <c r="D47" i="11"/>
  <c r="E47" i="11" s="1"/>
  <c r="DV46" i="11"/>
  <c r="DI46" i="11"/>
  <c r="BZ46" i="11"/>
  <c r="BH46" i="11"/>
  <c r="AQ46" i="11"/>
  <c r="AL46" i="11"/>
  <c r="AF46" i="11"/>
  <c r="U46" i="11"/>
  <c r="O46" i="11"/>
  <c r="K46" i="11"/>
  <c r="J46" i="11"/>
  <c r="DM46" i="11" s="1"/>
  <c r="E46" i="11"/>
  <c r="D46" i="11"/>
  <c r="DV45" i="11"/>
  <c r="DM45" i="11"/>
  <c r="DI45" i="11"/>
  <c r="BZ45" i="11"/>
  <c r="BH45" i="11"/>
  <c r="AQ45" i="11"/>
  <c r="AL45" i="11"/>
  <c r="AF45" i="11"/>
  <c r="V45" i="11"/>
  <c r="W45" i="11" s="1"/>
  <c r="U45" i="11"/>
  <c r="O45" i="11"/>
  <c r="K45" i="11"/>
  <c r="L45" i="11" s="1"/>
  <c r="J45" i="11"/>
  <c r="DQ45" i="11" s="1"/>
  <c r="D45" i="11"/>
  <c r="DV44" i="11"/>
  <c r="DI44" i="11"/>
  <c r="BZ44" i="11"/>
  <c r="BH44" i="11"/>
  <c r="BN44" i="11" s="1"/>
  <c r="AQ44" i="11"/>
  <c r="AL44" i="11"/>
  <c r="AF44" i="11"/>
  <c r="U44" i="11"/>
  <c r="O44" i="11"/>
  <c r="K44" i="11"/>
  <c r="J44" i="11"/>
  <c r="DQ44" i="11" s="1"/>
  <c r="D44" i="11"/>
  <c r="E44" i="11" s="1"/>
  <c r="DV43" i="11"/>
  <c r="DI43" i="11"/>
  <c r="BZ43" i="11"/>
  <c r="BH43" i="11"/>
  <c r="AQ43" i="11"/>
  <c r="AL43" i="11"/>
  <c r="AF43" i="11"/>
  <c r="U43" i="11"/>
  <c r="O43" i="11"/>
  <c r="K43" i="11"/>
  <c r="J43" i="11"/>
  <c r="DQ43" i="11" s="1"/>
  <c r="E43" i="11"/>
  <c r="D43" i="11"/>
  <c r="CW42" i="11"/>
  <c r="CX42" i="11" s="1"/>
  <c r="AH7" i="7702" s="1"/>
  <c r="CL42" i="11"/>
  <c r="AH6" i="7702" s="1"/>
  <c r="CK42" i="11"/>
  <c r="BZ42" i="11"/>
  <c r="BN42" i="11"/>
  <c r="BJ42" i="11"/>
  <c r="BL42" i="11" s="1"/>
  <c r="BH42" i="11"/>
  <c r="AQ42" i="11"/>
  <c r="AL42" i="11"/>
  <c r="AF42" i="11"/>
  <c r="U42" i="11"/>
  <c r="O42" i="11"/>
  <c r="K42" i="11"/>
  <c r="J42" i="11"/>
  <c r="D42" i="11"/>
  <c r="E42" i="11" s="1"/>
  <c r="DV41" i="11"/>
  <c r="DI41" i="11"/>
  <c r="BZ41" i="11"/>
  <c r="BH41" i="11"/>
  <c r="AQ41" i="11"/>
  <c r="AL41" i="11"/>
  <c r="AF41" i="11"/>
  <c r="U41" i="11"/>
  <c r="O41" i="11"/>
  <c r="K41" i="11"/>
  <c r="J41" i="11"/>
  <c r="V41" i="11" s="1"/>
  <c r="W41" i="11" s="1"/>
  <c r="D41" i="11"/>
  <c r="DV40" i="11"/>
  <c r="DI40" i="11"/>
  <c r="BZ40" i="11"/>
  <c r="BN40" i="11"/>
  <c r="BH40" i="11"/>
  <c r="BJ40" i="11" s="1"/>
  <c r="BL40" i="11" s="1"/>
  <c r="AQ40" i="11"/>
  <c r="AL40" i="11"/>
  <c r="AF40" i="11"/>
  <c r="U40" i="11"/>
  <c r="O40" i="11"/>
  <c r="K40" i="11"/>
  <c r="J40" i="11"/>
  <c r="D40" i="11"/>
  <c r="E40" i="11" s="1"/>
  <c r="DV39" i="11"/>
  <c r="DI39" i="11"/>
  <c r="BZ39" i="11"/>
  <c r="BH39" i="11"/>
  <c r="BN39" i="11" s="1"/>
  <c r="AQ39" i="11"/>
  <c r="AL39" i="11"/>
  <c r="AF39" i="11"/>
  <c r="X39" i="11"/>
  <c r="U39" i="11"/>
  <c r="O39" i="11"/>
  <c r="K39" i="11"/>
  <c r="L39" i="11" s="1"/>
  <c r="J39" i="11"/>
  <c r="V39" i="11" s="1"/>
  <c r="W39" i="11" s="1"/>
  <c r="D39" i="11"/>
  <c r="DV38" i="11"/>
  <c r="DI38" i="11"/>
  <c r="BZ38" i="11"/>
  <c r="BH38" i="11"/>
  <c r="AQ38" i="11"/>
  <c r="AL38" i="11"/>
  <c r="AF38" i="11"/>
  <c r="U38" i="11"/>
  <c r="O38" i="11"/>
  <c r="K38" i="11"/>
  <c r="J38" i="11"/>
  <c r="E38" i="11"/>
  <c r="D38" i="11"/>
  <c r="DV37" i="11"/>
  <c r="DI37" i="11"/>
  <c r="BZ37" i="11"/>
  <c r="BH37" i="11"/>
  <c r="BJ37" i="11" s="1"/>
  <c r="BL37" i="11" s="1"/>
  <c r="AQ37" i="11"/>
  <c r="AL37" i="11"/>
  <c r="AF37" i="11"/>
  <c r="U37" i="11"/>
  <c r="O37" i="11"/>
  <c r="K37" i="11"/>
  <c r="J37" i="11"/>
  <c r="DM37" i="11" s="1"/>
  <c r="D37" i="11"/>
  <c r="DV36" i="11"/>
  <c r="DI36" i="11"/>
  <c r="BZ36" i="11"/>
  <c r="BN36" i="11"/>
  <c r="BJ36" i="11"/>
  <c r="BL36" i="11" s="1"/>
  <c r="BH36" i="11"/>
  <c r="AQ36" i="11"/>
  <c r="AL36" i="11"/>
  <c r="AF36" i="11"/>
  <c r="U36" i="11"/>
  <c r="O36" i="11"/>
  <c r="K36" i="11"/>
  <c r="L36" i="11" s="1"/>
  <c r="J36" i="11"/>
  <c r="DQ36" i="11" s="1"/>
  <c r="D36" i="11"/>
  <c r="DV35" i="11"/>
  <c r="DI35" i="11"/>
  <c r="BZ35" i="11"/>
  <c r="BH35" i="11"/>
  <c r="AQ35" i="11"/>
  <c r="AL35" i="11"/>
  <c r="AF35" i="11"/>
  <c r="U35" i="11"/>
  <c r="O35" i="11"/>
  <c r="K35" i="11"/>
  <c r="J35" i="11"/>
  <c r="D35" i="11"/>
  <c r="E35" i="11" s="1"/>
  <c r="DV34" i="11"/>
  <c r="DI34" i="11"/>
  <c r="BZ34" i="11"/>
  <c r="BN34" i="11"/>
  <c r="BH34" i="11"/>
  <c r="BJ34" i="11" s="1"/>
  <c r="BL34" i="11" s="1"/>
  <c r="AQ34" i="11"/>
  <c r="AL34" i="11"/>
  <c r="AF34" i="11"/>
  <c r="U34" i="11"/>
  <c r="O34" i="11"/>
  <c r="K34" i="11"/>
  <c r="J34" i="11"/>
  <c r="D34" i="11"/>
  <c r="E34" i="11" s="1"/>
  <c r="DV33" i="11"/>
  <c r="DI33" i="11"/>
  <c r="BZ33" i="11"/>
  <c r="BH33" i="11"/>
  <c r="BN33" i="11" s="1"/>
  <c r="AQ33" i="11"/>
  <c r="AL33" i="11"/>
  <c r="AF33" i="11"/>
  <c r="U33" i="11"/>
  <c r="O33" i="11"/>
  <c r="K33" i="11"/>
  <c r="J33" i="11"/>
  <c r="D33" i="11"/>
  <c r="E33" i="11" s="1"/>
  <c r="DV32" i="11"/>
  <c r="DM32" i="11"/>
  <c r="DI32" i="11"/>
  <c r="BZ32" i="11"/>
  <c r="BH32" i="11"/>
  <c r="BI34" i="11" s="1"/>
  <c r="D8" i="7694" s="1"/>
  <c r="AQ32" i="11"/>
  <c r="AL32" i="11"/>
  <c r="AF32" i="11"/>
  <c r="X32" i="11"/>
  <c r="U32" i="11"/>
  <c r="O32" i="11"/>
  <c r="M32" i="11"/>
  <c r="L32" i="11"/>
  <c r="K32" i="11"/>
  <c r="J32" i="11"/>
  <c r="V32" i="11" s="1"/>
  <c r="W32" i="11" s="1"/>
  <c r="D32" i="11"/>
  <c r="E32" i="11" s="1"/>
  <c r="DV31" i="11"/>
  <c r="DI31" i="11"/>
  <c r="CY31" i="11"/>
  <c r="AI7" i="7702"/>
  <c r="CM31" i="11"/>
  <c r="CL31" i="11"/>
  <c r="AI6" i="7702" s="1"/>
  <c r="BZ31" i="11"/>
  <c r="BH31" i="11"/>
  <c r="BN31" i="11" s="1"/>
  <c r="AQ31" i="11"/>
  <c r="AL31" i="11"/>
  <c r="AF31" i="11"/>
  <c r="U31" i="11"/>
  <c r="O31" i="11"/>
  <c r="K31" i="11"/>
  <c r="J31" i="11"/>
  <c r="DQ31" i="11" s="1"/>
  <c r="D31" i="11"/>
  <c r="DV30" i="11"/>
  <c r="DI30" i="11"/>
  <c r="BZ30" i="11"/>
  <c r="BH30" i="11"/>
  <c r="AQ30" i="11"/>
  <c r="AL30" i="11"/>
  <c r="AF30" i="11"/>
  <c r="U30" i="11"/>
  <c r="O30" i="11"/>
  <c r="K30" i="11"/>
  <c r="J30" i="11"/>
  <c r="V30" i="11" s="1"/>
  <c r="W30" i="11" s="1"/>
  <c r="D30" i="11"/>
  <c r="DV29" i="11"/>
  <c r="DI29" i="11"/>
  <c r="BZ29" i="11"/>
  <c r="BH29" i="11"/>
  <c r="AQ29" i="11"/>
  <c r="AL29" i="11"/>
  <c r="AF29" i="11"/>
  <c r="U29" i="11"/>
  <c r="O29" i="11"/>
  <c r="K29" i="11"/>
  <c r="J29" i="11"/>
  <c r="V29" i="11" s="1"/>
  <c r="W29" i="11" s="1"/>
  <c r="D29" i="11"/>
  <c r="DV28" i="11"/>
  <c r="DI28" i="11"/>
  <c r="BR28" i="11"/>
  <c r="AQ28" i="11"/>
  <c r="AL28" i="11"/>
  <c r="AF28" i="11"/>
  <c r="U28" i="11"/>
  <c r="O28" i="11"/>
  <c r="K28" i="11"/>
  <c r="L28" i="11" s="1"/>
  <c r="J28" i="11"/>
  <c r="DM28" i="11" s="1"/>
  <c r="D28" i="11"/>
  <c r="DV27" i="11"/>
  <c r="DI27" i="11"/>
  <c r="BZ27" i="11"/>
  <c r="BH27" i="11"/>
  <c r="AQ27" i="11"/>
  <c r="AL27" i="11"/>
  <c r="AF27" i="11"/>
  <c r="U27" i="11"/>
  <c r="O27" i="11"/>
  <c r="K27" i="11"/>
  <c r="J27" i="11"/>
  <c r="V27" i="11" s="1"/>
  <c r="W27" i="11" s="1"/>
  <c r="D27" i="11"/>
  <c r="DV26" i="11"/>
  <c r="DI26" i="11"/>
  <c r="CZ26" i="11"/>
  <c r="CY26" i="11"/>
  <c r="CX26" i="11"/>
  <c r="CM26" i="11"/>
  <c r="CL26" i="11"/>
  <c r="BZ26" i="11"/>
  <c r="BH26" i="11"/>
  <c r="AQ26" i="11"/>
  <c r="AL26" i="11"/>
  <c r="AF26" i="11"/>
  <c r="U26" i="11"/>
  <c r="O26" i="11"/>
  <c r="K26" i="11"/>
  <c r="J26" i="11"/>
  <c r="D26" i="11"/>
  <c r="E26" i="11" s="1"/>
  <c r="DV25" i="11"/>
  <c r="DI25" i="11"/>
  <c r="BZ25" i="11"/>
  <c r="BH25" i="11"/>
  <c r="AQ25" i="11"/>
  <c r="AL25" i="11"/>
  <c r="AF25" i="11"/>
  <c r="U25" i="11"/>
  <c r="O25" i="11"/>
  <c r="K25" i="11"/>
  <c r="L25" i="11" s="1"/>
  <c r="J25" i="11"/>
  <c r="V25" i="11" s="1"/>
  <c r="W25" i="11" s="1"/>
  <c r="D25" i="11"/>
  <c r="DV24" i="11"/>
  <c r="DI24" i="11"/>
  <c r="BZ24" i="11"/>
  <c r="BJ24" i="11"/>
  <c r="BL24" i="11" s="1"/>
  <c r="BH24" i="11"/>
  <c r="BN24" i="11" s="1"/>
  <c r="AQ24" i="11"/>
  <c r="AL24" i="11"/>
  <c r="AF24" i="11"/>
  <c r="U24" i="11"/>
  <c r="O24" i="11"/>
  <c r="M24" i="11"/>
  <c r="L24" i="11"/>
  <c r="K24" i="11"/>
  <c r="J24" i="11"/>
  <c r="V24" i="11" s="1"/>
  <c r="D24" i="11"/>
  <c r="E24" i="11" s="1"/>
  <c r="DV23" i="11"/>
  <c r="DI23" i="11"/>
  <c r="BR23" i="11"/>
  <c r="BZ23" i="11" s="1"/>
  <c r="BH23" i="11"/>
  <c r="BN23" i="11" s="1"/>
  <c r="AQ23" i="11"/>
  <c r="AL23" i="11"/>
  <c r="AF23" i="11"/>
  <c r="U23" i="11"/>
  <c r="O23" i="11"/>
  <c r="K23" i="11"/>
  <c r="L23" i="11" s="1"/>
  <c r="J23" i="11"/>
  <c r="V23" i="11" s="1"/>
  <c r="W23" i="11" s="1"/>
  <c r="D23" i="11"/>
  <c r="DV22" i="11"/>
  <c r="DI22" i="11"/>
  <c r="BZ22" i="11"/>
  <c r="BH22" i="11"/>
  <c r="BN22" i="11" s="1"/>
  <c r="AQ22" i="11"/>
  <c r="AL22" i="11"/>
  <c r="AF22" i="11"/>
  <c r="U22" i="11"/>
  <c r="O22" i="11"/>
  <c r="K22" i="11"/>
  <c r="J22" i="11"/>
  <c r="D22" i="11"/>
  <c r="E22" i="11" s="1"/>
  <c r="DV21" i="11"/>
  <c r="DI21" i="11"/>
  <c r="BZ21" i="11"/>
  <c r="BJ21" i="11"/>
  <c r="BL21" i="11" s="1"/>
  <c r="BH21" i="11"/>
  <c r="BN21" i="11" s="1"/>
  <c r="AQ21" i="11"/>
  <c r="AL21" i="11"/>
  <c r="AF21" i="11"/>
  <c r="U21" i="11"/>
  <c r="O21" i="11"/>
  <c r="K21" i="11"/>
  <c r="J21" i="11"/>
  <c r="L21" i="11" s="1"/>
  <c r="D21" i="11"/>
  <c r="DV20" i="11"/>
  <c r="DI20" i="11"/>
  <c r="BZ20" i="11"/>
  <c r="BH20" i="11"/>
  <c r="BN20" i="11" s="1"/>
  <c r="AQ20" i="11"/>
  <c r="AL20" i="11"/>
  <c r="AF20" i="11"/>
  <c r="U20" i="11"/>
  <c r="O20" i="11"/>
  <c r="K20" i="11"/>
  <c r="L20" i="11" s="1"/>
  <c r="J20" i="11"/>
  <c r="DQ20" i="11" s="1"/>
  <c r="D20" i="11"/>
  <c r="DV19" i="11"/>
  <c r="DI19" i="11"/>
  <c r="BZ19" i="11"/>
  <c r="BH19" i="11"/>
  <c r="BJ19" i="11" s="1"/>
  <c r="BL19" i="11" s="1"/>
  <c r="AQ19" i="11"/>
  <c r="AL19" i="11"/>
  <c r="AF19" i="11"/>
  <c r="U19" i="11"/>
  <c r="O19" i="11"/>
  <c r="K19" i="11"/>
  <c r="L19" i="11" s="1"/>
  <c r="J19" i="11"/>
  <c r="D19" i="11"/>
  <c r="E19" i="11" s="1"/>
  <c r="DV18" i="11"/>
  <c r="DI18" i="11"/>
  <c r="BZ18" i="11"/>
  <c r="BN18" i="11"/>
  <c r="BH18" i="11"/>
  <c r="BJ18" i="11" s="1"/>
  <c r="BL18" i="11" s="1"/>
  <c r="AQ18" i="11"/>
  <c r="AL18" i="11"/>
  <c r="AF18" i="11"/>
  <c r="U18" i="11"/>
  <c r="O18" i="11"/>
  <c r="K18" i="11"/>
  <c r="L18" i="11" s="1"/>
  <c r="J18" i="11"/>
  <c r="DM18" i="11" s="1"/>
  <c r="D18" i="11"/>
  <c r="DX17" i="11"/>
  <c r="DV17" i="11"/>
  <c r="CW17" i="11"/>
  <c r="CK17" i="11"/>
  <c r="CL12" i="11" s="1"/>
  <c r="AK6" i="7702" s="1"/>
  <c r="BZ17" i="11"/>
  <c r="BH17" i="11"/>
  <c r="BN17" i="11" s="1"/>
  <c r="AQ17" i="11"/>
  <c r="AL17" i="11"/>
  <c r="AF17" i="11"/>
  <c r="U17" i="11"/>
  <c r="O17" i="11"/>
  <c r="K17" i="11"/>
  <c r="J17" i="11"/>
  <c r="E17" i="11"/>
  <c r="D17" i="11"/>
  <c r="DV16" i="11"/>
  <c r="DQ16" i="11"/>
  <c r="DI16" i="11"/>
  <c r="BZ16" i="11"/>
  <c r="BH16" i="11"/>
  <c r="AQ16" i="11"/>
  <c r="AL16" i="11"/>
  <c r="AF16" i="11"/>
  <c r="U16" i="11"/>
  <c r="O16" i="11"/>
  <c r="K16" i="11"/>
  <c r="J16" i="11"/>
  <c r="DM16" i="11" s="1"/>
  <c r="D16" i="11"/>
  <c r="DV15" i="11"/>
  <c r="DI15" i="11"/>
  <c r="BZ15" i="11"/>
  <c r="BN15" i="11"/>
  <c r="BJ15" i="11"/>
  <c r="BL15" i="11" s="1"/>
  <c r="BH15" i="11"/>
  <c r="AQ15" i="11"/>
  <c r="AL15" i="11"/>
  <c r="AF15" i="11"/>
  <c r="U15" i="11"/>
  <c r="O15" i="11"/>
  <c r="K15" i="11"/>
  <c r="L15" i="11" s="1"/>
  <c r="J15" i="11"/>
  <c r="DQ15" i="11" s="1"/>
  <c r="D15" i="11"/>
  <c r="DV14" i="11"/>
  <c r="DQ14" i="11"/>
  <c r="DI14" i="11"/>
  <c r="BR14" i="11"/>
  <c r="BZ14" i="11" s="1"/>
  <c r="BH14" i="11"/>
  <c r="BN14" i="11" s="1"/>
  <c r="AQ14" i="11"/>
  <c r="AL14" i="11"/>
  <c r="AF14" i="11"/>
  <c r="U14" i="11"/>
  <c r="O14" i="11"/>
  <c r="M14" i="11"/>
  <c r="K14" i="11"/>
  <c r="L14" i="11" s="1"/>
  <c r="J14" i="11"/>
  <c r="DM14" i="11" s="1"/>
  <c r="D14" i="11"/>
  <c r="E14" i="11" s="1"/>
  <c r="DV13" i="11"/>
  <c r="DI13" i="11"/>
  <c r="BZ13" i="11"/>
  <c r="BH13" i="11"/>
  <c r="BN13" i="11" s="1"/>
  <c r="AQ13" i="11"/>
  <c r="AL13" i="11"/>
  <c r="AF13" i="11"/>
  <c r="U13" i="11"/>
  <c r="O13" i="11"/>
  <c r="K13" i="11"/>
  <c r="J13" i="11"/>
  <c r="DM13" i="11" s="1"/>
  <c r="E13" i="11"/>
  <c r="D13" i="11"/>
  <c r="DV12" i="11"/>
  <c r="DI12" i="11"/>
  <c r="CM12" i="11"/>
  <c r="CN12" i="11" s="1"/>
  <c r="BZ12" i="11"/>
  <c r="BH12" i="11"/>
  <c r="AQ12" i="11"/>
  <c r="AL12" i="11"/>
  <c r="AF12" i="11"/>
  <c r="U12" i="11"/>
  <c r="O12" i="11"/>
  <c r="K12" i="11"/>
  <c r="J12" i="11"/>
  <c r="E12" i="11"/>
  <c r="D12" i="11"/>
  <c r="DV11" i="11"/>
  <c r="DI11" i="11"/>
  <c r="BZ11" i="11"/>
  <c r="BR11" i="11"/>
  <c r="AQ11" i="11"/>
  <c r="AL11" i="11"/>
  <c r="AF11" i="11"/>
  <c r="U11" i="11"/>
  <c r="O11" i="11"/>
  <c r="K11" i="11"/>
  <c r="J11" i="11"/>
  <c r="F11" i="11"/>
  <c r="D11" i="11"/>
  <c r="E11" i="11" s="1"/>
  <c r="DV10" i="11"/>
  <c r="DI10" i="11"/>
  <c r="BZ10" i="11"/>
  <c r="BH10" i="11"/>
  <c r="BN10" i="11" s="1"/>
  <c r="AQ10" i="11"/>
  <c r="AL10" i="11"/>
  <c r="AF10" i="11"/>
  <c r="U10" i="11"/>
  <c r="O10" i="11"/>
  <c r="K10" i="11"/>
  <c r="J10" i="11"/>
  <c r="E10" i="11"/>
  <c r="D10" i="11"/>
  <c r="DV9" i="11"/>
  <c r="DM9" i="11"/>
  <c r="DI9" i="11"/>
  <c r="BZ9" i="11"/>
  <c r="BH9" i="11"/>
  <c r="BN9" i="11" s="1"/>
  <c r="AQ9" i="11"/>
  <c r="AR9" i="11" s="1"/>
  <c r="AL9" i="11"/>
  <c r="AM9" i="11" s="1"/>
  <c r="AG9" i="11"/>
  <c r="AG10" i="11" s="1"/>
  <c r="AG11" i="11" s="1"/>
  <c r="AG12" i="11" s="1"/>
  <c r="AG13" i="11" s="1"/>
  <c r="AF9" i="11"/>
  <c r="U9" i="11"/>
  <c r="N9" i="11"/>
  <c r="O9" i="11" s="1"/>
  <c r="M9" i="11"/>
  <c r="Y9" i="11" s="1"/>
  <c r="K9" i="11"/>
  <c r="J9" i="11"/>
  <c r="DQ9" i="11" s="1"/>
  <c r="D9" i="11"/>
  <c r="E9" i="11" s="1"/>
  <c r="DV8" i="11"/>
  <c r="BZ8" i="11"/>
  <c r="BN8" i="11"/>
  <c r="BQ8" i="11" s="1"/>
  <c r="BE8" i="11"/>
  <c r="BD8" i="11"/>
  <c r="AW8" i="11"/>
  <c r="AP8" i="11"/>
  <c r="AJ8" i="11"/>
  <c r="BO8" i="11" s="1"/>
  <c r="U8" i="11"/>
  <c r="O8" i="11"/>
  <c r="M8" i="11"/>
  <c r="K8" i="11"/>
  <c r="L8" i="11" s="1"/>
  <c r="J8" i="11"/>
  <c r="D8" i="11"/>
  <c r="Z7" i="11"/>
  <c r="Y7" i="11"/>
  <c r="V7" i="11"/>
  <c r="O7" i="11"/>
  <c r="N7" i="11"/>
  <c r="BX9" i="11" l="1"/>
  <c r="BI15" i="11"/>
  <c r="D7" i="7694" s="1"/>
  <c r="L13" i="11"/>
  <c r="BJ13" i="11"/>
  <c r="BL13" i="11" s="1"/>
  <c r="BJ17" i="11"/>
  <c r="BL17" i="11" s="1"/>
  <c r="BJ57" i="11"/>
  <c r="BL57" i="11" s="1"/>
  <c r="BN57" i="11"/>
  <c r="BJ14" i="11"/>
  <c r="BL14" i="11" s="1"/>
  <c r="V16" i="11"/>
  <c r="W16" i="11" s="1"/>
  <c r="BN27" i="11"/>
  <c r="BJ27" i="11"/>
  <c r="BL27" i="11" s="1"/>
  <c r="DK31" i="11"/>
  <c r="BI32" i="11"/>
  <c r="L41" i="11"/>
  <c r="L42" i="11"/>
  <c r="L43" i="11"/>
  <c r="L44" i="11"/>
  <c r="BJ44" i="11"/>
  <c r="BL44" i="11" s="1"/>
  <c r="V59" i="11"/>
  <c r="W59" i="11" s="1"/>
  <c r="DQ60" i="11"/>
  <c r="M60" i="11"/>
  <c r="AU60" i="11" s="1"/>
  <c r="V13" i="11"/>
  <c r="W13" i="11" s="1"/>
  <c r="CX12" i="11"/>
  <c r="AK7" i="7702" s="1"/>
  <c r="DI17" i="11"/>
  <c r="CY12" i="11"/>
  <c r="V21" i="11"/>
  <c r="W21" i="11" s="1"/>
  <c r="X21" i="11"/>
  <c r="BN26" i="11"/>
  <c r="BJ26" i="11"/>
  <c r="BL26" i="11" s="1"/>
  <c r="BZ28" i="11"/>
  <c r="BH28" i="11"/>
  <c r="V33" i="11"/>
  <c r="W33" i="11" s="1"/>
  <c r="DQ33" i="11"/>
  <c r="M33" i="11"/>
  <c r="DM33" i="11"/>
  <c r="X33" i="11"/>
  <c r="BJ38" i="11"/>
  <c r="BL38" i="11" s="1"/>
  <c r="BN38" i="11"/>
  <c r="BN41" i="11"/>
  <c r="BJ41" i="11"/>
  <c r="BL41" i="11" s="1"/>
  <c r="V46" i="11"/>
  <c r="W46" i="11" s="1"/>
  <c r="DQ46" i="11"/>
  <c r="X46" i="11"/>
  <c r="M46" i="11"/>
  <c r="BI59" i="11"/>
  <c r="BN58" i="11"/>
  <c r="X62" i="11"/>
  <c r="DQ62" i="11"/>
  <c r="DM62" i="11"/>
  <c r="BJ62" i="11"/>
  <c r="BL62" i="11" s="1"/>
  <c r="BN62" i="11"/>
  <c r="BJ23" i="11"/>
  <c r="BL23" i="11" s="1"/>
  <c r="DM26" i="11"/>
  <c r="M26" i="11"/>
  <c r="L33" i="11"/>
  <c r="BN35" i="11"/>
  <c r="BJ35" i="11"/>
  <c r="BL35" i="11" s="1"/>
  <c r="DM43" i="11"/>
  <c r="V43" i="11"/>
  <c r="W43" i="11" s="1"/>
  <c r="V44" i="11"/>
  <c r="W44" i="11" s="1"/>
  <c r="BN48" i="11"/>
  <c r="BJ48" i="11"/>
  <c r="BL48" i="11" s="1"/>
  <c r="L53" i="11"/>
  <c r="BN60" i="11"/>
  <c r="BJ60" i="11"/>
  <c r="BL60" i="11" s="1"/>
  <c r="BI71" i="11"/>
  <c r="D11" i="7694" s="1"/>
  <c r="BN68" i="11"/>
  <c r="AE25" i="4"/>
  <c r="AB25" i="4" s="1"/>
  <c r="F17" i="4"/>
  <c r="AE27" i="4"/>
  <c r="AB27" i="4" s="1"/>
  <c r="F18" i="4"/>
  <c r="CA8" i="11"/>
  <c r="BJ12" i="11"/>
  <c r="BJ16" i="11"/>
  <c r="BL16" i="11" s="1"/>
  <c r="BN16" i="11"/>
  <c r="BN19" i="11"/>
  <c r="L26" i="11"/>
  <c r="X27" i="11"/>
  <c r="V8" i="11"/>
  <c r="W8" i="11" s="1"/>
  <c r="CC8" i="11"/>
  <c r="L9" i="11"/>
  <c r="CF9" i="11"/>
  <c r="CF10" i="11" s="1"/>
  <c r="CF11" i="11" s="1"/>
  <c r="CF12" i="11" s="1"/>
  <c r="CF13" i="11" s="1"/>
  <c r="CI13" i="11" s="1"/>
  <c r="V20" i="11"/>
  <c r="W20" i="11" s="1"/>
  <c r="BJ22" i="11"/>
  <c r="BL22" i="11" s="1"/>
  <c r="CN26" i="11"/>
  <c r="L27" i="11"/>
  <c r="CN31" i="11"/>
  <c r="DJ31" i="11"/>
  <c r="AI8" i="7702" s="1"/>
  <c r="BJ39" i="11"/>
  <c r="BL39" i="11" s="1"/>
  <c r="M43" i="11"/>
  <c r="X43" i="11"/>
  <c r="BN43" i="11"/>
  <c r="BI45" i="11"/>
  <c r="D9" i="7694" s="1"/>
  <c r="BI43" i="11"/>
  <c r="L48" i="11"/>
  <c r="CN58" i="11"/>
  <c r="L29" i="11"/>
  <c r="V31" i="11"/>
  <c r="W31" i="11" s="1"/>
  <c r="V37" i="11"/>
  <c r="W37" i="11" s="1"/>
  <c r="DQ37" i="11"/>
  <c r="L46" i="11"/>
  <c r="BZ54" i="11"/>
  <c r="BH54" i="11"/>
  <c r="BN63" i="11"/>
  <c r="BJ63" i="11"/>
  <c r="BL63" i="11" s="1"/>
  <c r="BJ67" i="11"/>
  <c r="BL67" i="11" s="1"/>
  <c r="BN67" i="11"/>
  <c r="V15" i="11"/>
  <c r="W15" i="11" s="1"/>
  <c r="L16" i="11"/>
  <c r="L17" i="11"/>
  <c r="V18" i="11"/>
  <c r="W18" i="11" s="1"/>
  <c r="DQ18" i="11"/>
  <c r="L30" i="11"/>
  <c r="L31" i="11"/>
  <c r="BJ33" i="11"/>
  <c r="BL33" i="11" s="1"/>
  <c r="V36" i="11"/>
  <c r="W36" i="11" s="1"/>
  <c r="L37" i="11"/>
  <c r="BN37" i="11"/>
  <c r="W52" i="11"/>
  <c r="BN55" i="11"/>
  <c r="L57" i="11"/>
  <c r="DM63" i="11"/>
  <c r="M63" i="11"/>
  <c r="AU63" i="11" s="1"/>
  <c r="BN65" i="11"/>
  <c r="BN66" i="11"/>
  <c r="V31" i="7649"/>
  <c r="L50" i="11"/>
  <c r="L52" i="11"/>
  <c r="W54" i="11"/>
  <c r="L55" i="11"/>
  <c r="L59" i="11"/>
  <c r="L60" i="11"/>
  <c r="L62" i="11"/>
  <c r="L63" i="11"/>
  <c r="L65" i="11"/>
  <c r="DQ69" i="11"/>
  <c r="L70" i="11"/>
  <c r="BJ71" i="11"/>
  <c r="BL71" i="11" s="1"/>
  <c r="X75" i="11"/>
  <c r="X77" i="11"/>
  <c r="L79" i="11"/>
  <c r="V14" i="7702"/>
  <c r="V28" i="7702"/>
  <c r="F3" i="7649"/>
  <c r="J10" i="7649"/>
  <c r="I10" i="7649" s="1"/>
  <c r="J29" i="7649"/>
  <c r="I29" i="7649" s="1"/>
  <c r="F9" i="4"/>
  <c r="AE14" i="4"/>
  <c r="AB14" i="4" s="1"/>
  <c r="L73" i="11"/>
  <c r="V73" i="11"/>
  <c r="W73" i="11" s="1"/>
  <c r="V21" i="7702"/>
  <c r="X14" i="7649"/>
  <c r="X31" i="7649"/>
  <c r="T33" i="7649"/>
  <c r="AE23" i="4"/>
  <c r="AB23" i="4" s="1"/>
  <c r="V69" i="11"/>
  <c r="W69" i="11" s="1"/>
  <c r="X74" i="11"/>
  <c r="M75" i="11"/>
  <c r="AU75" i="11" s="1"/>
  <c r="X76" i="11"/>
  <c r="M77" i="11"/>
  <c r="AU77" i="11" s="1"/>
  <c r="L78" i="11"/>
  <c r="M79" i="11"/>
  <c r="AU79" i="11" s="1"/>
  <c r="F6" i="7649"/>
  <c r="J16" i="7649"/>
  <c r="I16" i="7649" s="1"/>
  <c r="J18" i="7649"/>
  <c r="I18" i="7649" s="1"/>
  <c r="J20" i="7649"/>
  <c r="I20" i="7649" s="1"/>
  <c r="J22" i="7649"/>
  <c r="I22" i="7649" s="1"/>
  <c r="J24" i="7649"/>
  <c r="I24" i="7649" s="1"/>
  <c r="J26" i="7649"/>
  <c r="I26" i="7649" s="1"/>
  <c r="J32" i="7649"/>
  <c r="I32" i="7649" s="1"/>
  <c r="X32" i="7649" s="1"/>
  <c r="F13" i="4"/>
  <c r="X73" i="11"/>
  <c r="F4" i="7649"/>
  <c r="F8" i="7649"/>
  <c r="F14" i="7649"/>
  <c r="V14" i="7649" s="1"/>
  <c r="X28" i="7649"/>
  <c r="CZ21" i="11"/>
  <c r="BD9" i="11"/>
  <c r="AK9" i="11"/>
  <c r="DM11" i="11"/>
  <c r="L11" i="11"/>
  <c r="X24" i="11"/>
  <c r="W24" i="11"/>
  <c r="AI20" i="7702"/>
  <c r="DL31" i="11"/>
  <c r="BI47" i="11"/>
  <c r="AH27" i="7702"/>
  <c r="AK75" i="11"/>
  <c r="AJ75" i="11"/>
  <c r="CA75" i="11" s="1"/>
  <c r="AE77" i="11"/>
  <c r="AH77" i="11" s="1"/>
  <c r="AI77" i="11" s="1"/>
  <c r="AE37" i="4"/>
  <c r="AB37" i="4" s="1"/>
  <c r="AE36" i="4"/>
  <c r="AB36" i="4" s="1"/>
  <c r="F23" i="4"/>
  <c r="AE59" i="4"/>
  <c r="AB59" i="4" s="1"/>
  <c r="AE58" i="4"/>
  <c r="AB58" i="4" s="1"/>
  <c r="F34" i="4"/>
  <c r="AE98" i="4"/>
  <c r="AB98" i="4" s="1"/>
  <c r="F54" i="4"/>
  <c r="AE99" i="4"/>
  <c r="AB99" i="4" s="1"/>
  <c r="DQ11" i="11"/>
  <c r="M22" i="11"/>
  <c r="AU26" i="11"/>
  <c r="E27" i="11"/>
  <c r="DK26" i="11"/>
  <c r="DJ26" i="11"/>
  <c r="AU32" i="11"/>
  <c r="DM34" i="11"/>
  <c r="M34" i="11"/>
  <c r="V34" i="11"/>
  <c r="W34" i="11" s="1"/>
  <c r="DQ34" i="11"/>
  <c r="DQ35" i="11"/>
  <c r="M35" i="11"/>
  <c r="DM35" i="11"/>
  <c r="V35" i="11"/>
  <c r="W35" i="11" s="1"/>
  <c r="M38" i="11"/>
  <c r="V38" i="11"/>
  <c r="W38" i="11" s="1"/>
  <c r="E39" i="11"/>
  <c r="M40" i="11"/>
  <c r="V40" i="11"/>
  <c r="W40" i="11" s="1"/>
  <c r="AE43" i="11"/>
  <c r="AN43" i="11" s="1"/>
  <c r="AO43" i="11" s="1"/>
  <c r="AU43" i="11"/>
  <c r="E45" i="11"/>
  <c r="AL27" i="7702"/>
  <c r="AS75" i="11"/>
  <c r="AT75" i="11" s="1"/>
  <c r="AZ75" i="11" s="1"/>
  <c r="AS78" i="11"/>
  <c r="AT78" i="11" s="1"/>
  <c r="AZ78" i="11" s="1"/>
  <c r="V11" i="11"/>
  <c r="W11" i="11" s="1"/>
  <c r="AG14" i="11"/>
  <c r="AG15" i="11" s="1"/>
  <c r="AG16" i="11" s="1"/>
  <c r="AG17" i="11" s="1"/>
  <c r="AG18" i="11" s="1"/>
  <c r="AG19" i="11" s="1"/>
  <c r="AG20" i="11" s="1"/>
  <c r="AE78" i="11"/>
  <c r="AH78" i="11" s="1"/>
  <c r="AI78" i="11" s="1"/>
  <c r="F12" i="7649"/>
  <c r="V12" i="7649" s="1"/>
  <c r="F13" i="7649"/>
  <c r="AE43" i="4"/>
  <c r="AB43" i="4" s="1"/>
  <c r="AE42" i="4"/>
  <c r="AB42" i="4" s="1"/>
  <c r="F26" i="4"/>
  <c r="AE66" i="4"/>
  <c r="AB66" i="4" s="1"/>
  <c r="F38" i="4"/>
  <c r="AE67" i="4"/>
  <c r="AB67" i="4" s="1"/>
  <c r="AE82" i="4"/>
  <c r="AB82" i="4" s="1"/>
  <c r="F46" i="4"/>
  <c r="AE83" i="4"/>
  <c r="AB83" i="4" s="1"/>
  <c r="AE106" i="4"/>
  <c r="AB106" i="4" s="1"/>
  <c r="F58" i="4"/>
  <c r="AE107" i="4"/>
  <c r="AB107" i="4" s="1"/>
  <c r="DQ10" i="11"/>
  <c r="M10" i="11"/>
  <c r="DM10" i="11"/>
  <c r="V10" i="11"/>
  <c r="W10" i="11" s="1"/>
  <c r="M12" i="11"/>
  <c r="L12" i="11"/>
  <c r="V12" i="11"/>
  <c r="W12" i="11" s="1"/>
  <c r="DM12" i="11"/>
  <c r="E21" i="11"/>
  <c r="V9" i="11"/>
  <c r="L10" i="11"/>
  <c r="DQ12" i="11"/>
  <c r="X13" i="11"/>
  <c r="M17" i="11"/>
  <c r="DQ17" i="11"/>
  <c r="DM17" i="11"/>
  <c r="V17" i="11"/>
  <c r="W17" i="11" s="1"/>
  <c r="L22" i="11"/>
  <c r="X23" i="11"/>
  <c r="BN29" i="11"/>
  <c r="BJ29" i="11"/>
  <c r="BL29" i="11" s="1"/>
  <c r="AE33" i="11"/>
  <c r="AN33" i="11" s="1"/>
  <c r="AO33" i="11" s="1"/>
  <c r="AU33" i="11"/>
  <c r="L34" i="11"/>
  <c r="L35" i="11"/>
  <c r="L38" i="11"/>
  <c r="L40" i="11"/>
  <c r="X41" i="11"/>
  <c r="BN46" i="11"/>
  <c r="BJ46" i="11"/>
  <c r="BL46" i="11" s="1"/>
  <c r="AU47" i="11"/>
  <c r="DS58" i="11"/>
  <c r="DR58" i="11"/>
  <c r="AU9" i="11"/>
  <c r="AE10" i="11"/>
  <c r="AK27" i="7702"/>
  <c r="DK12" i="11"/>
  <c r="DJ12" i="11"/>
  <c r="AK8" i="7702" s="1"/>
  <c r="AP8" i="7702" s="1"/>
  <c r="BN50" i="11"/>
  <c r="BJ50" i="11"/>
  <c r="BL50" i="11" s="1"/>
  <c r="AE76" i="11"/>
  <c r="AH76" i="11" s="1"/>
  <c r="AI76" i="11" s="1"/>
  <c r="AE79" i="11"/>
  <c r="AH79" i="11" s="1"/>
  <c r="AI79" i="11" s="1"/>
  <c r="AE31" i="4"/>
  <c r="AB31" i="4" s="1"/>
  <c r="AE30" i="4"/>
  <c r="AB30" i="4" s="1"/>
  <c r="F20" i="4"/>
  <c r="AE51" i="4"/>
  <c r="AB51" i="4" s="1"/>
  <c r="AE50" i="4"/>
  <c r="AB50" i="4" s="1"/>
  <c r="F30" i="4"/>
  <c r="AE74" i="4"/>
  <c r="AB74" i="4" s="1"/>
  <c r="F42" i="4"/>
  <c r="AE75" i="4"/>
  <c r="AB75" i="4" s="1"/>
  <c r="AE90" i="4"/>
  <c r="AB90" i="4" s="1"/>
  <c r="F50" i="4"/>
  <c r="AE91" i="4"/>
  <c r="AB91" i="4" s="1"/>
  <c r="AE114" i="4"/>
  <c r="AB114" i="4" s="1"/>
  <c r="F62" i="4"/>
  <c r="AE115" i="4"/>
  <c r="AB115" i="4" s="1"/>
  <c r="AN10" i="11"/>
  <c r="AO10" i="11" s="1"/>
  <c r="AM10" i="11"/>
  <c r="AM11" i="11" s="1"/>
  <c r="AM12" i="11" s="1"/>
  <c r="AM13" i="11" s="1"/>
  <c r="AM14" i="11" s="1"/>
  <c r="AM15" i="11" s="1"/>
  <c r="AM16" i="11" s="1"/>
  <c r="AM17" i="11" s="1"/>
  <c r="AM18" i="11" s="1"/>
  <c r="AM19" i="11" s="1"/>
  <c r="AM20" i="11" s="1"/>
  <c r="AM21" i="11" s="1"/>
  <c r="AM22" i="11" s="1"/>
  <c r="AM23" i="11" s="1"/>
  <c r="AM24" i="11" s="1"/>
  <c r="AM25" i="11" s="1"/>
  <c r="AM26" i="11" s="1"/>
  <c r="AM27" i="11" s="1"/>
  <c r="AM28" i="11" s="1"/>
  <c r="AM29" i="11" s="1"/>
  <c r="AM30" i="11" s="1"/>
  <c r="AM31" i="11" s="1"/>
  <c r="AM32" i="11" s="1"/>
  <c r="AM33" i="11" s="1"/>
  <c r="AM34" i="11" s="1"/>
  <c r="AM35" i="11" s="1"/>
  <c r="AM36" i="11" s="1"/>
  <c r="AM37" i="11" s="1"/>
  <c r="AM38" i="11" s="1"/>
  <c r="AM39" i="11" s="1"/>
  <c r="AM40" i="11" s="1"/>
  <c r="AM41" i="11" s="1"/>
  <c r="AM42" i="11" s="1"/>
  <c r="AM43" i="11" s="1"/>
  <c r="AM44" i="11" s="1"/>
  <c r="AM45" i="11" s="1"/>
  <c r="AM46" i="11" s="1"/>
  <c r="AM47" i="11" s="1"/>
  <c r="AM48" i="11" s="1"/>
  <c r="AM49" i="11" s="1"/>
  <c r="AM50" i="11" s="1"/>
  <c r="AM51" i="11" s="1"/>
  <c r="AM52" i="11" s="1"/>
  <c r="AM53" i="11" s="1"/>
  <c r="AM54" i="11" s="1"/>
  <c r="AM55" i="11" s="1"/>
  <c r="AM56" i="11" s="1"/>
  <c r="AM57" i="11" s="1"/>
  <c r="AM58" i="11" s="1"/>
  <c r="AM59" i="11" s="1"/>
  <c r="AM60" i="11" s="1"/>
  <c r="AM61" i="11" s="1"/>
  <c r="AM62" i="11" s="1"/>
  <c r="AM63" i="11" s="1"/>
  <c r="AM64" i="11" s="1"/>
  <c r="AM65" i="11" s="1"/>
  <c r="AM66" i="11" s="1"/>
  <c r="AM67" i="11" s="1"/>
  <c r="AM68" i="11" s="1"/>
  <c r="AM69" i="11" s="1"/>
  <c r="AM70" i="11" s="1"/>
  <c r="AM71" i="11" s="1"/>
  <c r="AM72" i="11" s="1"/>
  <c r="AM73" i="11" s="1"/>
  <c r="AM74" i="11" s="1"/>
  <c r="AM75" i="11" s="1"/>
  <c r="AM76" i="11" s="1"/>
  <c r="AM77" i="11" s="1"/>
  <c r="AM78" i="11" s="1"/>
  <c r="AM79" i="11" s="1"/>
  <c r="AG21" i="11"/>
  <c r="AG22" i="11" s="1"/>
  <c r="V22" i="11"/>
  <c r="W22" i="11" s="1"/>
  <c r="E8" i="11"/>
  <c r="AU8" i="11"/>
  <c r="BX10" i="11"/>
  <c r="AR10" i="11"/>
  <c r="AR11" i="11" s="1"/>
  <c r="AR12" i="11" s="1"/>
  <c r="AR13" i="11" s="1"/>
  <c r="AR14" i="11" s="1"/>
  <c r="AR15" i="11" s="1"/>
  <c r="AR16" i="11" s="1"/>
  <c r="AR17" i="11" s="1"/>
  <c r="AR18" i="11" s="1"/>
  <c r="AR19" i="11" s="1"/>
  <c r="AR20" i="11" s="1"/>
  <c r="AR21" i="11" s="1"/>
  <c r="AR22" i="11" s="1"/>
  <c r="AR23" i="11" s="1"/>
  <c r="AR24" i="11" s="1"/>
  <c r="AR25" i="11" s="1"/>
  <c r="AR26" i="11" s="1"/>
  <c r="AR27" i="11" s="1"/>
  <c r="AR28" i="11" s="1"/>
  <c r="AR29" i="11" s="1"/>
  <c r="AR30" i="11" s="1"/>
  <c r="AR31" i="11" s="1"/>
  <c r="AR32" i="11" s="1"/>
  <c r="AR33" i="11" s="1"/>
  <c r="AR34" i="11" s="1"/>
  <c r="AR35" i="11" s="1"/>
  <c r="AR36" i="11" s="1"/>
  <c r="AR37" i="11" s="1"/>
  <c r="AR38" i="11" s="1"/>
  <c r="AR39" i="11" s="1"/>
  <c r="AR40" i="11" s="1"/>
  <c r="AR41" i="11" s="1"/>
  <c r="AR42" i="11" s="1"/>
  <c r="AR43" i="11" s="1"/>
  <c r="AR44" i="11" s="1"/>
  <c r="AR45" i="11" s="1"/>
  <c r="AR46" i="11" s="1"/>
  <c r="AR47" i="11" s="1"/>
  <c r="AR48" i="11" s="1"/>
  <c r="AR49" i="11" s="1"/>
  <c r="AR50" i="11" s="1"/>
  <c r="AR51" i="11" s="1"/>
  <c r="AR52" i="11" s="1"/>
  <c r="AR53" i="11" s="1"/>
  <c r="AR54" i="11" s="1"/>
  <c r="AR55" i="11" s="1"/>
  <c r="AR56" i="11" s="1"/>
  <c r="AR57" i="11" s="1"/>
  <c r="AR58" i="11" s="1"/>
  <c r="AR59" i="11" s="1"/>
  <c r="AR60" i="11" s="1"/>
  <c r="AR61" i="11" s="1"/>
  <c r="AR62" i="11" s="1"/>
  <c r="AR63" i="11" s="1"/>
  <c r="AR64" i="11" s="1"/>
  <c r="AR65" i="11" s="1"/>
  <c r="AR66" i="11" s="1"/>
  <c r="AR67" i="11" s="1"/>
  <c r="AR68" i="11" s="1"/>
  <c r="AR69" i="11" s="1"/>
  <c r="AR70" i="11" s="1"/>
  <c r="AR71" i="11" s="1"/>
  <c r="AR72" i="11" s="1"/>
  <c r="AR73" i="11" s="1"/>
  <c r="AR74" i="11" s="1"/>
  <c r="AR75" i="11" s="1"/>
  <c r="AR76" i="11" s="1"/>
  <c r="AR77" i="11" s="1"/>
  <c r="AR78" i="11" s="1"/>
  <c r="AR79" i="11" s="1"/>
  <c r="M11" i="11"/>
  <c r="AE14" i="11"/>
  <c r="AN14" i="11" s="1"/>
  <c r="AO14" i="11" s="1"/>
  <c r="AU14" i="11"/>
  <c r="BK15" i="11"/>
  <c r="F7" i="7694" s="1"/>
  <c r="DQ19" i="11"/>
  <c r="M19" i="11"/>
  <c r="DM19" i="11"/>
  <c r="V19" i="11"/>
  <c r="W19" i="11" s="1"/>
  <c r="E23" i="11"/>
  <c r="AG23" i="11"/>
  <c r="AG24" i="11" s="1"/>
  <c r="AG25" i="11" s="1"/>
  <c r="AG26" i="11" s="1"/>
  <c r="AG27" i="11" s="1"/>
  <c r="AG28" i="11" s="1"/>
  <c r="AG29" i="11" s="1"/>
  <c r="AG30" i="11" s="1"/>
  <c r="AG31" i="11" s="1"/>
  <c r="AG32" i="11" s="1"/>
  <c r="AG33" i="11" s="1"/>
  <c r="AG34" i="11" s="1"/>
  <c r="AG35" i="11" s="1"/>
  <c r="AG36" i="11" s="1"/>
  <c r="AG37" i="11" s="1"/>
  <c r="AG38" i="11" s="1"/>
  <c r="AG39" i="11" s="1"/>
  <c r="AG40" i="11" s="1"/>
  <c r="AG41" i="11" s="1"/>
  <c r="AG42" i="11" s="1"/>
  <c r="AG43" i="11" s="1"/>
  <c r="AG44" i="11" s="1"/>
  <c r="AG45" i="11" s="1"/>
  <c r="AG46" i="11" s="1"/>
  <c r="AG47" i="11" s="1"/>
  <c r="AG48" i="11" s="1"/>
  <c r="AG49" i="11" s="1"/>
  <c r="AG50" i="11" s="1"/>
  <c r="AG51" i="11" s="1"/>
  <c r="AG52" i="11" s="1"/>
  <c r="AG53" i="11" s="1"/>
  <c r="AG54" i="11" s="1"/>
  <c r="AG55" i="11" s="1"/>
  <c r="AG56" i="11" s="1"/>
  <c r="AG57" i="11" s="1"/>
  <c r="AG58" i="11" s="1"/>
  <c r="AG59" i="11" s="1"/>
  <c r="AG60" i="11" s="1"/>
  <c r="AG61" i="11" s="1"/>
  <c r="AG62" i="11" s="1"/>
  <c r="AG63" i="11" s="1"/>
  <c r="AG64" i="11" s="1"/>
  <c r="AG65" i="11" s="1"/>
  <c r="AG66" i="11" s="1"/>
  <c r="AG67" i="11" s="1"/>
  <c r="AG68" i="11" s="1"/>
  <c r="AG69" i="11" s="1"/>
  <c r="AG70" i="11" s="1"/>
  <c r="AG71" i="11" s="1"/>
  <c r="AG72" i="11" s="1"/>
  <c r="AG73" i="11" s="1"/>
  <c r="AG74" i="11" s="1"/>
  <c r="AG75" i="11" s="1"/>
  <c r="AG76" i="11" s="1"/>
  <c r="AG77" i="11" s="1"/>
  <c r="AG78" i="11" s="1"/>
  <c r="AG79" i="11" s="1"/>
  <c r="AE24" i="11"/>
  <c r="AU24" i="11"/>
  <c r="BN25" i="11"/>
  <c r="BJ25" i="11"/>
  <c r="BL25" i="11" s="1"/>
  <c r="E28" i="11"/>
  <c r="BN30" i="11"/>
  <c r="BJ30" i="11"/>
  <c r="BL30" i="11" s="1"/>
  <c r="AI30" i="7702"/>
  <c r="CZ31" i="11"/>
  <c r="AI27" i="7702"/>
  <c r="BI36" i="11"/>
  <c r="AH33" i="11"/>
  <c r="AI33" i="11" s="1"/>
  <c r="AS33" i="11"/>
  <c r="AT33" i="11" s="1"/>
  <c r="AZ33" i="11" s="1"/>
  <c r="BA33" i="11" s="1"/>
  <c r="E41" i="11"/>
  <c r="DQ42" i="11"/>
  <c r="DM42" i="11"/>
  <c r="M42" i="11"/>
  <c r="V42" i="11"/>
  <c r="W42" i="11" s="1"/>
  <c r="AU49" i="11"/>
  <c r="W9" i="4"/>
  <c r="X9" i="4" s="1"/>
  <c r="AJ8" i="4" s="1"/>
  <c r="S9" i="4"/>
  <c r="T9" i="4" s="1"/>
  <c r="AI8" i="4" s="1"/>
  <c r="O9" i="4"/>
  <c r="P9" i="4" s="1"/>
  <c r="AF8" i="4" s="1"/>
  <c r="W13" i="4"/>
  <c r="X13" i="4" s="1"/>
  <c r="S13" i="4"/>
  <c r="T13" i="4" s="1"/>
  <c r="O13" i="4"/>
  <c r="P13" i="4" s="1"/>
  <c r="Z9" i="11"/>
  <c r="Z10" i="11" s="1"/>
  <c r="Z11" i="11" s="1"/>
  <c r="CG9" i="11"/>
  <c r="CG10" i="11" s="1"/>
  <c r="CG11" i="11" s="1"/>
  <c r="CG12" i="11" s="1"/>
  <c r="CG13" i="11" s="1"/>
  <c r="CG14" i="11" s="1"/>
  <c r="CG15" i="11" s="1"/>
  <c r="CG16" i="11" s="1"/>
  <c r="CG17" i="11" s="1"/>
  <c r="CG18" i="11" s="1"/>
  <c r="CG19" i="11" s="1"/>
  <c r="CG20" i="11" s="1"/>
  <c r="CG21" i="11" s="1"/>
  <c r="CG22" i="11" s="1"/>
  <c r="CG23" i="11" s="1"/>
  <c r="CG24" i="11" s="1"/>
  <c r="CG25" i="11" s="1"/>
  <c r="CG26" i="11" s="1"/>
  <c r="CG27" i="11" s="1"/>
  <c r="CG28" i="11" s="1"/>
  <c r="CG29" i="11" s="1"/>
  <c r="CG30" i="11" s="1"/>
  <c r="CG31" i="11" s="1"/>
  <c r="CG32" i="11" s="1"/>
  <c r="CG33" i="11" s="1"/>
  <c r="CG34" i="11" s="1"/>
  <c r="CG35" i="11" s="1"/>
  <c r="CG36" i="11" s="1"/>
  <c r="CG37" i="11" s="1"/>
  <c r="CG38" i="11" s="1"/>
  <c r="CG39" i="11" s="1"/>
  <c r="CG40" i="11" s="1"/>
  <c r="CG41" i="11" s="1"/>
  <c r="CG42" i="11" s="1"/>
  <c r="CG43" i="11" s="1"/>
  <c r="CG44" i="11" s="1"/>
  <c r="CG45" i="11" s="1"/>
  <c r="CG46" i="11" s="1"/>
  <c r="CG47" i="11" s="1"/>
  <c r="CG48" i="11" s="1"/>
  <c r="CG49" i="11" s="1"/>
  <c r="CG50" i="11" s="1"/>
  <c r="CG51" i="11" s="1"/>
  <c r="CG52" i="11" s="1"/>
  <c r="CG53" i="11" s="1"/>
  <c r="CG54" i="11" s="1"/>
  <c r="CG55" i="11" s="1"/>
  <c r="CG56" i="11" s="1"/>
  <c r="CG57" i="11" s="1"/>
  <c r="CG58" i="11" s="1"/>
  <c r="CG59" i="11" s="1"/>
  <c r="CG60" i="11" s="1"/>
  <c r="CG61" i="11" s="1"/>
  <c r="CG62" i="11" s="1"/>
  <c r="CG63" i="11" s="1"/>
  <c r="CG64" i="11" s="1"/>
  <c r="CG65" i="11" s="1"/>
  <c r="CG66" i="11" s="1"/>
  <c r="CG67" i="11" s="1"/>
  <c r="CG68" i="11" s="1"/>
  <c r="CG69" i="11" s="1"/>
  <c r="CG70" i="11" s="1"/>
  <c r="CG71" i="11" s="1"/>
  <c r="CG72" i="11" s="1"/>
  <c r="CG73" i="11" s="1"/>
  <c r="CG74" i="11" s="1"/>
  <c r="CG75" i="11" s="1"/>
  <c r="CG76" i="11" s="1"/>
  <c r="CG77" i="11" s="1"/>
  <c r="CG78" i="11" s="1"/>
  <c r="CG79" i="11" s="1"/>
  <c r="AE11" i="11"/>
  <c r="AN11" i="11" s="1"/>
  <c r="AO11" i="11" s="1"/>
  <c r="BH11" i="11"/>
  <c r="BN11" i="11" s="1"/>
  <c r="Z12" i="11"/>
  <c r="Z13" i="11" s="1"/>
  <c r="BN12" i="11"/>
  <c r="AE13" i="11"/>
  <c r="AN13" i="11" s="1"/>
  <c r="AO13" i="11" s="1"/>
  <c r="DQ13" i="11"/>
  <c r="DM20" i="11"/>
  <c r="M21" i="11"/>
  <c r="M23" i="11"/>
  <c r="AH24" i="11"/>
  <c r="AI24" i="11" s="1"/>
  <c r="X25" i="11"/>
  <c r="V26" i="11"/>
  <c r="M27" i="11"/>
  <c r="DM27" i="11"/>
  <c r="M28" i="11"/>
  <c r="X29" i="11"/>
  <c r="X30" i="11"/>
  <c r="BJ32" i="11"/>
  <c r="BL32" i="11" s="1"/>
  <c r="BM34" i="11" s="1"/>
  <c r="H8" i="7694" s="1"/>
  <c r="BN32" i="11"/>
  <c r="DQ32" i="11"/>
  <c r="DS31" i="11" s="1"/>
  <c r="M39" i="11"/>
  <c r="AE40" i="11"/>
  <c r="AN40" i="11" s="1"/>
  <c r="AO40" i="11" s="1"/>
  <c r="M41" i="11"/>
  <c r="AH42" i="11"/>
  <c r="AI42" i="11" s="1"/>
  <c r="CM42" i="11"/>
  <c r="CN42" i="11" s="1"/>
  <c r="CY42" i="11"/>
  <c r="BJ43" i="11"/>
  <c r="AE44" i="11"/>
  <c r="AN44" i="11" s="1"/>
  <c r="AO44" i="11" s="1"/>
  <c r="DM44" i="11"/>
  <c r="M45" i="11"/>
  <c r="X45" i="11"/>
  <c r="AE46" i="11"/>
  <c r="AN46" i="11" s="1"/>
  <c r="AO46" i="11" s="1"/>
  <c r="AE47" i="11"/>
  <c r="E48" i="11"/>
  <c r="W48" i="11"/>
  <c r="BN52" i="11"/>
  <c r="BJ52" i="11"/>
  <c r="BL52" i="11" s="1"/>
  <c r="E61" i="11"/>
  <c r="AE61" i="11" s="1"/>
  <c r="AN61" i="11" s="1"/>
  <c r="AO61" i="11" s="1"/>
  <c r="DM64" i="11"/>
  <c r="M64" i="11"/>
  <c r="AU64" i="11" s="1"/>
  <c r="V64" i="11"/>
  <c r="W64" i="11" s="1"/>
  <c r="DM66" i="11"/>
  <c r="M66" i="11"/>
  <c r="AU66" i="11" s="1"/>
  <c r="V66" i="11"/>
  <c r="W66" i="11" s="1"/>
  <c r="M68" i="11"/>
  <c r="AU68" i="11" s="1"/>
  <c r="V68" i="11"/>
  <c r="W68" i="11" s="1"/>
  <c r="DQ68" i="11"/>
  <c r="V72" i="11"/>
  <c r="W72" i="11" s="1"/>
  <c r="M72" i="11"/>
  <c r="AU72" i="11" s="1"/>
  <c r="X72" i="11"/>
  <c r="E73" i="11"/>
  <c r="AE73" i="11" s="1"/>
  <c r="AN73" i="11" s="1"/>
  <c r="AO73" i="11" s="1"/>
  <c r="BO75" i="11"/>
  <c r="T11" i="7649"/>
  <c r="J15" i="7649"/>
  <c r="I15" i="7649" s="1"/>
  <c r="M15" i="7649"/>
  <c r="T21" i="7649"/>
  <c r="T34" i="7649"/>
  <c r="S11" i="4"/>
  <c r="T11" i="4" s="1"/>
  <c r="N12" i="4"/>
  <c r="N13" i="4" s="1"/>
  <c r="N14" i="4" s="1"/>
  <c r="N15" i="4" s="1"/>
  <c r="T8" i="11"/>
  <c r="AE12" i="11"/>
  <c r="AH12" i="11" s="1"/>
  <c r="AI12" i="11" s="1"/>
  <c r="M13" i="11"/>
  <c r="BI13" i="11"/>
  <c r="V14" i="11"/>
  <c r="Z14" i="11"/>
  <c r="Z15" i="11" s="1"/>
  <c r="Z16" i="11" s="1"/>
  <c r="Z17" i="11" s="1"/>
  <c r="Z18" i="11" s="1"/>
  <c r="Z19" i="11" s="1"/>
  <c r="Z20" i="11" s="1"/>
  <c r="Z21" i="11" s="1"/>
  <c r="Z22" i="11" s="1"/>
  <c r="Z23" i="11" s="1"/>
  <c r="Z24" i="11" s="1"/>
  <c r="Z25" i="11" s="1"/>
  <c r="Z26" i="11" s="1"/>
  <c r="Z27" i="11" s="1"/>
  <c r="Z28" i="11" s="1"/>
  <c r="Z29" i="11" s="1"/>
  <c r="Z30" i="11" s="1"/>
  <c r="Z31" i="11" s="1"/>
  <c r="Z32" i="11" s="1"/>
  <c r="Z33" i="11" s="1"/>
  <c r="Z34" i="11" s="1"/>
  <c r="Z35" i="11" s="1"/>
  <c r="Z36" i="11" s="1"/>
  <c r="Z37" i="11" s="1"/>
  <c r="Z38" i="11" s="1"/>
  <c r="Z39" i="11" s="1"/>
  <c r="Z40" i="11" s="1"/>
  <c r="Z41" i="11" s="1"/>
  <c r="Z42" i="11" s="1"/>
  <c r="Z43" i="11" s="1"/>
  <c r="Z44" i="11" s="1"/>
  <c r="Z45" i="11" s="1"/>
  <c r="Z46" i="11" s="1"/>
  <c r="Z47" i="11" s="1"/>
  <c r="Z48" i="11" s="1"/>
  <c r="Z49" i="11" s="1"/>
  <c r="Z50" i="11" s="1"/>
  <c r="Z51" i="11" s="1"/>
  <c r="Z52" i="11" s="1"/>
  <c r="Z53" i="11" s="1"/>
  <c r="Z54" i="11" s="1"/>
  <c r="Z55" i="11" s="1"/>
  <c r="Z56" i="11" s="1"/>
  <c r="Z57" i="11" s="1"/>
  <c r="Z58" i="11" s="1"/>
  <c r="Z59" i="11" s="1"/>
  <c r="Z60" i="11" s="1"/>
  <c r="Z61" i="11" s="1"/>
  <c r="Z62" i="11" s="1"/>
  <c r="Z63" i="11" s="1"/>
  <c r="Z64" i="11" s="1"/>
  <c r="Z65" i="11" s="1"/>
  <c r="Z66" i="11" s="1"/>
  <c r="Z67" i="11" s="1"/>
  <c r="Z68" i="11" s="1"/>
  <c r="Z69" i="11" s="1"/>
  <c r="Z70" i="11" s="1"/>
  <c r="Z71" i="11" s="1"/>
  <c r="Z72" i="11" s="1"/>
  <c r="Z73" i="11" s="1"/>
  <c r="Z74" i="11" s="1"/>
  <c r="Z75" i="11" s="1"/>
  <c r="Z76" i="11" s="1"/>
  <c r="Z77" i="11" s="1"/>
  <c r="Z78" i="11" s="1"/>
  <c r="Z79" i="11" s="1"/>
  <c r="CF14" i="11"/>
  <c r="CI14" i="11" s="1"/>
  <c r="E15" i="11"/>
  <c r="M15" i="11"/>
  <c r="X15" i="11"/>
  <c r="DM15" i="11"/>
  <c r="E16" i="11"/>
  <c r="AE17" i="11" s="1"/>
  <c r="AH17" i="11" s="1"/>
  <c r="AI17" i="11" s="1"/>
  <c r="T17" i="11" s="1"/>
  <c r="M16" i="11"/>
  <c r="X16" i="11"/>
  <c r="E18" i="11"/>
  <c r="AE19" i="11" s="1"/>
  <c r="M18" i="11"/>
  <c r="X18" i="11"/>
  <c r="E20" i="11"/>
  <c r="M20" i="11"/>
  <c r="X20" i="11"/>
  <c r="E25" i="11"/>
  <c r="M25" i="11"/>
  <c r="V28" i="11"/>
  <c r="E29" i="11"/>
  <c r="M29" i="11"/>
  <c r="DM29" i="11"/>
  <c r="E30" i="11"/>
  <c r="M30" i="11"/>
  <c r="DM30" i="11"/>
  <c r="E31" i="11"/>
  <c r="M31" i="11"/>
  <c r="X31" i="11"/>
  <c r="DM31" i="11"/>
  <c r="AE34" i="11"/>
  <c r="AH34" i="11" s="1"/>
  <c r="AI34" i="11" s="1"/>
  <c r="AE35" i="11"/>
  <c r="AH35" i="11" s="1"/>
  <c r="AI35" i="11" s="1"/>
  <c r="E36" i="11"/>
  <c r="M36" i="11"/>
  <c r="X36" i="11"/>
  <c r="DM36" i="11"/>
  <c r="E37" i="11"/>
  <c r="AE38" i="11" s="1"/>
  <c r="M37" i="11"/>
  <c r="X37" i="11"/>
  <c r="AE42" i="11"/>
  <c r="M44" i="11"/>
  <c r="X44" i="11"/>
  <c r="AH46" i="11"/>
  <c r="AI46" i="11" s="1"/>
  <c r="AU46" i="11"/>
  <c r="DQ47" i="11"/>
  <c r="DM47" i="11"/>
  <c r="V47" i="11"/>
  <c r="AH47" i="11"/>
  <c r="AI47" i="11" s="1"/>
  <c r="T47" i="11" s="1"/>
  <c r="L49" i="11"/>
  <c r="V49" i="11"/>
  <c r="W49" i="11" s="1"/>
  <c r="W50" i="11"/>
  <c r="BN54" i="11"/>
  <c r="BJ54" i="11"/>
  <c r="BL54" i="11" s="1"/>
  <c r="M55" i="11"/>
  <c r="AU55" i="11" s="1"/>
  <c r="V55" i="11"/>
  <c r="W55" i="11" s="1"/>
  <c r="E56" i="11"/>
  <c r="AE57" i="11" s="1"/>
  <c r="X56" i="11"/>
  <c r="DK58" i="11"/>
  <c r="DJ58" i="11"/>
  <c r="AJ8" i="7702" s="1"/>
  <c r="L64" i="11"/>
  <c r="L66" i="11"/>
  <c r="L68" i="11"/>
  <c r="DQ71" i="11"/>
  <c r="M71" i="11"/>
  <c r="AU71" i="11" s="1"/>
  <c r="DM71" i="11"/>
  <c r="V71" i="11"/>
  <c r="W71" i="11" s="1"/>
  <c r="L72" i="11"/>
  <c r="AP72" i="11"/>
  <c r="AW72" i="11"/>
  <c r="AX72" i="11" s="1"/>
  <c r="AN75" i="11"/>
  <c r="AO75" i="11" s="1"/>
  <c r="AN76" i="11"/>
  <c r="AO76" i="11" s="1"/>
  <c r="AN78" i="11"/>
  <c r="AO78" i="11" s="1"/>
  <c r="AN79" i="11"/>
  <c r="AO79" i="11" s="1"/>
  <c r="DI42" i="11"/>
  <c r="BN45" i="11"/>
  <c r="BJ45" i="11"/>
  <c r="X58" i="11"/>
  <c r="W58" i="11"/>
  <c r="X59" i="11"/>
  <c r="BN61" i="11"/>
  <c r="BJ61" i="11"/>
  <c r="BL61" i="11" s="1"/>
  <c r="DM65" i="11"/>
  <c r="M65" i="11"/>
  <c r="AU65" i="11" s="1"/>
  <c r="V65" i="11"/>
  <c r="W65" i="11" s="1"/>
  <c r="DM67" i="11"/>
  <c r="M67" i="11"/>
  <c r="AU67" i="11" s="1"/>
  <c r="V67" i="11"/>
  <c r="W67" i="11" s="1"/>
  <c r="DK68" i="11"/>
  <c r="DJ68" i="11"/>
  <c r="AL8" i="7702" s="1"/>
  <c r="AQ8" i="7702" s="1"/>
  <c r="DM70" i="11"/>
  <c r="DO68" i="11" s="1"/>
  <c r="M70" i="11"/>
  <c r="AU70" i="11" s="1"/>
  <c r="V70" i="11"/>
  <c r="W70" i="11" s="1"/>
  <c r="AS72" i="11"/>
  <c r="AT72" i="11" s="1"/>
  <c r="AZ72" i="11" s="1"/>
  <c r="BA72" i="11" s="1"/>
  <c r="F10" i="7649"/>
  <c r="X10" i="7649" s="1"/>
  <c r="F11" i="7649"/>
  <c r="T17" i="7649"/>
  <c r="T25" i="7649"/>
  <c r="AE21" i="4"/>
  <c r="AB21" i="4" s="1"/>
  <c r="AE20" i="4"/>
  <c r="AB20" i="4" s="1"/>
  <c r="F16" i="4"/>
  <c r="S16" i="4" s="1"/>
  <c r="T16" i="4" s="1"/>
  <c r="F15" i="4"/>
  <c r="V51" i="11"/>
  <c r="W51" i="11" s="1"/>
  <c r="V53" i="11"/>
  <c r="W53" i="11" s="1"/>
  <c r="V57" i="11"/>
  <c r="W57" i="11" s="1"/>
  <c r="DM60" i="11"/>
  <c r="BI61" i="11"/>
  <c r="D10" i="7694" s="1"/>
  <c r="AL30" i="7702"/>
  <c r="H4" i="7649"/>
  <c r="J3" i="7649"/>
  <c r="I3" i="7649" s="1"/>
  <c r="X13" i="7649"/>
  <c r="F17" i="7649"/>
  <c r="F16" i="7649"/>
  <c r="V16" i="7649" s="1"/>
  <c r="M19" i="7649"/>
  <c r="J19" i="7649"/>
  <c r="I19" i="7649" s="1"/>
  <c r="F21" i="7649"/>
  <c r="F20" i="7649"/>
  <c r="X20" i="7649" s="1"/>
  <c r="M23" i="7649"/>
  <c r="J23" i="7649"/>
  <c r="I23" i="7649" s="1"/>
  <c r="F25" i="7649"/>
  <c r="F24" i="7649"/>
  <c r="V24" i="7649" s="1"/>
  <c r="M27" i="7649"/>
  <c r="J27" i="7649"/>
  <c r="I27" i="7649" s="1"/>
  <c r="M30" i="7649"/>
  <c r="J30" i="7649"/>
  <c r="I30" i="7649" s="1"/>
  <c r="AE10" i="4"/>
  <c r="AB10" i="4" s="1"/>
  <c r="F10" i="4"/>
  <c r="F12" i="4"/>
  <c r="O12" i="4" s="1"/>
  <c r="P12" i="4" s="1"/>
  <c r="AE13" i="4"/>
  <c r="AB13" i="4" s="1"/>
  <c r="F11" i="4"/>
  <c r="W11" i="4" s="1"/>
  <c r="X11" i="4" s="1"/>
  <c r="AE12" i="4"/>
  <c r="AB12" i="4" s="1"/>
  <c r="R12" i="4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O15" i="4"/>
  <c r="P15" i="4" s="1"/>
  <c r="W15" i="4"/>
  <c r="X15" i="4" s="1"/>
  <c r="W18" i="4"/>
  <c r="X18" i="4" s="1"/>
  <c r="S18" i="4"/>
  <c r="T18" i="4" s="1"/>
  <c r="O18" i="4"/>
  <c r="P18" i="4" s="1"/>
  <c r="AE33" i="4"/>
  <c r="AB33" i="4" s="1"/>
  <c r="AE32" i="4"/>
  <c r="AB32" i="4" s="1"/>
  <c r="F21" i="4"/>
  <c r="AE45" i="4"/>
  <c r="AB45" i="4" s="1"/>
  <c r="AE44" i="4"/>
  <c r="AB44" i="4" s="1"/>
  <c r="F27" i="4"/>
  <c r="AE53" i="4"/>
  <c r="AB53" i="4" s="1"/>
  <c r="AE52" i="4"/>
  <c r="AB52" i="4" s="1"/>
  <c r="F31" i="4"/>
  <c r="AE61" i="4"/>
  <c r="AB61" i="4" s="1"/>
  <c r="AE60" i="4"/>
  <c r="AB60" i="4" s="1"/>
  <c r="F35" i="4"/>
  <c r="AE69" i="4"/>
  <c r="AB69" i="4" s="1"/>
  <c r="AE68" i="4"/>
  <c r="AB68" i="4" s="1"/>
  <c r="F39" i="4"/>
  <c r="AE77" i="4"/>
  <c r="AB77" i="4" s="1"/>
  <c r="AE76" i="4"/>
  <c r="AB76" i="4" s="1"/>
  <c r="F43" i="4"/>
  <c r="AE85" i="4"/>
  <c r="AB85" i="4" s="1"/>
  <c r="AE84" i="4"/>
  <c r="AB84" i="4" s="1"/>
  <c r="F47" i="4"/>
  <c r="AE93" i="4"/>
  <c r="AB93" i="4" s="1"/>
  <c r="AE92" i="4"/>
  <c r="AB92" i="4" s="1"/>
  <c r="F51" i="4"/>
  <c r="AE101" i="4"/>
  <c r="AB101" i="4" s="1"/>
  <c r="AE100" i="4"/>
  <c r="AB100" i="4" s="1"/>
  <c r="F55" i="4"/>
  <c r="AE109" i="4"/>
  <c r="AB109" i="4" s="1"/>
  <c r="AE108" i="4"/>
  <c r="AB108" i="4" s="1"/>
  <c r="F59" i="4"/>
  <c r="M48" i="11"/>
  <c r="E50" i="11"/>
  <c r="AE50" i="11" s="1"/>
  <c r="AN50" i="11" s="1"/>
  <c r="AO50" i="11" s="1"/>
  <c r="M50" i="11"/>
  <c r="AU50" i="11" s="1"/>
  <c r="E52" i="11"/>
  <c r="AE52" i="11" s="1"/>
  <c r="AN52" i="11" s="1"/>
  <c r="AO52" i="11" s="1"/>
  <c r="M52" i="11"/>
  <c r="AU52" i="11" s="1"/>
  <c r="E54" i="11"/>
  <c r="AE54" i="11" s="1"/>
  <c r="AN54" i="11" s="1"/>
  <c r="AO54" i="11" s="1"/>
  <c r="M54" i="11"/>
  <c r="AU54" i="11" s="1"/>
  <c r="BZ56" i="11"/>
  <c r="E58" i="11"/>
  <c r="AE58" i="11" s="1"/>
  <c r="AH58" i="11" s="1"/>
  <c r="AI58" i="11" s="1"/>
  <c r="BJ58" i="11"/>
  <c r="BL58" i="11" s="1"/>
  <c r="E59" i="11"/>
  <c r="AE59" i="11" s="1"/>
  <c r="AH59" i="11" s="1"/>
  <c r="AI59" i="11" s="1"/>
  <c r="T59" i="11" s="1"/>
  <c r="M59" i="11"/>
  <c r="AU59" i="11" s="1"/>
  <c r="V60" i="11"/>
  <c r="DM61" i="11"/>
  <c r="E62" i="11"/>
  <c r="AE62" i="11" s="1"/>
  <c r="AH62" i="11" s="1"/>
  <c r="AI62" i="11" s="1"/>
  <c r="T62" i="11" s="1"/>
  <c r="M62" i="11"/>
  <c r="AU62" i="11" s="1"/>
  <c r="V63" i="11"/>
  <c r="E69" i="11"/>
  <c r="M69" i="11"/>
  <c r="AU69" i="11" s="1"/>
  <c r="X69" i="11"/>
  <c r="BI69" i="11"/>
  <c r="X78" i="11"/>
  <c r="X79" i="11"/>
  <c r="AK29" i="7702"/>
  <c r="V4" i="7702"/>
  <c r="M3" i="7649"/>
  <c r="F5" i="7649"/>
  <c r="F9" i="7649"/>
  <c r="V10" i="7649"/>
  <c r="X11" i="7649"/>
  <c r="M13" i="7649"/>
  <c r="T15" i="7649"/>
  <c r="T19" i="7649"/>
  <c r="T23" i="7649"/>
  <c r="T27" i="7649"/>
  <c r="T30" i="7649"/>
  <c r="F34" i="7649"/>
  <c r="F33" i="7649"/>
  <c r="V33" i="7649" s="1"/>
  <c r="O11" i="4"/>
  <c r="P11" i="4" s="1"/>
  <c r="V12" i="4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V47" i="4" s="1"/>
  <c r="V48" i="4" s="1"/>
  <c r="V49" i="4" s="1"/>
  <c r="V50" i="4" s="1"/>
  <c r="V51" i="4" s="1"/>
  <c r="V52" i="4" s="1"/>
  <c r="V53" i="4" s="1"/>
  <c r="V54" i="4" s="1"/>
  <c r="V55" i="4" s="1"/>
  <c r="V56" i="4" s="1"/>
  <c r="V57" i="4" s="1"/>
  <c r="V58" i="4" s="1"/>
  <c r="V59" i="4" s="1"/>
  <c r="V60" i="4" s="1"/>
  <c r="V61" i="4" s="1"/>
  <c r="V62" i="4" s="1"/>
  <c r="AE19" i="4"/>
  <c r="AB19" i="4" s="1"/>
  <c r="AE18" i="4"/>
  <c r="AB18" i="4" s="1"/>
  <c r="F14" i="4"/>
  <c r="AE35" i="4"/>
  <c r="AB35" i="4" s="1"/>
  <c r="AE34" i="4"/>
  <c r="AB34" i="4" s="1"/>
  <c r="F22" i="4"/>
  <c r="AE39" i="4"/>
  <c r="AB39" i="4" s="1"/>
  <c r="AE38" i="4"/>
  <c r="AB38" i="4" s="1"/>
  <c r="F24" i="4"/>
  <c r="AE47" i="4"/>
  <c r="AB47" i="4" s="1"/>
  <c r="AE46" i="4"/>
  <c r="AB46" i="4" s="1"/>
  <c r="F28" i="4"/>
  <c r="AE55" i="4"/>
  <c r="AB55" i="4" s="1"/>
  <c r="AE54" i="4"/>
  <c r="AB54" i="4" s="1"/>
  <c r="F32" i="4"/>
  <c r="AE62" i="4"/>
  <c r="AB62" i="4" s="1"/>
  <c r="F36" i="4"/>
  <c r="AE70" i="4"/>
  <c r="AB70" i="4" s="1"/>
  <c r="F40" i="4"/>
  <c r="AE78" i="4"/>
  <c r="AB78" i="4" s="1"/>
  <c r="F44" i="4"/>
  <c r="AE86" i="4"/>
  <c r="AB86" i="4" s="1"/>
  <c r="F48" i="4"/>
  <c r="AE94" i="4"/>
  <c r="AB94" i="4" s="1"/>
  <c r="F52" i="4"/>
  <c r="AE102" i="4"/>
  <c r="AB102" i="4" s="1"/>
  <c r="F56" i="4"/>
  <c r="AE110" i="4"/>
  <c r="AB110" i="4" s="1"/>
  <c r="F60" i="4"/>
  <c r="AE71" i="4"/>
  <c r="AB71" i="4" s="1"/>
  <c r="AE87" i="4"/>
  <c r="AB87" i="4" s="1"/>
  <c r="AE103" i="4"/>
  <c r="AB103" i="4" s="1"/>
  <c r="E55" i="11"/>
  <c r="BH56" i="11"/>
  <c r="CZ58" i="11"/>
  <c r="BJ59" i="11"/>
  <c r="BL59" i="11" s="1"/>
  <c r="V61" i="11"/>
  <c r="E64" i="11"/>
  <c r="AE64" i="11" s="1"/>
  <c r="E65" i="11"/>
  <c r="E66" i="11"/>
  <c r="E67" i="11"/>
  <c r="E68" i="11"/>
  <c r="BJ68" i="11"/>
  <c r="BL68" i="11" s="1"/>
  <c r="BJ69" i="11"/>
  <c r="BL69" i="11" s="1"/>
  <c r="E70" i="11"/>
  <c r="AE71" i="11" s="1"/>
  <c r="AN71" i="11" s="1"/>
  <c r="AO71" i="11" s="1"/>
  <c r="AH72" i="11"/>
  <c r="AI72" i="11" s="1"/>
  <c r="U3" i="7649"/>
  <c r="U4" i="7649" s="1"/>
  <c r="U5" i="7649" s="1"/>
  <c r="U6" i="7649" s="1"/>
  <c r="U7" i="7649" s="1"/>
  <c r="U8" i="7649" s="1"/>
  <c r="U9" i="7649" s="1"/>
  <c r="U10" i="7649" s="1"/>
  <c r="U11" i="7649" s="1"/>
  <c r="U12" i="7649" s="1"/>
  <c r="U13" i="7649" s="1"/>
  <c r="U14" i="7649" s="1"/>
  <c r="U15" i="7649" s="1"/>
  <c r="U16" i="7649" s="1"/>
  <c r="U17" i="7649" s="1"/>
  <c r="U18" i="7649" s="1"/>
  <c r="U19" i="7649" s="1"/>
  <c r="U20" i="7649" s="1"/>
  <c r="U21" i="7649" s="1"/>
  <c r="U22" i="7649" s="1"/>
  <c r="U23" i="7649" s="1"/>
  <c r="U24" i="7649" s="1"/>
  <c r="U25" i="7649" s="1"/>
  <c r="U26" i="7649" s="1"/>
  <c r="U27" i="7649" s="1"/>
  <c r="U28" i="7649" s="1"/>
  <c r="U29" i="7649" s="1"/>
  <c r="U30" i="7649" s="1"/>
  <c r="U31" i="7649" s="1"/>
  <c r="U32" i="7649" s="1"/>
  <c r="U33" i="7649" s="1"/>
  <c r="U34" i="7649" s="1"/>
  <c r="T3" i="7649"/>
  <c r="V3" i="7649" s="1"/>
  <c r="T13" i="7649"/>
  <c r="V13" i="7649" s="1"/>
  <c r="F15" i="7649"/>
  <c r="M17" i="7649"/>
  <c r="J17" i="7649"/>
  <c r="I17" i="7649" s="1"/>
  <c r="F19" i="7649"/>
  <c r="F18" i="7649"/>
  <c r="X18" i="7649" s="1"/>
  <c r="V18" i="7649"/>
  <c r="M21" i="7649"/>
  <c r="J21" i="7649"/>
  <c r="I21" i="7649" s="1"/>
  <c r="F23" i="7649"/>
  <c r="F22" i="7649"/>
  <c r="X22" i="7649" s="1"/>
  <c r="X24" i="7649"/>
  <c r="M25" i="7649"/>
  <c r="J25" i="7649"/>
  <c r="I25" i="7649" s="1"/>
  <c r="F27" i="7649"/>
  <c r="F26" i="7649"/>
  <c r="X26" i="7649" s="1"/>
  <c r="F30" i="7649"/>
  <c r="F29" i="7649"/>
  <c r="X29" i="7649" s="1"/>
  <c r="V29" i="7649"/>
  <c r="V32" i="7649"/>
  <c r="M34" i="7649"/>
  <c r="J34" i="7649"/>
  <c r="I34" i="7649" s="1"/>
  <c r="S15" i="4"/>
  <c r="T15" i="4" s="1"/>
  <c r="N16" i="4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W17" i="4"/>
  <c r="X17" i="4" s="1"/>
  <c r="S17" i="4"/>
  <c r="T17" i="4" s="1"/>
  <c r="O17" i="4"/>
  <c r="P17" i="4" s="1"/>
  <c r="AE29" i="4"/>
  <c r="AB29" i="4" s="1"/>
  <c r="AE28" i="4"/>
  <c r="AB28" i="4" s="1"/>
  <c r="F19" i="4"/>
  <c r="AE41" i="4"/>
  <c r="AB41" i="4" s="1"/>
  <c r="AE40" i="4"/>
  <c r="AB40" i="4" s="1"/>
  <c r="F25" i="4"/>
  <c r="AE49" i="4"/>
  <c r="AB49" i="4" s="1"/>
  <c r="AE48" i="4"/>
  <c r="AB48" i="4" s="1"/>
  <c r="F29" i="4"/>
  <c r="AE57" i="4"/>
  <c r="AB57" i="4" s="1"/>
  <c r="AE56" i="4"/>
  <c r="AB56" i="4" s="1"/>
  <c r="F33" i="4"/>
  <c r="AE65" i="4"/>
  <c r="AB65" i="4" s="1"/>
  <c r="AE64" i="4"/>
  <c r="AB64" i="4" s="1"/>
  <c r="F37" i="4"/>
  <c r="AE73" i="4"/>
  <c r="AB73" i="4" s="1"/>
  <c r="AE72" i="4"/>
  <c r="AB72" i="4" s="1"/>
  <c r="F41" i="4"/>
  <c r="AE81" i="4"/>
  <c r="AB81" i="4" s="1"/>
  <c r="AE80" i="4"/>
  <c r="AB80" i="4" s="1"/>
  <c r="F45" i="4"/>
  <c r="AE89" i="4"/>
  <c r="AB89" i="4" s="1"/>
  <c r="AE88" i="4"/>
  <c r="AB88" i="4" s="1"/>
  <c r="F49" i="4"/>
  <c r="AE97" i="4"/>
  <c r="AB97" i="4" s="1"/>
  <c r="AE96" i="4"/>
  <c r="AB96" i="4" s="1"/>
  <c r="F53" i="4"/>
  <c r="AE105" i="4"/>
  <c r="AB105" i="4" s="1"/>
  <c r="AE104" i="4"/>
  <c r="AB104" i="4" s="1"/>
  <c r="F57" i="4"/>
  <c r="AE113" i="4"/>
  <c r="AB113" i="4" s="1"/>
  <c r="AE112" i="4"/>
  <c r="AB112" i="4" s="1"/>
  <c r="F61" i="4"/>
  <c r="J33" i="7649"/>
  <c r="I33" i="7649" s="1"/>
  <c r="X33" i="7649" s="1"/>
  <c r="AE8" i="4"/>
  <c r="AB8" i="4" s="1"/>
  <c r="AE16" i="4"/>
  <c r="AB16" i="4" s="1"/>
  <c r="AE24" i="4"/>
  <c r="AB24" i="4" s="1"/>
  <c r="AE26" i="4"/>
  <c r="AB26" i="4" s="1"/>
  <c r="O16" i="4" l="1"/>
  <c r="P16" i="4" s="1"/>
  <c r="V26" i="7649"/>
  <c r="X16" i="7649"/>
  <c r="BM71" i="11"/>
  <c r="H11" i="7694" s="1"/>
  <c r="AE65" i="11"/>
  <c r="AN65" i="11" s="1"/>
  <c r="AO65" i="11" s="1"/>
  <c r="V15" i="7649"/>
  <c r="X30" i="7649"/>
  <c r="V20" i="7649"/>
  <c r="DO58" i="11"/>
  <c r="BL45" i="11"/>
  <c r="X68" i="11"/>
  <c r="BM43" i="11"/>
  <c r="G9" i="7694" s="1"/>
  <c r="BL43" i="11"/>
  <c r="BM45" i="11" s="1"/>
  <c r="H9" i="7694" s="1"/>
  <c r="BN28" i="11"/>
  <c r="BJ28" i="11"/>
  <c r="BL28" i="11" s="1"/>
  <c r="BL12" i="11"/>
  <c r="BK13" i="11"/>
  <c r="E7" i="7694" s="1"/>
  <c r="AE67" i="11"/>
  <c r="AE55" i="11"/>
  <c r="AE69" i="11"/>
  <c r="AH69" i="11" s="1"/>
  <c r="AI69" i="11" s="1"/>
  <c r="T69" i="11" s="1"/>
  <c r="W16" i="4"/>
  <c r="X16" i="4" s="1"/>
  <c r="X57" i="11"/>
  <c r="AJ15" i="7702"/>
  <c r="AJ16" i="7702" s="1"/>
  <c r="C10" i="7694"/>
  <c r="AK30" i="7702"/>
  <c r="CZ12" i="11"/>
  <c r="AI15" i="7702"/>
  <c r="AI16" i="7702" s="1"/>
  <c r="C8" i="7694"/>
  <c r="AL15" i="7702"/>
  <c r="AL16" i="7702" s="1"/>
  <c r="C11" i="7694"/>
  <c r="BM61" i="11"/>
  <c r="H10" i="7694" s="1"/>
  <c r="X65" i="11"/>
  <c r="X51" i="11"/>
  <c r="AK15" i="7702"/>
  <c r="AK16" i="7702" s="1"/>
  <c r="C7" i="7694"/>
  <c r="X66" i="11"/>
  <c r="AH52" i="11"/>
  <c r="AI52" i="11" s="1"/>
  <c r="X10" i="11"/>
  <c r="X34" i="11"/>
  <c r="X11" i="11"/>
  <c r="AH15" i="7702"/>
  <c r="AH16" i="7702" s="1"/>
  <c r="C9" i="7694"/>
  <c r="X8" i="11"/>
  <c r="AW71" i="11"/>
  <c r="AX71" i="11" s="1"/>
  <c r="AP71" i="11"/>
  <c r="DA71" i="11" s="1"/>
  <c r="AW65" i="11"/>
  <c r="AX65" i="11" s="1"/>
  <c r="AP65" i="11"/>
  <c r="DA65" i="11" s="1"/>
  <c r="AI22" i="4"/>
  <c r="AI21" i="4"/>
  <c r="AJ35" i="11"/>
  <c r="AK35" i="11"/>
  <c r="T35" i="11"/>
  <c r="AW44" i="11"/>
  <c r="AP44" i="11"/>
  <c r="AW13" i="11"/>
  <c r="AP13" i="11"/>
  <c r="DA13" i="11" s="1"/>
  <c r="AS38" i="11"/>
  <c r="AT38" i="11" s="1"/>
  <c r="AZ38" i="11" s="1"/>
  <c r="AH38" i="11"/>
  <c r="AI38" i="11" s="1"/>
  <c r="AN38" i="11"/>
  <c r="AO38" i="11" s="1"/>
  <c r="AW73" i="11"/>
  <c r="AX73" i="11" s="1"/>
  <c r="AP73" i="11"/>
  <c r="AF13" i="4"/>
  <c r="AF14" i="4"/>
  <c r="AJ34" i="11"/>
  <c r="AK34" i="11"/>
  <c r="T34" i="11"/>
  <c r="AF24" i="4"/>
  <c r="AF23" i="4"/>
  <c r="AP50" i="11"/>
  <c r="DA50" i="11" s="1"/>
  <c r="AW50" i="11"/>
  <c r="AX50" i="11" s="1"/>
  <c r="W51" i="4"/>
  <c r="X51" i="4" s="1"/>
  <c r="O51" i="4"/>
  <c r="P51" i="4" s="1"/>
  <c r="S51" i="4"/>
  <c r="T51" i="4" s="1"/>
  <c r="W35" i="4"/>
  <c r="X35" i="4" s="1"/>
  <c r="O35" i="4"/>
  <c r="P35" i="4" s="1"/>
  <c r="S35" i="4"/>
  <c r="T35" i="4" s="1"/>
  <c r="Y3" i="7649"/>
  <c r="X3" i="7649"/>
  <c r="AJ42" i="11"/>
  <c r="AK42" i="11"/>
  <c r="AJ12" i="11"/>
  <c r="AK12" i="11"/>
  <c r="AJ15" i="4"/>
  <c r="AJ16" i="4"/>
  <c r="BK43" i="11"/>
  <c r="E9" i="7694" s="1"/>
  <c r="AU11" i="11"/>
  <c r="AK20" i="7702"/>
  <c r="DL12" i="11"/>
  <c r="DS12" i="11"/>
  <c r="DR12" i="11"/>
  <c r="W58" i="4"/>
  <c r="X58" i="4" s="1"/>
  <c r="O58" i="4"/>
  <c r="P58" i="4" s="1"/>
  <c r="S58" i="4"/>
  <c r="T58" i="4" s="1"/>
  <c r="S53" i="4"/>
  <c r="T53" i="4" s="1"/>
  <c r="W53" i="4"/>
  <c r="X53" i="4" s="1"/>
  <c r="O53" i="4"/>
  <c r="P53" i="4" s="1"/>
  <c r="S37" i="4"/>
  <c r="T37" i="4" s="1"/>
  <c r="W37" i="4"/>
  <c r="X37" i="4" s="1"/>
  <c r="O37" i="4"/>
  <c r="P37" i="4" s="1"/>
  <c r="S19" i="4"/>
  <c r="T19" i="4" s="1"/>
  <c r="W19" i="4"/>
  <c r="X19" i="4" s="1"/>
  <c r="O19" i="4"/>
  <c r="P19" i="4" s="1"/>
  <c r="AI24" i="4"/>
  <c r="AI23" i="4"/>
  <c r="AI20" i="4"/>
  <c r="AI19" i="4"/>
  <c r="X21" i="7649"/>
  <c r="BK71" i="11"/>
  <c r="F11" i="7694" s="1"/>
  <c r="BK69" i="11"/>
  <c r="E11" i="7694" s="1"/>
  <c r="S60" i="4"/>
  <c r="T60" i="4" s="1"/>
  <c r="O60" i="4"/>
  <c r="P60" i="4" s="1"/>
  <c r="W60" i="4"/>
  <c r="X60" i="4" s="1"/>
  <c r="S52" i="4"/>
  <c r="T52" i="4" s="1"/>
  <c r="O52" i="4"/>
  <c r="P52" i="4" s="1"/>
  <c r="W52" i="4"/>
  <c r="X52" i="4" s="1"/>
  <c r="S44" i="4"/>
  <c r="T44" i="4" s="1"/>
  <c r="O44" i="4"/>
  <c r="P44" i="4" s="1"/>
  <c r="W44" i="4"/>
  <c r="X44" i="4" s="1"/>
  <c r="S36" i="4"/>
  <c r="T36" i="4" s="1"/>
  <c r="O36" i="4"/>
  <c r="P36" i="4" s="1"/>
  <c r="W36" i="4"/>
  <c r="X36" i="4" s="1"/>
  <c r="S24" i="4"/>
  <c r="T24" i="4" s="1"/>
  <c r="O24" i="4"/>
  <c r="P24" i="4" s="1"/>
  <c r="W24" i="4"/>
  <c r="X24" i="4" s="1"/>
  <c r="AF12" i="4"/>
  <c r="AF11" i="4"/>
  <c r="V30" i="7649"/>
  <c r="V19" i="7649"/>
  <c r="W63" i="11"/>
  <c r="X63" i="11"/>
  <c r="BK61" i="11"/>
  <c r="F10" i="7694" s="1"/>
  <c r="BK59" i="11"/>
  <c r="E10" i="7694" s="1"/>
  <c r="W55" i="4"/>
  <c r="X55" i="4" s="1"/>
  <c r="O55" i="4"/>
  <c r="P55" i="4" s="1"/>
  <c r="S55" i="4"/>
  <c r="T55" i="4" s="1"/>
  <c r="W39" i="4"/>
  <c r="X39" i="4" s="1"/>
  <c r="O39" i="4"/>
  <c r="P39" i="4" s="1"/>
  <c r="S39" i="4"/>
  <c r="T39" i="4" s="1"/>
  <c r="W21" i="4"/>
  <c r="X21" i="4" s="1"/>
  <c r="O21" i="4"/>
  <c r="P21" i="4" s="1"/>
  <c r="S21" i="4"/>
  <c r="T21" i="4" s="1"/>
  <c r="AI26" i="4"/>
  <c r="AI25" i="4"/>
  <c r="AJ20" i="4"/>
  <c r="AJ19" i="4"/>
  <c r="S10" i="4"/>
  <c r="T10" i="4" s="1"/>
  <c r="W10" i="4"/>
  <c r="X10" i="4" s="1"/>
  <c r="O10" i="4"/>
  <c r="P10" i="4" s="1"/>
  <c r="X23" i="7649"/>
  <c r="M4" i="7649"/>
  <c r="H5" i="7649"/>
  <c r="T4" i="7649"/>
  <c r="V4" i="7649" s="1"/>
  <c r="J4" i="7649"/>
  <c r="I4" i="7649" s="1"/>
  <c r="AJ27" i="7702"/>
  <c r="BI63" i="11"/>
  <c r="AN58" i="11"/>
  <c r="AO58" i="11" s="1"/>
  <c r="AE53" i="11"/>
  <c r="X12" i="7649"/>
  <c r="AW76" i="11"/>
  <c r="AX76" i="11" s="1"/>
  <c r="AP76" i="11"/>
  <c r="AH57" i="11"/>
  <c r="AI57" i="11" s="1"/>
  <c r="AS57" i="11"/>
  <c r="AT57" i="11" s="1"/>
  <c r="AZ57" i="11" s="1"/>
  <c r="BA57" i="11" s="1"/>
  <c r="AS54" i="11"/>
  <c r="AT54" i="11" s="1"/>
  <c r="AZ54" i="11" s="1"/>
  <c r="AE51" i="11"/>
  <c r="AN42" i="11"/>
  <c r="AO42" i="11" s="1"/>
  <c r="AS42" i="11"/>
  <c r="AT42" i="11" s="1"/>
  <c r="AZ42" i="11" s="1"/>
  <c r="AE36" i="11"/>
  <c r="DN31" i="11"/>
  <c r="DO31" i="11"/>
  <c r="DP31" i="11" s="1"/>
  <c r="AE29" i="11"/>
  <c r="AN19" i="11"/>
  <c r="AO19" i="11" s="1"/>
  <c r="AS19" i="11"/>
  <c r="AT19" i="11" s="1"/>
  <c r="AZ19" i="11" s="1"/>
  <c r="AE18" i="11"/>
  <c r="AN12" i="11"/>
  <c r="AO12" i="11" s="1"/>
  <c r="AS12" i="11"/>
  <c r="AT12" i="11" s="1"/>
  <c r="AZ12" i="11" s="1"/>
  <c r="V34" i="7649"/>
  <c r="DS68" i="11"/>
  <c r="DR68" i="11"/>
  <c r="AN62" i="11"/>
  <c r="AO62" i="11" s="1"/>
  <c r="AS58" i="11"/>
  <c r="AT58" i="11" s="1"/>
  <c r="AZ58" i="11" s="1"/>
  <c r="BA58" i="11" s="1"/>
  <c r="AE48" i="11"/>
  <c r="AU45" i="11"/>
  <c r="AS40" i="11"/>
  <c r="AT40" i="11" s="1"/>
  <c r="AZ40" i="11" s="1"/>
  <c r="AH40" i="11"/>
  <c r="AI40" i="11" s="1"/>
  <c r="X26" i="11"/>
  <c r="W26" i="11"/>
  <c r="AS11" i="11"/>
  <c r="AT11" i="11" s="1"/>
  <c r="AZ11" i="11" s="1"/>
  <c r="BA11" i="11" s="1"/>
  <c r="AH11" i="11"/>
  <c r="AI11" i="11" s="1"/>
  <c r="T42" i="11"/>
  <c r="AE41" i="11"/>
  <c r="AK33" i="11"/>
  <c r="AJ33" i="11"/>
  <c r="T33" i="11"/>
  <c r="AE28" i="11"/>
  <c r="AU19" i="11"/>
  <c r="W42" i="4"/>
  <c r="X42" i="4" s="1"/>
  <c r="O42" i="4"/>
  <c r="P42" i="4" s="1"/>
  <c r="S42" i="4"/>
  <c r="T42" i="4" s="1"/>
  <c r="AK79" i="11"/>
  <c r="AJ79" i="11"/>
  <c r="AS43" i="11"/>
  <c r="AT43" i="11" s="1"/>
  <c r="AZ43" i="11" s="1"/>
  <c r="BI17" i="11"/>
  <c r="AS10" i="11"/>
  <c r="AT10" i="11" s="1"/>
  <c r="AZ10" i="11" s="1"/>
  <c r="AH10" i="11"/>
  <c r="AI10" i="11" s="1"/>
  <c r="DN68" i="11"/>
  <c r="DP68" i="11" s="1"/>
  <c r="X53" i="11"/>
  <c r="X17" i="11"/>
  <c r="AK78" i="11"/>
  <c r="AJ78" i="11"/>
  <c r="AS77" i="11"/>
  <c r="AT77" i="11" s="1"/>
  <c r="AZ77" i="11" s="1"/>
  <c r="BI73" i="11"/>
  <c r="AN57" i="11"/>
  <c r="AO57" i="11" s="1"/>
  <c r="AE39" i="11"/>
  <c r="X35" i="11"/>
  <c r="AU22" i="11"/>
  <c r="AE9" i="11"/>
  <c r="W23" i="4"/>
  <c r="X23" i="4" s="1"/>
  <c r="O23" i="4"/>
  <c r="P23" i="4" s="1"/>
  <c r="S23" i="4"/>
  <c r="T23" i="4" s="1"/>
  <c r="AF22" i="4"/>
  <c r="AF21" i="4"/>
  <c r="AH67" i="11"/>
  <c r="AI67" i="11" s="1"/>
  <c r="AS67" i="11"/>
  <c r="AT67" i="11" s="1"/>
  <c r="AZ67" i="11" s="1"/>
  <c r="BA67" i="11" s="1"/>
  <c r="S22" i="4"/>
  <c r="T22" i="4" s="1"/>
  <c r="O22" i="4"/>
  <c r="P22" i="4" s="1"/>
  <c r="W22" i="4"/>
  <c r="X22" i="4" s="1"/>
  <c r="V17" i="7649"/>
  <c r="AL20" i="7702"/>
  <c r="DL68" i="11"/>
  <c r="AS62" i="11"/>
  <c r="AT62" i="11" s="1"/>
  <c r="AZ62" i="11" s="1"/>
  <c r="BA62" i="11" s="1"/>
  <c r="AW79" i="11"/>
  <c r="AX79" i="11" s="1"/>
  <c r="AP79" i="11"/>
  <c r="AW75" i="11"/>
  <c r="AP75" i="11"/>
  <c r="AK47" i="11"/>
  <c r="AJ47" i="11"/>
  <c r="AU36" i="11"/>
  <c r="AU29" i="11"/>
  <c r="AE25" i="11"/>
  <c r="AE20" i="11"/>
  <c r="AU18" i="11"/>
  <c r="AE15" i="11"/>
  <c r="AI12" i="4"/>
  <c r="AI11" i="4"/>
  <c r="AH71" i="11"/>
  <c r="AI71" i="11" s="1"/>
  <c r="AS71" i="11"/>
  <c r="AT71" i="11" s="1"/>
  <c r="AZ71" i="11" s="1"/>
  <c r="BA71" i="11" s="1"/>
  <c r="AK52" i="11"/>
  <c r="AJ52" i="11"/>
  <c r="BO52" i="11" s="1"/>
  <c r="T52" i="11"/>
  <c r="AU28" i="11"/>
  <c r="AU23" i="11"/>
  <c r="DS42" i="11"/>
  <c r="DR42" i="11"/>
  <c r="AW11" i="11"/>
  <c r="AP11" i="11"/>
  <c r="DA11" i="11" s="1"/>
  <c r="AE21" i="11"/>
  <c r="W26" i="4"/>
  <c r="X26" i="4" s="1"/>
  <c r="O26" i="4"/>
  <c r="P26" i="4" s="1"/>
  <c r="S26" i="4"/>
  <c r="T26" i="4" s="1"/>
  <c r="BA78" i="11"/>
  <c r="AW40" i="11"/>
  <c r="BF40" i="11" s="1"/>
  <c r="AP40" i="11"/>
  <c r="DA40" i="11" s="1"/>
  <c r="AU38" i="11"/>
  <c r="AK77" i="11"/>
  <c r="AJ77" i="11"/>
  <c r="S57" i="4"/>
  <c r="T57" i="4" s="1"/>
  <c r="W57" i="4"/>
  <c r="X57" i="4" s="1"/>
  <c r="O57" i="4"/>
  <c r="P57" i="4" s="1"/>
  <c r="S41" i="4"/>
  <c r="T41" i="4" s="1"/>
  <c r="W41" i="4"/>
  <c r="X41" i="4" s="1"/>
  <c r="O41" i="4"/>
  <c r="P41" i="4" s="1"/>
  <c r="S25" i="4"/>
  <c r="T25" i="4" s="1"/>
  <c r="W25" i="4"/>
  <c r="X25" i="4" s="1"/>
  <c r="O25" i="4"/>
  <c r="P25" i="4" s="1"/>
  <c r="AJ24" i="4"/>
  <c r="AJ23" i="4"/>
  <c r="X34" i="7649"/>
  <c r="V22" i="7649"/>
  <c r="AE70" i="11"/>
  <c r="AE68" i="11"/>
  <c r="AE66" i="11"/>
  <c r="AH64" i="11"/>
  <c r="AI64" i="11" s="1"/>
  <c r="AS64" i="11"/>
  <c r="AT64" i="11" s="1"/>
  <c r="AZ64" i="11" s="1"/>
  <c r="X61" i="11"/>
  <c r="W61" i="11"/>
  <c r="BN56" i="11"/>
  <c r="BJ56" i="11"/>
  <c r="BL56" i="11" s="1"/>
  <c r="S28" i="4"/>
  <c r="T28" i="4" s="1"/>
  <c r="O28" i="4"/>
  <c r="P28" i="4" s="1"/>
  <c r="W28" i="4"/>
  <c r="X28" i="4" s="1"/>
  <c r="V23" i="7649"/>
  <c r="AK59" i="11"/>
  <c r="AJ59" i="11"/>
  <c r="AP54" i="11"/>
  <c r="DA54" i="11" s="1"/>
  <c r="AW54" i="11"/>
  <c r="W59" i="4"/>
  <c r="X59" i="4" s="1"/>
  <c r="O59" i="4"/>
  <c r="P59" i="4" s="1"/>
  <c r="S59" i="4"/>
  <c r="T59" i="4" s="1"/>
  <c r="W43" i="4"/>
  <c r="X43" i="4" s="1"/>
  <c r="O43" i="4"/>
  <c r="P43" i="4" s="1"/>
  <c r="S43" i="4"/>
  <c r="T43" i="4" s="1"/>
  <c r="W27" i="4"/>
  <c r="X27" i="4" s="1"/>
  <c r="O27" i="4"/>
  <c r="P27" i="4" s="1"/>
  <c r="S27" i="4"/>
  <c r="T27" i="4" s="1"/>
  <c r="AJ26" i="4"/>
  <c r="AJ25" i="4"/>
  <c r="AF20" i="4"/>
  <c r="AF19" i="4"/>
  <c r="V25" i="7649"/>
  <c r="X70" i="11"/>
  <c r="AN67" i="11"/>
  <c r="AO67" i="11" s="1"/>
  <c r="X67" i="11"/>
  <c r="AS61" i="11"/>
  <c r="AT61" i="11" s="1"/>
  <c r="AZ61" i="11" s="1"/>
  <c r="BA61" i="11" s="1"/>
  <c r="DN58" i="11"/>
  <c r="DP58" i="11" s="1"/>
  <c r="AN77" i="11"/>
  <c r="AO77" i="11" s="1"/>
  <c r="BG71" i="11"/>
  <c r="R71" i="11" s="1"/>
  <c r="S71" i="11" s="1"/>
  <c r="BF71" i="11"/>
  <c r="X71" i="11"/>
  <c r="AE56" i="11"/>
  <c r="AH54" i="11"/>
  <c r="AI54" i="11" s="1"/>
  <c r="X49" i="11"/>
  <c r="W47" i="11"/>
  <c r="X47" i="11"/>
  <c r="AN35" i="11"/>
  <c r="AO35" i="11" s="1"/>
  <c r="AS35" i="11"/>
  <c r="AT35" i="11" s="1"/>
  <c r="AZ35" i="11" s="1"/>
  <c r="AU31" i="11"/>
  <c r="W28" i="11"/>
  <c r="X28" i="11"/>
  <c r="AN17" i="11"/>
  <c r="AO17" i="11" s="1"/>
  <c r="AS17" i="11"/>
  <c r="AT17" i="11" s="1"/>
  <c r="AZ17" i="11" s="1"/>
  <c r="AU16" i="11"/>
  <c r="X15" i="7649"/>
  <c r="AP46" i="11"/>
  <c r="DA46" i="11" s="1"/>
  <c r="AW46" i="11"/>
  <c r="AX46" i="11" s="1"/>
  <c r="AU41" i="11"/>
  <c r="AU39" i="11"/>
  <c r="BK32" i="11"/>
  <c r="E8" i="7694" s="1"/>
  <c r="BK34" i="11"/>
  <c r="F8" i="7694" s="1"/>
  <c r="AU27" i="11"/>
  <c r="AJ24" i="11"/>
  <c r="T24" i="11"/>
  <c r="AK24" i="11"/>
  <c r="AH19" i="11"/>
  <c r="AI19" i="11" s="1"/>
  <c r="BO12" i="11"/>
  <c r="AF16" i="4"/>
  <c r="AF15" i="4"/>
  <c r="AN59" i="11"/>
  <c r="AO59" i="11" s="1"/>
  <c r="X42" i="11"/>
  <c r="AP14" i="11"/>
  <c r="DA14" i="11" s="1"/>
  <c r="AW14" i="11"/>
  <c r="AX14" i="11" s="1"/>
  <c r="BX11" i="11"/>
  <c r="BX12" i="11" s="1"/>
  <c r="BX13" i="11" s="1"/>
  <c r="BX14" i="11" s="1"/>
  <c r="BX15" i="11" s="1"/>
  <c r="BX16" i="11" s="1"/>
  <c r="BX17" i="11" s="1"/>
  <c r="BX18" i="11" s="1"/>
  <c r="BX19" i="11" s="1"/>
  <c r="BX20" i="11" s="1"/>
  <c r="BX21" i="11" s="1"/>
  <c r="BX22" i="11" s="1"/>
  <c r="BX23" i="11" s="1"/>
  <c r="BX24" i="11" s="1"/>
  <c r="BX25" i="11" s="1"/>
  <c r="BX26" i="11" s="1"/>
  <c r="BX27" i="11" s="1"/>
  <c r="BX28" i="11" s="1"/>
  <c r="BX29" i="11" s="1"/>
  <c r="BX30" i="11" s="1"/>
  <c r="BX31" i="11" s="1"/>
  <c r="BX32" i="11" s="1"/>
  <c r="BX33" i="11" s="1"/>
  <c r="BX34" i="11" s="1"/>
  <c r="BX35" i="11" s="1"/>
  <c r="BX36" i="11" s="1"/>
  <c r="BX37" i="11" s="1"/>
  <c r="BX38" i="11" s="1"/>
  <c r="BX39" i="11" s="1"/>
  <c r="BX40" i="11" s="1"/>
  <c r="BX41" i="11" s="1"/>
  <c r="BX42" i="11" s="1"/>
  <c r="BX43" i="11" s="1"/>
  <c r="BX44" i="11" s="1"/>
  <c r="BX45" i="11" s="1"/>
  <c r="BX46" i="11" s="1"/>
  <c r="BX47" i="11" s="1"/>
  <c r="BX48" i="11" s="1"/>
  <c r="BX49" i="11" s="1"/>
  <c r="BX50" i="11" s="1"/>
  <c r="BX51" i="11" s="1"/>
  <c r="BX52" i="11" s="1"/>
  <c r="BX53" i="11" s="1"/>
  <c r="BX54" i="11" s="1"/>
  <c r="BX55" i="11" s="1"/>
  <c r="BX56" i="11" s="1"/>
  <c r="BX57" i="11" s="1"/>
  <c r="BX58" i="11" s="1"/>
  <c r="BX59" i="11" s="1"/>
  <c r="BX60" i="11" s="1"/>
  <c r="BX61" i="11" s="1"/>
  <c r="BX62" i="11" s="1"/>
  <c r="BX63" i="11" s="1"/>
  <c r="BX64" i="11" s="1"/>
  <c r="BX65" i="11" s="1"/>
  <c r="BX66" i="11" s="1"/>
  <c r="BX67" i="11" s="1"/>
  <c r="BX68" i="11" s="1"/>
  <c r="BX69" i="11" s="1"/>
  <c r="BX70" i="11" s="1"/>
  <c r="BX71" i="11" s="1"/>
  <c r="BX72" i="11" s="1"/>
  <c r="BX73" i="11" s="1"/>
  <c r="BX74" i="11" s="1"/>
  <c r="BX75" i="11" s="1"/>
  <c r="BX76" i="11" s="1"/>
  <c r="BX77" i="11" s="1"/>
  <c r="BX78" i="11" s="1"/>
  <c r="BX79" i="11" s="1"/>
  <c r="W50" i="4"/>
  <c r="X50" i="4" s="1"/>
  <c r="O50" i="4"/>
  <c r="P50" i="4" s="1"/>
  <c r="S50" i="4"/>
  <c r="T50" i="4" s="1"/>
  <c r="W20" i="4"/>
  <c r="X20" i="4" s="1"/>
  <c r="O20" i="4"/>
  <c r="P20" i="4" s="1"/>
  <c r="S20" i="4"/>
  <c r="T20" i="4" s="1"/>
  <c r="AK76" i="11"/>
  <c r="AJ76" i="11"/>
  <c r="AS14" i="11"/>
  <c r="AT14" i="11" s="1"/>
  <c r="AZ14" i="11" s="1"/>
  <c r="BA14" i="11" s="1"/>
  <c r="DT58" i="11"/>
  <c r="AU12" i="11"/>
  <c r="AU10" i="11"/>
  <c r="W38" i="4"/>
  <c r="X38" i="4" s="1"/>
  <c r="O38" i="4"/>
  <c r="P38" i="4" s="1"/>
  <c r="S38" i="4"/>
  <c r="T38" i="4" s="1"/>
  <c r="AE74" i="11"/>
  <c r="AS76" i="11"/>
  <c r="AT76" i="11" s="1"/>
  <c r="AZ76" i="11" s="1"/>
  <c r="AE45" i="11"/>
  <c r="AU34" i="11"/>
  <c r="DR31" i="11"/>
  <c r="DT31" i="11" s="1"/>
  <c r="DL26" i="11"/>
  <c r="W34" i="4"/>
  <c r="X34" i="4" s="1"/>
  <c r="O34" i="4"/>
  <c r="P34" i="4" s="1"/>
  <c r="S34" i="4"/>
  <c r="T34" i="4" s="1"/>
  <c r="Y10" i="11"/>
  <c r="S49" i="4"/>
  <c r="T49" i="4" s="1"/>
  <c r="W49" i="4"/>
  <c r="X49" i="4" s="1"/>
  <c r="O49" i="4"/>
  <c r="P49" i="4" s="1"/>
  <c r="S33" i="4"/>
  <c r="T33" i="4" s="1"/>
  <c r="W33" i="4"/>
  <c r="X33" i="4" s="1"/>
  <c r="O33" i="4"/>
  <c r="P33" i="4" s="1"/>
  <c r="AH65" i="11"/>
  <c r="AI65" i="11" s="1"/>
  <c r="AS65" i="11"/>
  <c r="AT65" i="11" s="1"/>
  <c r="AZ65" i="11" s="1"/>
  <c r="BA65" i="11" s="1"/>
  <c r="AJ11" i="4"/>
  <c r="AJ12" i="4"/>
  <c r="AK69" i="11"/>
  <c r="AJ69" i="11"/>
  <c r="AK62" i="11"/>
  <c r="AJ62" i="11"/>
  <c r="W60" i="11"/>
  <c r="X60" i="11"/>
  <c r="AU48" i="11"/>
  <c r="AF26" i="4"/>
  <c r="AF25" i="4"/>
  <c r="AJ22" i="4"/>
  <c r="AJ21" i="4"/>
  <c r="S12" i="4"/>
  <c r="T12" i="4" s="1"/>
  <c r="AS69" i="11"/>
  <c r="AT69" i="11" s="1"/>
  <c r="AZ69" i="11" s="1"/>
  <c r="AU44" i="11"/>
  <c r="AE37" i="11"/>
  <c r="AN34" i="11"/>
  <c r="AO34" i="11" s="1"/>
  <c r="AS34" i="11"/>
  <c r="AT34" i="11" s="1"/>
  <c r="AZ34" i="11" s="1"/>
  <c r="AE30" i="11"/>
  <c r="W14" i="11"/>
  <c r="X14" i="11"/>
  <c r="AU13" i="11"/>
  <c r="AH73" i="11"/>
  <c r="AI73" i="11" s="1"/>
  <c r="AS73" i="11"/>
  <c r="AT73" i="11" s="1"/>
  <c r="AZ73" i="11" s="1"/>
  <c r="AP61" i="11"/>
  <c r="DA61" i="11" s="1"/>
  <c r="AW61" i="11"/>
  <c r="AX61" i="11" s="1"/>
  <c r="AS44" i="11"/>
  <c r="AT44" i="11" s="1"/>
  <c r="AZ44" i="11" s="1"/>
  <c r="AH44" i="11"/>
  <c r="AI44" i="11" s="1"/>
  <c r="AU21" i="11"/>
  <c r="AJ17" i="11"/>
  <c r="AK17" i="11"/>
  <c r="AU42" i="11"/>
  <c r="BC8" i="11"/>
  <c r="AX8" i="11"/>
  <c r="AW10" i="11"/>
  <c r="AP10" i="11"/>
  <c r="DA10" i="11" s="1"/>
  <c r="W9" i="11"/>
  <c r="X9" i="11"/>
  <c r="X12" i="11"/>
  <c r="AP43" i="11"/>
  <c r="DA43" i="11" s="1"/>
  <c r="AW43" i="11"/>
  <c r="AX43" i="11" s="1"/>
  <c r="AU40" i="11"/>
  <c r="AE26" i="11"/>
  <c r="X22" i="11"/>
  <c r="W54" i="4"/>
  <c r="X54" i="4" s="1"/>
  <c r="O54" i="4"/>
  <c r="P54" i="4" s="1"/>
  <c r="S54" i="4"/>
  <c r="T54" i="4" s="1"/>
  <c r="S61" i="4"/>
  <c r="T61" i="4" s="1"/>
  <c r="W61" i="4"/>
  <c r="X61" i="4" s="1"/>
  <c r="O61" i="4"/>
  <c r="P61" i="4" s="1"/>
  <c r="S45" i="4"/>
  <c r="T45" i="4" s="1"/>
  <c r="W45" i="4"/>
  <c r="X45" i="4" s="1"/>
  <c r="O45" i="4"/>
  <c r="P45" i="4" s="1"/>
  <c r="S29" i="4"/>
  <c r="T29" i="4" s="1"/>
  <c r="W29" i="4"/>
  <c r="X29" i="4" s="1"/>
  <c r="O29" i="4"/>
  <c r="P29" i="4" s="1"/>
  <c r="X25" i="7649"/>
  <c r="X17" i="7649"/>
  <c r="AK72" i="11"/>
  <c r="AJ72" i="11"/>
  <c r="S56" i="4"/>
  <c r="T56" i="4" s="1"/>
  <c r="O56" i="4"/>
  <c r="P56" i="4" s="1"/>
  <c r="W56" i="4"/>
  <c r="X56" i="4" s="1"/>
  <c r="S48" i="4"/>
  <c r="T48" i="4" s="1"/>
  <c r="O48" i="4"/>
  <c r="P48" i="4" s="1"/>
  <c r="W48" i="4"/>
  <c r="X48" i="4" s="1"/>
  <c r="S40" i="4"/>
  <c r="T40" i="4" s="1"/>
  <c r="O40" i="4"/>
  <c r="P40" i="4" s="1"/>
  <c r="W40" i="4"/>
  <c r="X40" i="4" s="1"/>
  <c r="S32" i="4"/>
  <c r="T32" i="4" s="1"/>
  <c r="O32" i="4"/>
  <c r="P32" i="4" s="1"/>
  <c r="W32" i="4"/>
  <c r="X32" i="4" s="1"/>
  <c r="S14" i="4"/>
  <c r="T14" i="4" s="1"/>
  <c r="O14" i="4"/>
  <c r="P14" i="4" s="1"/>
  <c r="W14" i="4"/>
  <c r="X14" i="4" s="1"/>
  <c r="W12" i="4"/>
  <c r="X12" i="4" s="1"/>
  <c r="V27" i="7649"/>
  <c r="AK58" i="11"/>
  <c r="AJ58" i="11"/>
  <c r="T58" i="11"/>
  <c r="AP52" i="11"/>
  <c r="DA52" i="11" s="1"/>
  <c r="AW52" i="11"/>
  <c r="AX52" i="11" s="1"/>
  <c r="W47" i="4"/>
  <c r="X47" i="4" s="1"/>
  <c r="O47" i="4"/>
  <c r="P47" i="4" s="1"/>
  <c r="S47" i="4"/>
  <c r="T47" i="4" s="1"/>
  <c r="W31" i="4"/>
  <c r="X31" i="4" s="1"/>
  <c r="O31" i="4"/>
  <c r="P31" i="4" s="1"/>
  <c r="S31" i="4"/>
  <c r="T31" i="4" s="1"/>
  <c r="X27" i="7649"/>
  <c r="X19" i="7649"/>
  <c r="AE63" i="11"/>
  <c r="AH61" i="11"/>
  <c r="AI61" i="11" s="1"/>
  <c r="AE60" i="11"/>
  <c r="DK42" i="11"/>
  <c r="DJ42" i="11"/>
  <c r="AH8" i="7702" s="1"/>
  <c r="BK45" i="11"/>
  <c r="F9" i="7694" s="1"/>
  <c r="AW78" i="11"/>
  <c r="AP78" i="11"/>
  <c r="AS59" i="11"/>
  <c r="AT59" i="11" s="1"/>
  <c r="AZ59" i="11" s="1"/>
  <c r="AJ20" i="7702"/>
  <c r="DL58" i="11"/>
  <c r="X55" i="11"/>
  <c r="AK46" i="11"/>
  <c r="T46" i="11"/>
  <c r="AJ46" i="11"/>
  <c r="BO46" i="11" s="1"/>
  <c r="AU37" i="11"/>
  <c r="AE31" i="11"/>
  <c r="AU30" i="11"/>
  <c r="AU25" i="11"/>
  <c r="AU20" i="11"/>
  <c r="AE16" i="11"/>
  <c r="AU15" i="11"/>
  <c r="V21" i="7649"/>
  <c r="V11" i="7649"/>
  <c r="BG72" i="11"/>
  <c r="R72" i="11" s="1"/>
  <c r="BF72" i="11"/>
  <c r="AN69" i="11"/>
  <c r="AO69" i="11" s="1"/>
  <c r="AN64" i="11"/>
  <c r="AO64" i="11" s="1"/>
  <c r="X64" i="11"/>
  <c r="AS52" i="11"/>
  <c r="AT52" i="11" s="1"/>
  <c r="AZ52" i="11" s="1"/>
  <c r="BG52" i="11" s="1"/>
  <c r="R52" i="11" s="1"/>
  <c r="AE49" i="11"/>
  <c r="AS47" i="11"/>
  <c r="AT47" i="11" s="1"/>
  <c r="AZ47" i="11" s="1"/>
  <c r="BA47" i="11" s="1"/>
  <c r="AN47" i="11"/>
  <c r="AO47" i="11" s="1"/>
  <c r="AH30" i="7702"/>
  <c r="CZ42" i="11"/>
  <c r="AE22" i="11"/>
  <c r="AS13" i="11"/>
  <c r="AT13" i="11" s="1"/>
  <c r="AZ13" i="11" s="1"/>
  <c r="AH13" i="11"/>
  <c r="AI13" i="11" s="1"/>
  <c r="AI16" i="4"/>
  <c r="AI15" i="4"/>
  <c r="AS50" i="11"/>
  <c r="AT50" i="11" s="1"/>
  <c r="AZ50" i="11" s="1"/>
  <c r="BG50" i="11" s="1"/>
  <c r="R50" i="11" s="1"/>
  <c r="DO42" i="11"/>
  <c r="DN42" i="11"/>
  <c r="AN24" i="11"/>
  <c r="AO24" i="11" s="1"/>
  <c r="AS24" i="11"/>
  <c r="AT24" i="11" s="1"/>
  <c r="AZ24" i="11" s="1"/>
  <c r="BA24" i="11" s="1"/>
  <c r="AE23" i="11"/>
  <c r="X19" i="11"/>
  <c r="AK28" i="7702"/>
  <c r="BK17" i="11"/>
  <c r="W62" i="4"/>
  <c r="X62" i="4" s="1"/>
  <c r="O62" i="4"/>
  <c r="P62" i="4" s="1"/>
  <c r="S62" i="4"/>
  <c r="T62" i="4" s="1"/>
  <c r="W30" i="4"/>
  <c r="X30" i="4" s="1"/>
  <c r="O30" i="4"/>
  <c r="P30" i="4" s="1"/>
  <c r="S30" i="4"/>
  <c r="T30" i="4" s="1"/>
  <c r="AP33" i="11"/>
  <c r="AW33" i="11"/>
  <c r="AU17" i="11"/>
  <c r="DO12" i="11"/>
  <c r="DN12" i="11"/>
  <c r="T12" i="11"/>
  <c r="W46" i="4"/>
  <c r="X46" i="4" s="1"/>
  <c r="O46" i="4"/>
  <c r="P46" i="4" s="1"/>
  <c r="S46" i="4"/>
  <c r="T46" i="4" s="1"/>
  <c r="AS46" i="11"/>
  <c r="AT46" i="11" s="1"/>
  <c r="AZ46" i="11" s="1"/>
  <c r="AH43" i="11"/>
  <c r="AI43" i="11" s="1"/>
  <c r="CF15" i="11"/>
  <c r="AH14" i="11"/>
  <c r="AI14" i="11" s="1"/>
  <c r="AS79" i="11"/>
  <c r="AT79" i="11" s="1"/>
  <c r="AZ79" i="11" s="1"/>
  <c r="BA75" i="11"/>
  <c r="BG75" i="11"/>
  <c r="R75" i="11" s="1"/>
  <c r="AH50" i="11"/>
  <c r="AI50" i="11" s="1"/>
  <c r="X40" i="11"/>
  <c r="X38" i="11"/>
  <c r="AU35" i="11"/>
  <c r="AE32" i="11"/>
  <c r="AE27" i="11"/>
  <c r="BA34" i="11" l="1"/>
  <c r="BG40" i="11"/>
  <c r="R40" i="11" s="1"/>
  <c r="AH55" i="11"/>
  <c r="AI55" i="11" s="1"/>
  <c r="AN55" i="11"/>
  <c r="AO55" i="11" s="1"/>
  <c r="AS55" i="11"/>
  <c r="AT55" i="11" s="1"/>
  <c r="AZ55" i="11" s="1"/>
  <c r="DT68" i="11"/>
  <c r="BM47" i="11"/>
  <c r="BM15" i="11"/>
  <c r="BM13" i="11"/>
  <c r="G7" i="7694" s="1"/>
  <c r="AN23" i="11"/>
  <c r="AO23" i="11" s="1"/>
  <c r="AS23" i="11"/>
  <c r="AT23" i="11" s="1"/>
  <c r="AZ23" i="11" s="1"/>
  <c r="AH23" i="11"/>
  <c r="AI23" i="11" s="1"/>
  <c r="BA13" i="11"/>
  <c r="BG13" i="11"/>
  <c r="R13" i="11" s="1"/>
  <c r="S13" i="11" s="1"/>
  <c r="BF13" i="11"/>
  <c r="AF85" i="4"/>
  <c r="AF86" i="4"/>
  <c r="AH70" i="11"/>
  <c r="AI70" i="11" s="1"/>
  <c r="AS70" i="11"/>
  <c r="AT70" i="11" s="1"/>
  <c r="AZ70" i="11" s="1"/>
  <c r="AN70" i="11"/>
  <c r="AO70" i="11" s="1"/>
  <c r="AF72" i="4"/>
  <c r="AF71" i="4"/>
  <c r="AI34" i="4"/>
  <c r="AI33" i="4"/>
  <c r="DP12" i="11"/>
  <c r="AI84" i="4"/>
  <c r="AI83" i="4"/>
  <c r="AJ14" i="4"/>
  <c r="AJ13" i="4"/>
  <c r="AJ54" i="4"/>
  <c r="AJ53" i="4"/>
  <c r="AF69" i="4"/>
  <c r="AF70" i="4"/>
  <c r="AI86" i="4"/>
  <c r="AI85" i="4"/>
  <c r="AF80" i="4"/>
  <c r="AF79" i="4"/>
  <c r="AJ111" i="4"/>
  <c r="AJ112" i="4"/>
  <c r="AH30" i="11"/>
  <c r="AI30" i="11" s="1"/>
  <c r="AN30" i="11"/>
  <c r="AO30" i="11" s="1"/>
  <c r="AS30" i="11"/>
  <c r="AT30" i="11" s="1"/>
  <c r="AZ30" i="11" s="1"/>
  <c r="AW34" i="11"/>
  <c r="AP34" i="11"/>
  <c r="DA34" i="11" s="1"/>
  <c r="AF56" i="4"/>
  <c r="AF55" i="4"/>
  <c r="AJ87" i="4"/>
  <c r="AJ88" i="4"/>
  <c r="AI66" i="4"/>
  <c r="AI65" i="4"/>
  <c r="BM32" i="11"/>
  <c r="G8" i="7694" s="1"/>
  <c r="AW67" i="11"/>
  <c r="AP67" i="11"/>
  <c r="DA67" i="11" s="1"/>
  <c r="AX54" i="11"/>
  <c r="BF54" i="11"/>
  <c r="AX11" i="11"/>
  <c r="BF11" i="11"/>
  <c r="BG11" i="11"/>
  <c r="R11" i="11" s="1"/>
  <c r="AS20" i="11"/>
  <c r="AT20" i="11" s="1"/>
  <c r="AZ20" i="11" s="1"/>
  <c r="AH20" i="11"/>
  <c r="AI20" i="11" s="1"/>
  <c r="AN20" i="11"/>
  <c r="AO20" i="11" s="1"/>
  <c r="CA47" i="11"/>
  <c r="CS47" i="11"/>
  <c r="BO47" i="11"/>
  <c r="DE47" i="11"/>
  <c r="BS47" i="11"/>
  <c r="BU47" i="11" s="1"/>
  <c r="CO47" i="11"/>
  <c r="AK14" i="11"/>
  <c r="AJ14" i="11"/>
  <c r="T14" i="11"/>
  <c r="AI82" i="4"/>
  <c r="AI81" i="4"/>
  <c r="AX33" i="11"/>
  <c r="BF33" i="11"/>
  <c r="BA50" i="11"/>
  <c r="BF50" i="11"/>
  <c r="AP47" i="11"/>
  <c r="DA47" i="11" s="1"/>
  <c r="AW47" i="11"/>
  <c r="AX47" i="11" s="1"/>
  <c r="AX78" i="11"/>
  <c r="BF78" i="11"/>
  <c r="BG78" i="11"/>
  <c r="R78" i="11" s="1"/>
  <c r="AI17" i="4"/>
  <c r="AI18" i="4"/>
  <c r="AI102" i="4"/>
  <c r="AI101" i="4"/>
  <c r="BG10" i="11"/>
  <c r="R10" i="11" s="1"/>
  <c r="AH74" i="11"/>
  <c r="AI74" i="11" s="1"/>
  <c r="AS74" i="11"/>
  <c r="AT74" i="11" s="1"/>
  <c r="AZ74" i="11" s="1"/>
  <c r="AN74" i="11"/>
  <c r="AO74" i="11" s="1"/>
  <c r="BA64" i="11"/>
  <c r="AJ103" i="4"/>
  <c r="AJ104" i="4"/>
  <c r="CI15" i="11"/>
  <c r="CF16" i="11"/>
  <c r="AF81" i="4"/>
  <c r="AF82" i="4"/>
  <c r="AI50" i="4"/>
  <c r="AI49" i="4"/>
  <c r="AF113" i="4"/>
  <c r="AF114" i="4"/>
  <c r="AH28" i="7702"/>
  <c r="BK47" i="11"/>
  <c r="AS60" i="11"/>
  <c r="AT60" i="11" s="1"/>
  <c r="AZ60" i="11" s="1"/>
  <c r="BA60" i="11" s="1"/>
  <c r="AN60" i="11"/>
  <c r="AO60" i="11" s="1"/>
  <c r="AH60" i="11"/>
  <c r="AI60" i="11" s="1"/>
  <c r="CS58" i="11"/>
  <c r="CA58" i="11"/>
  <c r="DE58" i="11"/>
  <c r="BS58" i="11"/>
  <c r="BO58" i="11"/>
  <c r="CO58" i="11"/>
  <c r="AF48" i="4"/>
  <c r="AF47" i="4"/>
  <c r="AJ79" i="4"/>
  <c r="AJ80" i="4"/>
  <c r="AI112" i="4"/>
  <c r="AI111" i="4"/>
  <c r="AK44" i="11"/>
  <c r="AJ44" i="11"/>
  <c r="T44" i="11"/>
  <c r="BA73" i="11"/>
  <c r="BG73" i="11"/>
  <c r="R73" i="11" s="1"/>
  <c r="BF73" i="11"/>
  <c r="AS37" i="11"/>
  <c r="AT37" i="11" s="1"/>
  <c r="AZ37" i="11" s="1"/>
  <c r="AH37" i="11"/>
  <c r="AI37" i="11" s="1"/>
  <c r="AN37" i="11"/>
  <c r="AO37" i="11" s="1"/>
  <c r="AI14" i="4"/>
  <c r="AI13" i="4"/>
  <c r="AJ56" i="4"/>
  <c r="AJ55" i="4"/>
  <c r="AI88" i="4"/>
  <c r="AI87" i="4"/>
  <c r="BA76" i="11"/>
  <c r="BG76" i="11"/>
  <c r="R76" i="11" s="1"/>
  <c r="BF76" i="11"/>
  <c r="AF30" i="4"/>
  <c r="AF29" i="4"/>
  <c r="AJ90" i="4"/>
  <c r="AJ89" i="4"/>
  <c r="AN21" i="11"/>
  <c r="AO21" i="11" s="1"/>
  <c r="AS21" i="11"/>
  <c r="AT21" i="11" s="1"/>
  <c r="AZ21" i="11" s="1"/>
  <c r="AH21" i="11"/>
  <c r="AI21" i="11" s="1"/>
  <c r="BG33" i="11"/>
  <c r="R33" i="11" s="1"/>
  <c r="S33" i="11" s="1"/>
  <c r="AJ52" i="4"/>
  <c r="AJ51" i="4"/>
  <c r="AJ70" i="4"/>
  <c r="AJ69" i="4"/>
  <c r="AN27" i="11"/>
  <c r="AO27" i="11" s="1"/>
  <c r="AS27" i="11"/>
  <c r="AT27" i="11" s="1"/>
  <c r="AZ27" i="11" s="1"/>
  <c r="BA27" i="11" s="1"/>
  <c r="AH27" i="11"/>
  <c r="AI27" i="11" s="1"/>
  <c r="AF50" i="4"/>
  <c r="AF49" i="4"/>
  <c r="AJ114" i="4"/>
  <c r="AJ113" i="4"/>
  <c r="AK13" i="11"/>
  <c r="AJ13" i="11"/>
  <c r="BS13" i="11" s="1"/>
  <c r="T13" i="11"/>
  <c r="BA52" i="11"/>
  <c r="BF52" i="11"/>
  <c r="AJ98" i="4"/>
  <c r="AJ97" i="4"/>
  <c r="CA62" i="11"/>
  <c r="CS62" i="11"/>
  <c r="BO62" i="11"/>
  <c r="BS62" i="11"/>
  <c r="BU62" i="11" s="1"/>
  <c r="CO62" i="11"/>
  <c r="DE62" i="11"/>
  <c r="AI58" i="4"/>
  <c r="AI57" i="4"/>
  <c r="BF10" i="11"/>
  <c r="CA76" i="11"/>
  <c r="BO76" i="11"/>
  <c r="AJ30" i="4"/>
  <c r="AJ29" i="4"/>
  <c r="AJ44" i="4"/>
  <c r="AJ43" i="4"/>
  <c r="AI108" i="4"/>
  <c r="AI107" i="4"/>
  <c r="AI36" i="4"/>
  <c r="AI35" i="4"/>
  <c r="BA43" i="11"/>
  <c r="BF43" i="11"/>
  <c r="AF73" i="4"/>
  <c r="AF74" i="4"/>
  <c r="AN41" i="11"/>
  <c r="AO41" i="11" s="1"/>
  <c r="AH41" i="11"/>
  <c r="AI41" i="11" s="1"/>
  <c r="AS41" i="11"/>
  <c r="AT41" i="11" s="1"/>
  <c r="AZ41" i="11" s="1"/>
  <c r="AK11" i="11"/>
  <c r="AJ11" i="11"/>
  <c r="T11" i="11"/>
  <c r="AW19" i="11"/>
  <c r="AP19" i="11"/>
  <c r="AH29" i="11"/>
  <c r="AI29" i="11" s="1"/>
  <c r="AN29" i="11"/>
  <c r="AO29" i="11" s="1"/>
  <c r="AS29" i="11"/>
  <c r="AT29" i="11" s="1"/>
  <c r="AZ29" i="11" s="1"/>
  <c r="BA29" i="11" s="1"/>
  <c r="AS36" i="11"/>
  <c r="AT36" i="11" s="1"/>
  <c r="AZ36" i="11" s="1"/>
  <c r="AH36" i="11"/>
  <c r="AI36" i="11" s="1"/>
  <c r="AN36" i="11"/>
  <c r="AO36" i="11" s="1"/>
  <c r="AI32" i="4"/>
  <c r="AI31" i="4"/>
  <c r="AF68" i="4"/>
  <c r="AF67" i="4"/>
  <c r="AJ99" i="4"/>
  <c r="AJ100" i="4"/>
  <c r="AJ28" i="7702"/>
  <c r="BK63" i="11"/>
  <c r="AJ38" i="4"/>
  <c r="AJ37" i="4"/>
  <c r="AF62" i="4"/>
  <c r="AF61" i="4"/>
  <c r="AI78" i="4"/>
  <c r="AI77" i="4"/>
  <c r="AJ110" i="4"/>
  <c r="AJ109" i="4"/>
  <c r="BM69" i="11"/>
  <c r="G11" i="7694" s="1"/>
  <c r="AF64" i="4"/>
  <c r="AF63" i="4"/>
  <c r="AJ95" i="4"/>
  <c r="AJ96" i="4"/>
  <c r="AF105" i="4"/>
  <c r="AF106" i="4"/>
  <c r="AI92" i="4"/>
  <c r="AI91" i="4"/>
  <c r="CS34" i="11"/>
  <c r="BS34" i="11"/>
  <c r="BU34" i="11" s="1"/>
  <c r="CA34" i="11"/>
  <c r="DE34" i="11"/>
  <c r="BO34" i="11"/>
  <c r="CO34" i="11"/>
  <c r="AW38" i="11"/>
  <c r="AP38" i="11"/>
  <c r="DA38" i="11" s="1"/>
  <c r="BG47" i="11"/>
  <c r="R47" i="11" s="1"/>
  <c r="S47" i="11" s="1"/>
  <c r="AK54" i="11"/>
  <c r="AJ54" i="11"/>
  <c r="T54" i="11"/>
  <c r="BF65" i="11"/>
  <c r="AI76" i="4"/>
  <c r="AI75" i="4"/>
  <c r="AF108" i="4"/>
  <c r="AF107" i="4"/>
  <c r="AJ46" i="4"/>
  <c r="AJ45" i="4"/>
  <c r="AJ64" i="11"/>
  <c r="AK64" i="11"/>
  <c r="T64" i="11"/>
  <c r="AF40" i="4"/>
  <c r="AF39" i="4"/>
  <c r="AJ71" i="4"/>
  <c r="AJ72" i="4"/>
  <c r="AI104" i="4"/>
  <c r="AI103" i="4"/>
  <c r="CA77" i="11"/>
  <c r="BO77" i="11"/>
  <c r="AI42" i="4"/>
  <c r="AI41" i="4"/>
  <c r="DT42" i="11"/>
  <c r="AX75" i="11"/>
  <c r="BF75" i="11"/>
  <c r="AF36" i="4"/>
  <c r="AF35" i="4"/>
  <c r="BA77" i="11"/>
  <c r="AJ10" i="11"/>
  <c r="T10" i="11"/>
  <c r="CA79" i="11"/>
  <c r="BO79" i="11"/>
  <c r="AJ74" i="4"/>
  <c r="AJ73" i="4"/>
  <c r="AS18" i="11"/>
  <c r="AT18" i="11" s="1"/>
  <c r="AZ18" i="11" s="1"/>
  <c r="AH18" i="11"/>
  <c r="AI18" i="11" s="1"/>
  <c r="AN18" i="11"/>
  <c r="AO18" i="11" s="1"/>
  <c r="AH51" i="11"/>
  <c r="AI51" i="11" s="1"/>
  <c r="AS51" i="11"/>
  <c r="AT51" i="11" s="1"/>
  <c r="AZ51" i="11" s="1"/>
  <c r="AN51" i="11"/>
  <c r="AO51" i="11" s="1"/>
  <c r="H6" i="7649"/>
  <c r="J5" i="7649"/>
  <c r="I5" i="7649" s="1"/>
  <c r="M5" i="7649"/>
  <c r="T5" i="7649"/>
  <c r="V5" i="7649" s="1"/>
  <c r="AF9" i="4"/>
  <c r="AF10" i="4"/>
  <c r="AF32" i="4"/>
  <c r="AF31" i="4"/>
  <c r="AJ67" i="4"/>
  <c r="AJ68" i="4"/>
  <c r="AF38" i="4"/>
  <c r="AF37" i="4"/>
  <c r="AI62" i="4"/>
  <c r="AI61" i="4"/>
  <c r="AJ94" i="4"/>
  <c r="AJ93" i="4"/>
  <c r="AF109" i="4"/>
  <c r="AF110" i="4"/>
  <c r="AF28" i="4"/>
  <c r="AF27" i="4"/>
  <c r="AJ63" i="4"/>
  <c r="AJ64" i="4"/>
  <c r="AI96" i="4"/>
  <c r="AI95" i="4"/>
  <c r="AJ106" i="4"/>
  <c r="AJ105" i="4"/>
  <c r="CS42" i="11"/>
  <c r="CA42" i="11"/>
  <c r="BO42" i="11"/>
  <c r="DE42" i="11"/>
  <c r="BS42" i="11"/>
  <c r="CO42" i="11"/>
  <c r="AI60" i="4"/>
  <c r="AI59" i="4"/>
  <c r="AF92" i="4"/>
  <c r="AF91" i="4"/>
  <c r="BG43" i="11"/>
  <c r="R43" i="11" s="1"/>
  <c r="S43" i="11" s="1"/>
  <c r="AK38" i="11"/>
  <c r="AJ38" i="11"/>
  <c r="T38" i="11"/>
  <c r="CA35" i="11"/>
  <c r="CS35" i="11"/>
  <c r="DE35" i="11"/>
  <c r="BS35" i="11"/>
  <c r="BU35" i="11" s="1"/>
  <c r="BO35" i="11"/>
  <c r="CO35" i="11"/>
  <c r="AK50" i="11"/>
  <c r="AJ50" i="11"/>
  <c r="T50" i="11"/>
  <c r="AK43" i="11"/>
  <c r="T43" i="11"/>
  <c r="AJ43" i="11"/>
  <c r="AJ82" i="4"/>
  <c r="AJ81" i="4"/>
  <c r="AJ50" i="4"/>
  <c r="AJ49" i="4"/>
  <c r="DP42" i="11"/>
  <c r="AS22" i="11"/>
  <c r="AT22" i="11" s="1"/>
  <c r="AZ22" i="11" s="1"/>
  <c r="AH22" i="11"/>
  <c r="AI22" i="11" s="1"/>
  <c r="AN22" i="11"/>
  <c r="AO22" i="11" s="1"/>
  <c r="AW64" i="11"/>
  <c r="AX64" i="11" s="1"/>
  <c r="AP64" i="11"/>
  <c r="DA64" i="11" s="1"/>
  <c r="AW69" i="11"/>
  <c r="AP69" i="11"/>
  <c r="DA69" i="11" s="1"/>
  <c r="AS16" i="11"/>
  <c r="AT16" i="11" s="1"/>
  <c r="AZ16" i="11" s="1"/>
  <c r="AH16" i="11"/>
  <c r="AI16" i="11" s="1"/>
  <c r="AN16" i="11"/>
  <c r="AO16" i="11" s="1"/>
  <c r="AS31" i="11"/>
  <c r="AT31" i="11" s="1"/>
  <c r="AZ31" i="11" s="1"/>
  <c r="AH31" i="11"/>
  <c r="AI31" i="11" s="1"/>
  <c r="AN31" i="11"/>
  <c r="AO31" i="11" s="1"/>
  <c r="CA46" i="11"/>
  <c r="CS46" i="11"/>
  <c r="CO46" i="11"/>
  <c r="DE46" i="11"/>
  <c r="BS46" i="11"/>
  <c r="BU46" i="11" s="1"/>
  <c r="AK61" i="11"/>
  <c r="AJ61" i="11"/>
  <c r="T61" i="11"/>
  <c r="AI52" i="4"/>
  <c r="AI51" i="4"/>
  <c r="AF84" i="4"/>
  <c r="AF83" i="4"/>
  <c r="AJ18" i="4"/>
  <c r="AJ17" i="4"/>
  <c r="AF54" i="4"/>
  <c r="AF53" i="4"/>
  <c r="AI70" i="4"/>
  <c r="AI69" i="4"/>
  <c r="AJ102" i="4"/>
  <c r="AJ101" i="4"/>
  <c r="AJ48" i="4"/>
  <c r="AJ47" i="4"/>
  <c r="AI80" i="4"/>
  <c r="AI79" i="4"/>
  <c r="AI98" i="4"/>
  <c r="AI97" i="4"/>
  <c r="AN26" i="11"/>
  <c r="AO26" i="11" s="1"/>
  <c r="AS26" i="11"/>
  <c r="AT26" i="11" s="1"/>
  <c r="AZ26" i="11" s="1"/>
  <c r="BA26" i="11" s="1"/>
  <c r="AH26" i="11"/>
  <c r="AI26" i="11" s="1"/>
  <c r="AX10" i="11"/>
  <c r="DE17" i="11"/>
  <c r="CO17" i="11"/>
  <c r="CS17" i="11"/>
  <c r="BS17" i="11"/>
  <c r="BU17" i="11" s="1"/>
  <c r="CA17" i="11"/>
  <c r="BO17" i="11"/>
  <c r="BA44" i="11"/>
  <c r="BG44" i="11"/>
  <c r="R44" i="11" s="1"/>
  <c r="S44" i="11" s="1"/>
  <c r="BF44" i="11"/>
  <c r="AJ73" i="11"/>
  <c r="AK73" i="11"/>
  <c r="BA69" i="11"/>
  <c r="BF69" i="11"/>
  <c r="AI56" i="4"/>
  <c r="AI55" i="4"/>
  <c r="AF58" i="4"/>
  <c r="AF57" i="4"/>
  <c r="AN45" i="11"/>
  <c r="AO45" i="11" s="1"/>
  <c r="AS45" i="11"/>
  <c r="AT45" i="11" s="1"/>
  <c r="AZ45" i="11" s="1"/>
  <c r="AH45" i="11"/>
  <c r="AI45" i="11" s="1"/>
  <c r="AF65" i="4"/>
  <c r="AF66" i="4"/>
  <c r="AI90" i="4"/>
  <c r="AI89" i="4"/>
  <c r="CS24" i="11"/>
  <c r="BS24" i="11"/>
  <c r="BU24" i="11" s="1"/>
  <c r="BO24" i="11"/>
  <c r="CA24" i="11"/>
  <c r="DE24" i="11"/>
  <c r="CO24" i="11"/>
  <c r="AI28" i="7702"/>
  <c r="BK36" i="11"/>
  <c r="BA17" i="11"/>
  <c r="BA35" i="11"/>
  <c r="BG65" i="11"/>
  <c r="R65" i="11" s="1"/>
  <c r="S65" i="11" s="1"/>
  <c r="AI44" i="4"/>
  <c r="AI43" i="4"/>
  <c r="AF76" i="4"/>
  <c r="AF75" i="4"/>
  <c r="AJ107" i="4"/>
  <c r="AJ108" i="4"/>
  <c r="CS59" i="11"/>
  <c r="BO59" i="11"/>
  <c r="CA59" i="11"/>
  <c r="BS59" i="11"/>
  <c r="BU59" i="11" s="1"/>
  <c r="CO59" i="11"/>
  <c r="DE59" i="11"/>
  <c r="AF46" i="4"/>
  <c r="AF45" i="4"/>
  <c r="BG61" i="11"/>
  <c r="R61" i="11" s="1"/>
  <c r="S61" i="11" s="1"/>
  <c r="BF61" i="11"/>
  <c r="AH66" i="11"/>
  <c r="AI66" i="11" s="1"/>
  <c r="AS66" i="11"/>
  <c r="AT66" i="11" s="1"/>
  <c r="AZ66" i="11" s="1"/>
  <c r="AN66" i="11"/>
  <c r="AO66" i="11" s="1"/>
  <c r="AJ40" i="4"/>
  <c r="AJ39" i="4"/>
  <c r="AI72" i="4"/>
  <c r="AI71" i="4"/>
  <c r="AX40" i="11"/>
  <c r="AF42" i="4"/>
  <c r="AF41" i="4"/>
  <c r="CS52" i="11"/>
  <c r="DE52" i="11"/>
  <c r="BS52" i="11"/>
  <c r="BU52" i="11" s="1"/>
  <c r="CA52" i="11"/>
  <c r="CO52" i="11"/>
  <c r="AS15" i="11"/>
  <c r="AT15" i="11" s="1"/>
  <c r="AZ15" i="11" s="1"/>
  <c r="BA15" i="11" s="1"/>
  <c r="AH15" i="11"/>
  <c r="AI15" i="11" s="1"/>
  <c r="AN15" i="11"/>
  <c r="AO15" i="11" s="1"/>
  <c r="AH25" i="11"/>
  <c r="AI25" i="11" s="1"/>
  <c r="AS25" i="11"/>
  <c r="AT25" i="11" s="1"/>
  <c r="AZ25" i="11" s="1"/>
  <c r="AN25" i="11"/>
  <c r="AO25" i="11" s="1"/>
  <c r="AJ34" i="4"/>
  <c r="AJ33" i="4"/>
  <c r="AJ67" i="11"/>
  <c r="AK67" i="11"/>
  <c r="T67" i="11"/>
  <c r="AJ36" i="4"/>
  <c r="AJ35" i="4"/>
  <c r="AN39" i="11"/>
  <c r="AO39" i="11" s="1"/>
  <c r="AS39" i="11"/>
  <c r="AT39" i="11" s="1"/>
  <c r="AZ39" i="11" s="1"/>
  <c r="AH39" i="11"/>
  <c r="AI39" i="11" s="1"/>
  <c r="AW57" i="11"/>
  <c r="AP57" i="11"/>
  <c r="DA57" i="11" s="1"/>
  <c r="CA78" i="11"/>
  <c r="BO78" i="11"/>
  <c r="BA10" i="11"/>
  <c r="CS33" i="11"/>
  <c r="CO33" i="11"/>
  <c r="CA33" i="11"/>
  <c r="BS33" i="11"/>
  <c r="BO33" i="11"/>
  <c r="AK40" i="11"/>
  <c r="AJ40" i="11"/>
  <c r="T40" i="11"/>
  <c r="AN48" i="11"/>
  <c r="AO48" i="11" s="1"/>
  <c r="AS48" i="11"/>
  <c r="AT48" i="11" s="1"/>
  <c r="AZ48" i="11" s="1"/>
  <c r="AH48" i="11"/>
  <c r="AI48" i="11" s="1"/>
  <c r="AW62" i="11"/>
  <c r="AX62" i="11" s="1"/>
  <c r="AP62" i="11"/>
  <c r="DA62" i="11" s="1"/>
  <c r="BA12" i="11"/>
  <c r="BA42" i="11"/>
  <c r="BA54" i="11"/>
  <c r="BG54" i="11"/>
  <c r="R54" i="11" s="1"/>
  <c r="AJ57" i="11"/>
  <c r="AK57" i="11"/>
  <c r="T57" i="11"/>
  <c r="AH53" i="11"/>
  <c r="AI53" i="11" s="1"/>
  <c r="AS53" i="11"/>
  <c r="AT53" i="11" s="1"/>
  <c r="AZ53" i="11" s="1"/>
  <c r="AN53" i="11"/>
  <c r="AO53" i="11" s="1"/>
  <c r="AJ10" i="4"/>
  <c r="AJ9" i="4"/>
  <c r="AJ32" i="4"/>
  <c r="AJ31" i="4"/>
  <c r="AI100" i="4"/>
  <c r="AI99" i="4"/>
  <c r="AI38" i="4"/>
  <c r="AI37" i="4"/>
  <c r="AJ78" i="4"/>
  <c r="AJ77" i="4"/>
  <c r="AF93" i="4"/>
  <c r="AF94" i="4"/>
  <c r="AI110" i="4"/>
  <c r="AI109" i="4"/>
  <c r="AL28" i="7702"/>
  <c r="BK73" i="11"/>
  <c r="AJ28" i="4"/>
  <c r="AJ27" i="4"/>
  <c r="AI64" i="4"/>
  <c r="AI63" i="4"/>
  <c r="DT12" i="11"/>
  <c r="AF60" i="4"/>
  <c r="AF59" i="4"/>
  <c r="AJ91" i="4"/>
  <c r="AJ92" i="4"/>
  <c r="BA38" i="11"/>
  <c r="AX44" i="11"/>
  <c r="AN32" i="11"/>
  <c r="AO32" i="11" s="1"/>
  <c r="AH32" i="11"/>
  <c r="AI32" i="11" s="1"/>
  <c r="AS32" i="11"/>
  <c r="AT32" i="11" s="1"/>
  <c r="AZ32" i="11" s="1"/>
  <c r="BA79" i="11"/>
  <c r="BG79" i="11"/>
  <c r="R79" i="11" s="1"/>
  <c r="BF79" i="11"/>
  <c r="BA46" i="11"/>
  <c r="BG46" i="11"/>
  <c r="R46" i="11" s="1"/>
  <c r="S46" i="11" s="1"/>
  <c r="BF46" i="11"/>
  <c r="AI114" i="4"/>
  <c r="AI113" i="4"/>
  <c r="AW24" i="11"/>
  <c r="AP24" i="11"/>
  <c r="DA24" i="11" s="1"/>
  <c r="AH49" i="11"/>
  <c r="AI49" i="11" s="1"/>
  <c r="AS49" i="11"/>
  <c r="AT49" i="11" s="1"/>
  <c r="AZ49" i="11" s="1"/>
  <c r="AN49" i="11"/>
  <c r="AO49" i="11" s="1"/>
  <c r="BA59" i="11"/>
  <c r="AH20" i="7702"/>
  <c r="DL42" i="11"/>
  <c r="AS63" i="11"/>
  <c r="AT63" i="11" s="1"/>
  <c r="AZ63" i="11" s="1"/>
  <c r="BA63" i="11" s="1"/>
  <c r="AN63" i="11"/>
  <c r="AO63" i="11" s="1"/>
  <c r="AH63" i="11"/>
  <c r="AI63" i="11" s="1"/>
  <c r="AF52" i="4"/>
  <c r="AF51" i="4"/>
  <c r="AJ83" i="4"/>
  <c r="AJ84" i="4"/>
  <c r="AF18" i="4"/>
  <c r="AF17" i="4"/>
  <c r="AI54" i="4"/>
  <c r="AI53" i="4"/>
  <c r="AJ86" i="4"/>
  <c r="AJ85" i="4"/>
  <c r="AF101" i="4"/>
  <c r="AF102" i="4"/>
  <c r="CA72" i="11"/>
  <c r="BO72" i="11"/>
  <c r="AI48" i="4"/>
  <c r="AI47" i="4"/>
  <c r="AF112" i="4"/>
  <c r="AF111" i="4"/>
  <c r="AF97" i="4"/>
  <c r="AF98" i="4"/>
  <c r="BG14" i="11"/>
  <c r="R14" i="11" s="1"/>
  <c r="S14" i="11" s="1"/>
  <c r="BF14" i="11"/>
  <c r="CS69" i="11"/>
  <c r="CA69" i="11"/>
  <c r="BS69" i="11"/>
  <c r="BU69" i="11" s="1"/>
  <c r="CO69" i="11"/>
  <c r="DE69" i="11"/>
  <c r="BO69" i="11"/>
  <c r="AJ65" i="11"/>
  <c r="AK65" i="11"/>
  <c r="T65" i="11"/>
  <c r="AF88" i="4"/>
  <c r="AF87" i="4"/>
  <c r="Y11" i="11"/>
  <c r="AK10" i="11"/>
  <c r="BD10" i="11"/>
  <c r="AJ58" i="4"/>
  <c r="AJ57" i="4"/>
  <c r="AJ66" i="4"/>
  <c r="AJ65" i="4"/>
  <c r="AI30" i="4"/>
  <c r="AI29" i="4"/>
  <c r="AF89" i="4"/>
  <c r="AF90" i="4"/>
  <c r="AW59" i="11"/>
  <c r="BF59" i="11" s="1"/>
  <c r="AP59" i="11"/>
  <c r="DA59" i="11" s="1"/>
  <c r="AJ19" i="11"/>
  <c r="AK19" i="11"/>
  <c r="T19" i="11"/>
  <c r="AW17" i="11"/>
  <c r="AP17" i="11"/>
  <c r="DA17" i="11" s="1"/>
  <c r="AW35" i="11"/>
  <c r="AX35" i="11" s="1"/>
  <c r="AP35" i="11"/>
  <c r="DA35" i="11" s="1"/>
  <c r="AS56" i="11"/>
  <c r="AT56" i="11" s="1"/>
  <c r="AZ56" i="11" s="1"/>
  <c r="AN56" i="11"/>
  <c r="AO56" i="11" s="1"/>
  <c r="AH56" i="11"/>
  <c r="AI56" i="11" s="1"/>
  <c r="AW77" i="11"/>
  <c r="AX77" i="11" s="1"/>
  <c r="AP77" i="11"/>
  <c r="AF44" i="4"/>
  <c r="AF43" i="4"/>
  <c r="AJ75" i="4"/>
  <c r="AJ76" i="4"/>
  <c r="AI46" i="4"/>
  <c r="AI45" i="4"/>
  <c r="AH68" i="11"/>
  <c r="AI68" i="11" s="1"/>
  <c r="AS68" i="11"/>
  <c r="AT68" i="11" s="1"/>
  <c r="AZ68" i="11" s="1"/>
  <c r="AN68" i="11"/>
  <c r="AO68" i="11" s="1"/>
  <c r="AI40" i="4"/>
  <c r="AI39" i="4"/>
  <c r="AF104" i="4"/>
  <c r="AF103" i="4"/>
  <c r="AJ42" i="4"/>
  <c r="AJ41" i="4"/>
  <c r="AJ71" i="11"/>
  <c r="AK71" i="11"/>
  <c r="T71" i="11"/>
  <c r="AF34" i="4"/>
  <c r="AF33" i="4"/>
  <c r="AS9" i="11"/>
  <c r="AT9" i="11" s="1"/>
  <c r="AZ9" i="11" s="1"/>
  <c r="BA9" i="11" s="1"/>
  <c r="BB9" i="11" s="1"/>
  <c r="BB10" i="11" s="1"/>
  <c r="BB11" i="11" s="1"/>
  <c r="BB12" i="11" s="1"/>
  <c r="BB13" i="11" s="1"/>
  <c r="BB14" i="11" s="1"/>
  <c r="BB15" i="11" s="1"/>
  <c r="AN9" i="11"/>
  <c r="AO9" i="11" s="1"/>
  <c r="AH9" i="11"/>
  <c r="AI9" i="11" s="1"/>
  <c r="BF34" i="11"/>
  <c r="AI74" i="4"/>
  <c r="AI73" i="4"/>
  <c r="AN28" i="11"/>
  <c r="AO28" i="11" s="1"/>
  <c r="AH28" i="11"/>
  <c r="AI28" i="11" s="1"/>
  <c r="AS28" i="11"/>
  <c r="AT28" i="11" s="1"/>
  <c r="AZ28" i="11" s="1"/>
  <c r="BA28" i="11" s="1"/>
  <c r="BA40" i="11"/>
  <c r="AW12" i="11"/>
  <c r="AP12" i="11"/>
  <c r="DA12" i="11" s="1"/>
  <c r="BA19" i="11"/>
  <c r="AW42" i="11"/>
  <c r="AP42" i="11"/>
  <c r="DA42" i="11" s="1"/>
  <c r="AW58" i="11"/>
  <c r="AP58" i="11"/>
  <c r="DA58" i="11" s="1"/>
  <c r="Y4" i="7649"/>
  <c r="X4" i="7649"/>
  <c r="AI10" i="4"/>
  <c r="AI9" i="4"/>
  <c r="AI68" i="4"/>
  <c r="AI67" i="4"/>
  <c r="AF100" i="4"/>
  <c r="AF99" i="4"/>
  <c r="BM59" i="11"/>
  <c r="G10" i="7694" s="1"/>
  <c r="BM63" i="11"/>
  <c r="AJ62" i="4"/>
  <c r="AJ61" i="4"/>
  <c r="AF77" i="4"/>
  <c r="AF78" i="4"/>
  <c r="AI94" i="4"/>
  <c r="AI93" i="4"/>
  <c r="AI28" i="4"/>
  <c r="AI27" i="4"/>
  <c r="AF96" i="4"/>
  <c r="AF95" i="4"/>
  <c r="AI106" i="4"/>
  <c r="AI105" i="4"/>
  <c r="BF12" i="11"/>
  <c r="CS12" i="11"/>
  <c r="DE12" i="11"/>
  <c r="CA12" i="11"/>
  <c r="CO12" i="11"/>
  <c r="BS12" i="11"/>
  <c r="AJ60" i="4"/>
  <c r="AJ59" i="4"/>
  <c r="AX13" i="11"/>
  <c r="BF77" i="11" l="1"/>
  <c r="BM36" i="11"/>
  <c r="AW55" i="11"/>
  <c r="AP55" i="11"/>
  <c r="DA55" i="11" s="1"/>
  <c r="BG35" i="11"/>
  <c r="R35" i="11" s="1"/>
  <c r="S35" i="11" s="1"/>
  <c r="AK55" i="11"/>
  <c r="AJ55" i="11"/>
  <c r="T55" i="11"/>
  <c r="I11" i="7694"/>
  <c r="H7" i="7694"/>
  <c r="BM17" i="11"/>
  <c r="BA55" i="11"/>
  <c r="BF55" i="11"/>
  <c r="CS65" i="11"/>
  <c r="DE65" i="11"/>
  <c r="BS65" i="11"/>
  <c r="BU65" i="11" s="1"/>
  <c r="CA65" i="11"/>
  <c r="CO65" i="11"/>
  <c r="BO65" i="11"/>
  <c r="BA49" i="11"/>
  <c r="DC42" i="11"/>
  <c r="DB42" i="11"/>
  <c r="AX12" i="11"/>
  <c r="BG12" i="11"/>
  <c r="R12" i="11" s="1"/>
  <c r="S12" i="11" s="1"/>
  <c r="AP28" i="11"/>
  <c r="DA28" i="11" s="1"/>
  <c r="AW28" i="11"/>
  <c r="AX28" i="11" s="1"/>
  <c r="BA56" i="11"/>
  <c r="AK63" i="11"/>
  <c r="T63" i="11"/>
  <c r="AJ63" i="11"/>
  <c r="BA32" i="11"/>
  <c r="BF62" i="11"/>
  <c r="AP45" i="11"/>
  <c r="AW45" i="11"/>
  <c r="AX45" i="11" s="1"/>
  <c r="BA31" i="11"/>
  <c r="CS38" i="11"/>
  <c r="BS38" i="11"/>
  <c r="BU38" i="11" s="1"/>
  <c r="CA38" i="11"/>
  <c r="CO38" i="11"/>
  <c r="DE38" i="11"/>
  <c r="BO38" i="11"/>
  <c r="BU42" i="11"/>
  <c r="AW51" i="11"/>
  <c r="AX51" i="11" s="1"/>
  <c r="AP51" i="11"/>
  <c r="DA51" i="11" s="1"/>
  <c r="BA36" i="11"/>
  <c r="AP41" i="11"/>
  <c r="DA41" i="11" s="1"/>
  <c r="AW41" i="11"/>
  <c r="AX41" i="11" s="1"/>
  <c r="AK74" i="11"/>
  <c r="AJ74" i="11"/>
  <c r="AK20" i="11"/>
  <c r="AJ20" i="11"/>
  <c r="T20" i="11"/>
  <c r="AX67" i="11"/>
  <c r="BG67" i="11"/>
  <c r="R67" i="11" s="1"/>
  <c r="S67" i="11" s="1"/>
  <c r="BF67" i="11"/>
  <c r="AP30" i="11"/>
  <c r="DA30" i="11" s="1"/>
  <c r="AW30" i="11"/>
  <c r="AX30" i="11" s="1"/>
  <c r="AX42" i="11"/>
  <c r="BF42" i="11"/>
  <c r="BG42" i="11"/>
  <c r="R42" i="11" s="1"/>
  <c r="S42" i="11" s="1"/>
  <c r="CA71" i="11"/>
  <c r="CS71" i="11"/>
  <c r="CO71" i="11"/>
  <c r="DE71" i="11"/>
  <c r="BS71" i="11"/>
  <c r="BU71" i="11" s="1"/>
  <c r="BO71" i="11"/>
  <c r="AJ68" i="11"/>
  <c r="AK68" i="11"/>
  <c r="T68" i="11"/>
  <c r="BF28" i="11"/>
  <c r="AX17" i="11"/>
  <c r="BG17" i="11"/>
  <c r="R17" i="11" s="1"/>
  <c r="S17" i="11" s="1"/>
  <c r="BF17" i="11"/>
  <c r="AP63" i="11"/>
  <c r="DA63" i="11" s="1"/>
  <c r="AW63" i="11"/>
  <c r="AJ49" i="11"/>
  <c r="AK49" i="11"/>
  <c r="T49" i="11"/>
  <c r="AK32" i="11"/>
  <c r="AJ32" i="11"/>
  <c r="T32" i="11"/>
  <c r="AW53" i="11"/>
  <c r="AX53" i="11" s="1"/>
  <c r="AP53" i="11"/>
  <c r="DA53" i="11" s="1"/>
  <c r="AK48" i="11"/>
  <c r="T48" i="11"/>
  <c r="AJ48" i="11"/>
  <c r="CS40" i="11"/>
  <c r="CA40" i="11"/>
  <c r="BS40" i="11"/>
  <c r="BU40" i="11" s="1"/>
  <c r="DE40" i="11"/>
  <c r="BO40" i="11"/>
  <c r="CO40" i="11"/>
  <c r="BU33" i="11"/>
  <c r="AX57" i="11"/>
  <c r="BG57" i="11"/>
  <c r="R57" i="11" s="1"/>
  <c r="BF57" i="11"/>
  <c r="BF35" i="11"/>
  <c r="AW66" i="11"/>
  <c r="AX66" i="11" s="1"/>
  <c r="AP66" i="11"/>
  <c r="DA66" i="11" s="1"/>
  <c r="BG62" i="11"/>
  <c r="R62" i="11" s="1"/>
  <c r="S62" i="11" s="1"/>
  <c r="AW22" i="11"/>
  <c r="AX22" i="11" s="1"/>
  <c r="AP22" i="11"/>
  <c r="DA22" i="11" s="1"/>
  <c r="BA51" i="11"/>
  <c r="BF51" i="11"/>
  <c r="BG51" i="11"/>
  <c r="R51" i="11" s="1"/>
  <c r="BA18" i="11"/>
  <c r="BG77" i="11"/>
  <c r="R77" i="11" s="1"/>
  <c r="CS54" i="11"/>
  <c r="BS54" i="11"/>
  <c r="BU54" i="11" s="1"/>
  <c r="CO54" i="11"/>
  <c r="CA54" i="11"/>
  <c r="DE54" i="11"/>
  <c r="BO54" i="11"/>
  <c r="BM73" i="11"/>
  <c r="AX19" i="11"/>
  <c r="BG19" i="11"/>
  <c r="R19" i="11" s="1"/>
  <c r="S19" i="11" s="1"/>
  <c r="BF19" i="11"/>
  <c r="AK27" i="11"/>
  <c r="AJ27" i="11"/>
  <c r="T27" i="11"/>
  <c r="AP21" i="11"/>
  <c r="DA21" i="11" s="1"/>
  <c r="AW21" i="11"/>
  <c r="AX21" i="11" s="1"/>
  <c r="AW37" i="11"/>
  <c r="AX37" i="11" s="1"/>
  <c r="AP37" i="11"/>
  <c r="DA37" i="11" s="1"/>
  <c r="CS14" i="11"/>
  <c r="DE14" i="11"/>
  <c r="BS14" i="11"/>
  <c r="BU14" i="11" s="1"/>
  <c r="CA14" i="11"/>
  <c r="BO14" i="11"/>
  <c r="CO14" i="11"/>
  <c r="BA20" i="11"/>
  <c r="AK30" i="11"/>
  <c r="AJ30" i="11"/>
  <c r="T30" i="11"/>
  <c r="BA70" i="11"/>
  <c r="BA23" i="11"/>
  <c r="BA68" i="11"/>
  <c r="AP39" i="11"/>
  <c r="DA39" i="11" s="1"/>
  <c r="AW39" i="11"/>
  <c r="AX39" i="11" s="1"/>
  <c r="AK25" i="11"/>
  <c r="AJ25" i="11"/>
  <c r="T25" i="11"/>
  <c r="CA73" i="11"/>
  <c r="BO73" i="11"/>
  <c r="AJ26" i="11"/>
  <c r="T26" i="11"/>
  <c r="AK26" i="11"/>
  <c r="BA16" i="11"/>
  <c r="BB16" i="11" s="1"/>
  <c r="BB17" i="11" s="1"/>
  <c r="BB18" i="11" s="1"/>
  <c r="BB19" i="11" s="1"/>
  <c r="BB20" i="11" s="1"/>
  <c r="BB21" i="11" s="1"/>
  <c r="AK18" i="11"/>
  <c r="AJ18" i="11"/>
  <c r="T18" i="11"/>
  <c r="CS11" i="11"/>
  <c r="CA11" i="11"/>
  <c r="DE11" i="11"/>
  <c r="CO11" i="11"/>
  <c r="BO11" i="11"/>
  <c r="BA21" i="11"/>
  <c r="CS44" i="11"/>
  <c r="BS44" i="11"/>
  <c r="BU44" i="11" s="1"/>
  <c r="CA44" i="11"/>
  <c r="BO44" i="11"/>
  <c r="CO44" i="11"/>
  <c r="AW70" i="11"/>
  <c r="AX70" i="11" s="1"/>
  <c r="AP70" i="11"/>
  <c r="DA70" i="11" s="1"/>
  <c r="AK23" i="11"/>
  <c r="T23" i="11"/>
  <c r="AJ23" i="11"/>
  <c r="AX58" i="11"/>
  <c r="BF58" i="11"/>
  <c r="BG58" i="11"/>
  <c r="R58" i="11" s="1"/>
  <c r="S58" i="11" s="1"/>
  <c r="AJ9" i="11"/>
  <c r="T9" i="11"/>
  <c r="AK56" i="11"/>
  <c r="AJ56" i="11"/>
  <c r="T56" i="11"/>
  <c r="BG28" i="11"/>
  <c r="R28" i="11" s="1"/>
  <c r="CO19" i="11"/>
  <c r="CS19" i="11"/>
  <c r="BO19" i="11"/>
  <c r="CA19" i="11"/>
  <c r="BS19" i="11"/>
  <c r="BU19" i="11" s="1"/>
  <c r="AP32" i="11"/>
  <c r="DA32" i="11" s="1"/>
  <c r="AW32" i="11"/>
  <c r="AX32" i="11" s="1"/>
  <c r="BA53" i="11"/>
  <c r="BG53" i="11"/>
  <c r="R53" i="11" s="1"/>
  <c r="BF53" i="11"/>
  <c r="CS57" i="11"/>
  <c r="BO57" i="11"/>
  <c r="CA57" i="11"/>
  <c r="CO57" i="11"/>
  <c r="BS57" i="11"/>
  <c r="BU57" i="11" s="1"/>
  <c r="DE57" i="11"/>
  <c r="BA48" i="11"/>
  <c r="AK39" i="11"/>
  <c r="AJ39" i="11"/>
  <c r="T39" i="11"/>
  <c r="CS67" i="11"/>
  <c r="DE67" i="11"/>
  <c r="BS67" i="11"/>
  <c r="BU67" i="11" s="1"/>
  <c r="CA67" i="11"/>
  <c r="BO67" i="11"/>
  <c r="CO67" i="11"/>
  <c r="AP25" i="11"/>
  <c r="DA25" i="11" s="1"/>
  <c r="AW25" i="11"/>
  <c r="AX25" i="11" s="1"/>
  <c r="AW15" i="11"/>
  <c r="AP15" i="11"/>
  <c r="DA15" i="11" s="1"/>
  <c r="BA66" i="11"/>
  <c r="BG66" i="11"/>
  <c r="R66" i="11" s="1"/>
  <c r="S66" i="11" s="1"/>
  <c r="BF66" i="11"/>
  <c r="AK45" i="11"/>
  <c r="AH26" i="7702" s="1"/>
  <c r="AJ45" i="11"/>
  <c r="T45" i="11"/>
  <c r="AW26" i="11"/>
  <c r="AP26" i="11"/>
  <c r="DA26" i="11" s="1"/>
  <c r="AW31" i="11"/>
  <c r="AX31" i="11" s="1"/>
  <c r="AP31" i="11"/>
  <c r="DA31" i="11" s="1"/>
  <c r="AW16" i="11"/>
  <c r="AX16" i="11" s="1"/>
  <c r="AP16" i="11"/>
  <c r="AX69" i="11"/>
  <c r="BG69" i="11"/>
  <c r="R69" i="11" s="1"/>
  <c r="S69" i="11" s="1"/>
  <c r="AK22" i="11"/>
  <c r="AJ22" i="11"/>
  <c r="T22" i="11"/>
  <c r="CA43" i="11"/>
  <c r="DE43" i="11"/>
  <c r="DG42" i="11" s="1"/>
  <c r="BS43" i="11"/>
  <c r="BU43" i="11" s="1"/>
  <c r="BO43" i="11"/>
  <c r="CO43" i="11"/>
  <c r="CS43" i="11"/>
  <c r="CS50" i="11"/>
  <c r="DE50" i="11"/>
  <c r="CO50" i="11"/>
  <c r="CA50" i="11"/>
  <c r="BS50" i="11"/>
  <c r="BU50" i="11" s="1"/>
  <c r="BO50" i="11"/>
  <c r="Y5" i="7649"/>
  <c r="X5" i="7649"/>
  <c r="AJ51" i="11"/>
  <c r="AK51" i="11"/>
  <c r="T51" i="11"/>
  <c r="AW36" i="11"/>
  <c r="AX36" i="11" s="1"/>
  <c r="AP36" i="11"/>
  <c r="DA36" i="11" s="1"/>
  <c r="AP29" i="11"/>
  <c r="DA29" i="11" s="1"/>
  <c r="AW29" i="11"/>
  <c r="BA41" i="11"/>
  <c r="BF41" i="11"/>
  <c r="BG41" i="11"/>
  <c r="R41" i="11" s="1"/>
  <c r="CO13" i="11"/>
  <c r="BU13" i="11"/>
  <c r="CS13" i="11"/>
  <c r="BO13" i="11"/>
  <c r="CA13" i="11"/>
  <c r="DE13" i="11"/>
  <c r="BF64" i="11"/>
  <c r="AK37" i="11"/>
  <c r="AJ37" i="11"/>
  <c r="T37" i="11"/>
  <c r="BU58" i="11"/>
  <c r="AK60" i="11"/>
  <c r="AJ60" i="11"/>
  <c r="T60" i="11"/>
  <c r="AW74" i="11"/>
  <c r="AX74" i="11" s="1"/>
  <c r="AP74" i="11"/>
  <c r="AX34" i="11"/>
  <c r="BG34" i="11"/>
  <c r="R34" i="11" s="1"/>
  <c r="S34" i="11" s="1"/>
  <c r="AJ70" i="11"/>
  <c r="AK70" i="11"/>
  <c r="T70" i="11"/>
  <c r="AP23" i="11"/>
  <c r="DA23" i="11" s="1"/>
  <c r="AW23" i="11"/>
  <c r="AX23" i="11" s="1"/>
  <c r="BU12" i="11"/>
  <c r="AK28" i="11"/>
  <c r="AJ28" i="11"/>
  <c r="T28" i="11"/>
  <c r="AP9" i="11"/>
  <c r="DA9" i="11" s="1"/>
  <c r="AW9" i="11"/>
  <c r="AX9" i="11" s="1"/>
  <c r="AY9" i="11" s="1"/>
  <c r="AW68" i="11"/>
  <c r="AX68" i="11" s="1"/>
  <c r="AP68" i="11"/>
  <c r="DA68" i="11" s="1"/>
  <c r="AP56" i="11"/>
  <c r="DA56" i="11" s="1"/>
  <c r="AW56" i="11"/>
  <c r="AX56" i="11" s="1"/>
  <c r="AX59" i="11"/>
  <c r="BG59" i="11"/>
  <c r="R59" i="11" s="1"/>
  <c r="S59" i="11" s="1"/>
  <c r="BD11" i="11"/>
  <c r="Y12" i="11"/>
  <c r="AW49" i="11"/>
  <c r="AX49" i="11" s="1"/>
  <c r="AP49" i="11"/>
  <c r="DA49" i="11" s="1"/>
  <c r="AX24" i="11"/>
  <c r="BF24" i="11"/>
  <c r="BG24" i="11"/>
  <c r="R24" i="11" s="1"/>
  <c r="AJ53" i="11"/>
  <c r="AK53" i="11"/>
  <c r="T53" i="11"/>
  <c r="AP48" i="11"/>
  <c r="DA48" i="11" s="1"/>
  <c r="AW48" i="11"/>
  <c r="BA39" i="11"/>
  <c r="BG39" i="11"/>
  <c r="R39" i="11" s="1"/>
  <c r="BF39" i="11"/>
  <c r="BA25" i="11"/>
  <c r="BF25" i="11"/>
  <c r="BG25" i="11"/>
  <c r="R25" i="11" s="1"/>
  <c r="AK15" i="11"/>
  <c r="AJ15" i="11"/>
  <c r="T15" i="11"/>
  <c r="AJ66" i="11"/>
  <c r="AK66" i="11"/>
  <c r="T66" i="11"/>
  <c r="BA45" i="11"/>
  <c r="BF45" i="11"/>
  <c r="BG45" i="11"/>
  <c r="R45" i="11" s="1"/>
  <c r="S45" i="11" s="1"/>
  <c r="CA61" i="11"/>
  <c r="CS61" i="11"/>
  <c r="DE61" i="11"/>
  <c r="CO61" i="11"/>
  <c r="BO61" i="11"/>
  <c r="AK31" i="11"/>
  <c r="AJ31" i="11"/>
  <c r="T31" i="11"/>
  <c r="AK16" i="11"/>
  <c r="AJ16" i="11"/>
  <c r="T16" i="11"/>
  <c r="BA22" i="11"/>
  <c r="BF22" i="11"/>
  <c r="BG22" i="11"/>
  <c r="R22" i="11" s="1"/>
  <c r="M6" i="7649"/>
  <c r="J6" i="7649"/>
  <c r="I6" i="7649" s="1"/>
  <c r="H7" i="7649"/>
  <c r="T6" i="7649"/>
  <c r="V6" i="7649" s="1"/>
  <c r="AW18" i="11"/>
  <c r="AX18" i="11" s="1"/>
  <c r="AP18" i="11"/>
  <c r="DA18" i="11" s="1"/>
  <c r="BO10" i="11"/>
  <c r="CS10" i="11"/>
  <c r="CA10" i="11"/>
  <c r="DE10" i="11"/>
  <c r="CO10" i="11"/>
  <c r="CS64" i="11"/>
  <c r="DE64" i="11"/>
  <c r="BS64" i="11"/>
  <c r="BU64" i="11" s="1"/>
  <c r="CA64" i="11"/>
  <c r="CO64" i="11"/>
  <c r="BO64" i="11"/>
  <c r="BF47" i="11"/>
  <c r="AX38" i="11"/>
  <c r="BF38" i="11"/>
  <c r="BG38" i="11"/>
  <c r="R38" i="11" s="1"/>
  <c r="AK36" i="11"/>
  <c r="AJ36" i="11"/>
  <c r="T36" i="11"/>
  <c r="AK29" i="11"/>
  <c r="AJ29" i="11"/>
  <c r="T29" i="11"/>
  <c r="AK41" i="11"/>
  <c r="AJ41" i="11"/>
  <c r="T41" i="11"/>
  <c r="AP27" i="11"/>
  <c r="DA27" i="11" s="1"/>
  <c r="AW27" i="11"/>
  <c r="AK21" i="11"/>
  <c r="AJ21" i="11"/>
  <c r="T21" i="11"/>
  <c r="BA37" i="11"/>
  <c r="BG37" i="11"/>
  <c r="R37" i="11" s="1"/>
  <c r="S37" i="11" s="1"/>
  <c r="BF37" i="11"/>
  <c r="AP60" i="11"/>
  <c r="DA60" i="11" s="1"/>
  <c r="DC58" i="11" s="1"/>
  <c r="AW60" i="11"/>
  <c r="AX60" i="11" s="1"/>
  <c r="CF17" i="11"/>
  <c r="CI16" i="11"/>
  <c r="BG64" i="11"/>
  <c r="R64" i="11" s="1"/>
  <c r="S64" i="11" s="1"/>
  <c r="BA74" i="11"/>
  <c r="BF74" i="11"/>
  <c r="BG74" i="11"/>
  <c r="R74" i="11" s="1"/>
  <c r="AW20" i="11"/>
  <c r="AX20" i="11" s="1"/>
  <c r="AP20" i="11"/>
  <c r="DA20" i="11" s="1"/>
  <c r="BA30" i="11"/>
  <c r="BF30" i="11"/>
  <c r="BG30" i="11"/>
  <c r="R30" i="11" s="1"/>
  <c r="CT42" i="11" l="1"/>
  <c r="DD42" i="11"/>
  <c r="AX55" i="11"/>
  <c r="BG55" i="11"/>
  <c r="R55" i="11" s="1"/>
  <c r="BF9" i="11"/>
  <c r="BB22" i="11"/>
  <c r="BB23" i="11" s="1"/>
  <c r="BB24" i="11" s="1"/>
  <c r="BB25" i="11" s="1"/>
  <c r="BB26" i="11" s="1"/>
  <c r="BB27" i="11" s="1"/>
  <c r="BB28" i="11" s="1"/>
  <c r="BB29" i="11" s="1"/>
  <c r="BB30" i="11" s="1"/>
  <c r="BB31" i="11" s="1"/>
  <c r="BB32" i="11" s="1"/>
  <c r="BB33" i="11" s="1"/>
  <c r="BB34" i="11" s="1"/>
  <c r="BB35" i="11" s="1"/>
  <c r="BB36" i="11" s="1"/>
  <c r="BB37" i="11" s="1"/>
  <c r="BB38" i="11" s="1"/>
  <c r="BB39" i="11" s="1"/>
  <c r="BB40" i="11" s="1"/>
  <c r="BB41" i="11" s="1"/>
  <c r="BB42" i="11" s="1"/>
  <c r="BB43" i="11" s="1"/>
  <c r="BB44" i="11" s="1"/>
  <c r="BB45" i="11" s="1"/>
  <c r="BB46" i="11" s="1"/>
  <c r="BB47" i="11" s="1"/>
  <c r="BB48" i="11" s="1"/>
  <c r="BB49" i="11" s="1"/>
  <c r="BB50" i="11" s="1"/>
  <c r="BB51" i="11" s="1"/>
  <c r="BB52" i="11" s="1"/>
  <c r="BB53" i="11" s="1"/>
  <c r="BB54" i="11" s="1"/>
  <c r="BB55" i="11" s="1"/>
  <c r="BB56" i="11" s="1"/>
  <c r="BB57" i="11" s="1"/>
  <c r="BB58" i="11" s="1"/>
  <c r="BB59" i="11" s="1"/>
  <c r="BB60" i="11" s="1"/>
  <c r="BB61" i="11" s="1"/>
  <c r="BB62" i="11" s="1"/>
  <c r="BB63" i="11" s="1"/>
  <c r="BB64" i="11" s="1"/>
  <c r="BB65" i="11" s="1"/>
  <c r="BB66" i="11" s="1"/>
  <c r="BB67" i="11" s="1"/>
  <c r="BB68" i="11" s="1"/>
  <c r="BB69" i="11" s="1"/>
  <c r="BB70" i="11" s="1"/>
  <c r="BB71" i="11" s="1"/>
  <c r="BB72" i="11" s="1"/>
  <c r="BB73" i="11" s="1"/>
  <c r="BB74" i="11" s="1"/>
  <c r="BB75" i="11" s="1"/>
  <c r="BB76" i="11" s="1"/>
  <c r="BB77" i="11" s="1"/>
  <c r="BB78" i="11" s="1"/>
  <c r="BB79" i="11" s="1"/>
  <c r="BG9" i="11"/>
  <c r="R9" i="11" s="1"/>
  <c r="BS55" i="11"/>
  <c r="BU55" i="11" s="1"/>
  <c r="CO55" i="11"/>
  <c r="CA55" i="11"/>
  <c r="CS55" i="11"/>
  <c r="DE55" i="11"/>
  <c r="BO55" i="11"/>
  <c r="DB12" i="11"/>
  <c r="BV43" i="11"/>
  <c r="DB58" i="11"/>
  <c r="AH22" i="7702"/>
  <c r="CA15" i="11"/>
  <c r="CS15" i="11"/>
  <c r="CT12" i="11" s="1"/>
  <c r="DE15" i="11"/>
  <c r="DF12" i="11" s="1"/>
  <c r="AK11" i="7702" s="1"/>
  <c r="AP11" i="7702" s="1"/>
  <c r="BO15" i="11"/>
  <c r="CO15" i="11"/>
  <c r="BS15" i="11"/>
  <c r="BT13" i="11" s="1"/>
  <c r="AX48" i="11"/>
  <c r="BF48" i="11"/>
  <c r="AX26" i="11"/>
  <c r="BG26" i="11"/>
  <c r="R26" i="11" s="1"/>
  <c r="BF26" i="11"/>
  <c r="AX15" i="11"/>
  <c r="BF15" i="11"/>
  <c r="BG48" i="11"/>
  <c r="R48" i="11" s="1"/>
  <c r="DB31" i="11"/>
  <c r="DC31" i="11"/>
  <c r="CS56" i="11"/>
  <c r="BS56" i="11"/>
  <c r="BU56" i="11" s="1"/>
  <c r="DE56" i="11"/>
  <c r="CO56" i="11"/>
  <c r="CA56" i="11"/>
  <c r="BO56" i="11"/>
  <c r="BF68" i="11"/>
  <c r="BF23" i="11"/>
  <c r="BG20" i="11"/>
  <c r="R20" i="11" s="1"/>
  <c r="S20" i="11" s="1"/>
  <c r="BG18" i="11"/>
  <c r="R18" i="11" s="1"/>
  <c r="S18" i="11" s="1"/>
  <c r="CS48" i="11"/>
  <c r="CO48" i="11"/>
  <c r="BO48" i="11"/>
  <c r="BS48" i="11"/>
  <c r="BU48" i="11" s="1"/>
  <c r="CA48" i="11"/>
  <c r="DE48" i="11"/>
  <c r="CS68" i="11"/>
  <c r="CO68" i="11"/>
  <c r="BS68" i="11"/>
  <c r="DE68" i="11"/>
  <c r="CA68" i="11"/>
  <c r="BO68" i="11"/>
  <c r="BF36" i="11"/>
  <c r="BT43" i="11"/>
  <c r="BG31" i="11"/>
  <c r="R31" i="11" s="1"/>
  <c r="S31" i="11" s="1"/>
  <c r="CS63" i="11"/>
  <c r="CA63" i="11"/>
  <c r="BO63" i="11"/>
  <c r="DE63" i="11"/>
  <c r="CO63" i="11"/>
  <c r="BS63" i="11"/>
  <c r="BU63" i="11" s="1"/>
  <c r="BG56" i="11"/>
  <c r="R56" i="11" s="1"/>
  <c r="CF18" i="11"/>
  <c r="CI17" i="11"/>
  <c r="CS41" i="11"/>
  <c r="CO41" i="11"/>
  <c r="BS41" i="11"/>
  <c r="BU41" i="11" s="1"/>
  <c r="BO41" i="11"/>
  <c r="DE41" i="11"/>
  <c r="CA41" i="11"/>
  <c r="CS53" i="11"/>
  <c r="BO53" i="11"/>
  <c r="DE53" i="11"/>
  <c r="CA53" i="11"/>
  <c r="CO53" i="11"/>
  <c r="BS53" i="11"/>
  <c r="BU53" i="11" s="1"/>
  <c r="DC68" i="11"/>
  <c r="DD68" i="11" s="1"/>
  <c r="DB68" i="11"/>
  <c r="CS37" i="11"/>
  <c r="BS37" i="11"/>
  <c r="BU37" i="11" s="1"/>
  <c r="CA37" i="11"/>
  <c r="BO37" i="11"/>
  <c r="DE37" i="11"/>
  <c r="CO37" i="11"/>
  <c r="AX27" i="11"/>
  <c r="BF27" i="11"/>
  <c r="BG27" i="11"/>
  <c r="R27" i="11" s="1"/>
  <c r="AK14" i="7702"/>
  <c r="AK26" i="7702"/>
  <c r="CS28" i="11"/>
  <c r="DE28" i="11"/>
  <c r="CO28" i="11"/>
  <c r="DQ28" i="11" s="1"/>
  <c r="CA28" i="11"/>
  <c r="BO28" i="11"/>
  <c r="BS28" i="11"/>
  <c r="BU28" i="11" s="1"/>
  <c r="CS70" i="11"/>
  <c r="CA70" i="11"/>
  <c r="BO70" i="11"/>
  <c r="DE70" i="11"/>
  <c r="BS70" i="11"/>
  <c r="BU70" i="11" s="1"/>
  <c r="CO70" i="11"/>
  <c r="AX29" i="11"/>
  <c r="BG29" i="11"/>
  <c r="R29" i="11" s="1"/>
  <c r="BF29" i="11"/>
  <c r="BF21" i="11"/>
  <c r="BF20" i="11"/>
  <c r="BF18" i="11"/>
  <c r="BG15" i="11"/>
  <c r="R15" i="11" s="1"/>
  <c r="S15" i="11" s="1"/>
  <c r="CA74" i="11"/>
  <c r="BO74" i="11"/>
  <c r="BG36" i="11"/>
  <c r="R36" i="11" s="1"/>
  <c r="S36" i="11" s="1"/>
  <c r="BF32" i="11"/>
  <c r="BF49" i="11"/>
  <c r="CA36" i="11"/>
  <c r="BS36" i="11"/>
  <c r="CS36" i="11"/>
  <c r="BO36" i="11"/>
  <c r="DE36" i="11"/>
  <c r="CO36" i="11"/>
  <c r="H8" i="7649"/>
  <c r="J7" i="7649"/>
  <c r="I7" i="7649" s="1"/>
  <c r="M7" i="7649"/>
  <c r="T7" i="7649"/>
  <c r="V7" i="7649" s="1"/>
  <c r="CS31" i="11"/>
  <c r="CT31" i="11" s="1"/>
  <c r="CO31" i="11"/>
  <c r="BS31" i="11"/>
  <c r="BU31" i="11" s="1"/>
  <c r="DE31" i="11"/>
  <c r="CA31" i="11"/>
  <c r="BO31" i="11"/>
  <c r="CS66" i="11"/>
  <c r="DE66" i="11"/>
  <c r="BS66" i="11"/>
  <c r="BU66" i="11" s="1"/>
  <c r="CA66" i="11"/>
  <c r="BO66" i="11"/>
  <c r="CO66" i="11"/>
  <c r="Y13" i="11"/>
  <c r="BD12" i="11"/>
  <c r="AY10" i="11"/>
  <c r="BC9" i="11"/>
  <c r="BE9" i="11" s="1"/>
  <c r="CS60" i="11"/>
  <c r="CO60" i="11"/>
  <c r="CA60" i="11"/>
  <c r="DE60" i="11"/>
  <c r="BS60" i="11"/>
  <c r="BO60" i="11"/>
  <c r="BG60" i="11"/>
  <c r="R60" i="11" s="1"/>
  <c r="S60" i="11" s="1"/>
  <c r="CS45" i="11"/>
  <c r="CU42" i="11" s="1"/>
  <c r="CA45" i="11"/>
  <c r="CO45" i="11"/>
  <c r="CP42" i="11" s="1"/>
  <c r="BO45" i="11"/>
  <c r="CS39" i="11"/>
  <c r="CO39" i="11"/>
  <c r="BS39" i="11"/>
  <c r="BU39" i="11" s="1"/>
  <c r="CA39" i="11"/>
  <c r="DE39" i="11"/>
  <c r="BO39" i="11"/>
  <c r="BG21" i="11"/>
  <c r="R21" i="11" s="1"/>
  <c r="CS18" i="11"/>
  <c r="CA18" i="11"/>
  <c r="BS18" i="11"/>
  <c r="BU18" i="11" s="1"/>
  <c r="CO18" i="11"/>
  <c r="DE18" i="11"/>
  <c r="BO18" i="11"/>
  <c r="BF16" i="11"/>
  <c r="BG70" i="11"/>
  <c r="R70" i="11" s="1"/>
  <c r="S70" i="11" s="1"/>
  <c r="CA30" i="11"/>
  <c r="BS30" i="11"/>
  <c r="BU30" i="11" s="1"/>
  <c r="CS30" i="11"/>
  <c r="DE30" i="11"/>
  <c r="CO30" i="11"/>
  <c r="DQ30" i="11" s="1"/>
  <c r="BO30" i="11"/>
  <c r="DF42" i="11"/>
  <c r="AH11" i="7702" s="1"/>
  <c r="CS32" i="11"/>
  <c r="CO32" i="11"/>
  <c r="CA32" i="11"/>
  <c r="DE32" i="11"/>
  <c r="BO32" i="11"/>
  <c r="CS49" i="11"/>
  <c r="CO49" i="11"/>
  <c r="BS49" i="11"/>
  <c r="BU49" i="11" s="1"/>
  <c r="CA49" i="11"/>
  <c r="BO49" i="11"/>
  <c r="DE49" i="11"/>
  <c r="DD58" i="11"/>
  <c r="DE20" i="11"/>
  <c r="CA20" i="11"/>
  <c r="CS20" i="11"/>
  <c r="CO20" i="11"/>
  <c r="BS20" i="11"/>
  <c r="BU20" i="11" s="1"/>
  <c r="BO20" i="11"/>
  <c r="AH13" i="7702"/>
  <c r="BG32" i="11"/>
  <c r="R32" i="11" s="1"/>
  <c r="S32" i="11" s="1"/>
  <c r="BG49" i="11"/>
  <c r="R49" i="11" s="1"/>
  <c r="CS21" i="11"/>
  <c r="CO21" i="11"/>
  <c r="BS21" i="11"/>
  <c r="BU21" i="11" s="1"/>
  <c r="CA21" i="11"/>
  <c r="DE21" i="11"/>
  <c r="BO21" i="11"/>
  <c r="CA29" i="11"/>
  <c r="CS29" i="11"/>
  <c r="DE29" i="11"/>
  <c r="CO29" i="11"/>
  <c r="DQ29" i="11" s="1"/>
  <c r="BS29" i="11"/>
  <c r="BU29" i="11" s="1"/>
  <c r="BO29" i="11"/>
  <c r="Y6" i="7649"/>
  <c r="X6" i="7649"/>
  <c r="CS16" i="11"/>
  <c r="CU12" i="11" s="1"/>
  <c r="CV12" i="11" s="1"/>
  <c r="BS16" i="11"/>
  <c r="BU16" i="11" s="1"/>
  <c r="CO16" i="11"/>
  <c r="BO16" i="11"/>
  <c r="CA16" i="11"/>
  <c r="AJ26" i="7702"/>
  <c r="AJ14" i="7702"/>
  <c r="CS51" i="11"/>
  <c r="BO51" i="11"/>
  <c r="CO51" i="11"/>
  <c r="CA51" i="11"/>
  <c r="BS51" i="11"/>
  <c r="BU51" i="11" s="1"/>
  <c r="DE51" i="11"/>
  <c r="CS22" i="11"/>
  <c r="CA22" i="11"/>
  <c r="BS22" i="11"/>
  <c r="BU22" i="11" s="1"/>
  <c r="CO22" i="11"/>
  <c r="BO22" i="11"/>
  <c r="DE22" i="11"/>
  <c r="DC26" i="11"/>
  <c r="DB26" i="11"/>
  <c r="DC12" i="11"/>
  <c r="CS9" i="11"/>
  <c r="BO9" i="11"/>
  <c r="BP9" i="11" s="1"/>
  <c r="CO9" i="11"/>
  <c r="DE9" i="11"/>
  <c r="CA9" i="11"/>
  <c r="CB9" i="11" s="1"/>
  <c r="CS23" i="11"/>
  <c r="BO23" i="11"/>
  <c r="BS23" i="11"/>
  <c r="BU23" i="11" s="1"/>
  <c r="CO23" i="11"/>
  <c r="CA23" i="11"/>
  <c r="DE23" i="11"/>
  <c r="BG16" i="11"/>
  <c r="R16" i="11" s="1"/>
  <c r="S16" i="11" s="1"/>
  <c r="CS26" i="11"/>
  <c r="BO26" i="11"/>
  <c r="DE26" i="11"/>
  <c r="CO26" i="11"/>
  <c r="CA26" i="11"/>
  <c r="BS26" i="11"/>
  <c r="BU26" i="11" s="1"/>
  <c r="CA25" i="11"/>
  <c r="CS25" i="11"/>
  <c r="DE25" i="11"/>
  <c r="CO25" i="11"/>
  <c r="BS25" i="11"/>
  <c r="BU25" i="11" s="1"/>
  <c r="BO25" i="11"/>
  <c r="BG68" i="11"/>
  <c r="R68" i="11" s="1"/>
  <c r="S68" i="11" s="1"/>
  <c r="BG23" i="11"/>
  <c r="R23" i="11" s="1"/>
  <c r="BF70" i="11"/>
  <c r="BF60" i="11"/>
  <c r="CA27" i="11"/>
  <c r="CS27" i="11"/>
  <c r="CO27" i="11"/>
  <c r="DQ27" i="11" s="1"/>
  <c r="DE27" i="11"/>
  <c r="BO27" i="11"/>
  <c r="BS27" i="11"/>
  <c r="BU27" i="11" s="1"/>
  <c r="AI26" i="7702"/>
  <c r="AI14" i="7702"/>
  <c r="AX63" i="11"/>
  <c r="BG63" i="11"/>
  <c r="R63" i="11" s="1"/>
  <c r="S63" i="11" s="1"/>
  <c r="BF63" i="11"/>
  <c r="AL26" i="7702"/>
  <c r="AL14" i="7702"/>
  <c r="AH14" i="7702"/>
  <c r="AH12" i="7702"/>
  <c r="BF31" i="11"/>
  <c r="BF56" i="11"/>
  <c r="CT26" i="11" l="1"/>
  <c r="DD12" i="11"/>
  <c r="CQ12" i="11"/>
  <c r="DG12" i="11"/>
  <c r="AK22" i="7702" s="1"/>
  <c r="CV42" i="11"/>
  <c r="AH24" i="7702"/>
  <c r="BV46" i="11"/>
  <c r="DG26" i="11"/>
  <c r="DF26" i="11"/>
  <c r="DF31" i="11"/>
  <c r="AI11" i="7702" s="1"/>
  <c r="DG31" i="11"/>
  <c r="BU60" i="11"/>
  <c r="BV59" i="11" s="1"/>
  <c r="AJ13" i="7702"/>
  <c r="BT59" i="11"/>
  <c r="CT58" i="11"/>
  <c r="CU58" i="11"/>
  <c r="CQ31" i="11"/>
  <c r="CR31" i="11" s="1"/>
  <c r="CP31" i="11"/>
  <c r="Y7" i="7649"/>
  <c r="X7" i="7649"/>
  <c r="DG68" i="11"/>
  <c r="DF68" i="11"/>
  <c r="AL11" i="7702" s="1"/>
  <c r="AQ11" i="7702" s="1"/>
  <c r="BQ9" i="11"/>
  <c r="BP10" i="11"/>
  <c r="DG58" i="11"/>
  <c r="DF58" i="11"/>
  <c r="AJ11" i="7702" s="1"/>
  <c r="AK13" i="7702"/>
  <c r="BD13" i="11"/>
  <c r="Y14" i="11"/>
  <c r="CU31" i="11"/>
  <c r="M8" i="7649"/>
  <c r="H9" i="7649"/>
  <c r="T8" i="7649"/>
  <c r="V8" i="7649" s="1"/>
  <c r="J8" i="7649"/>
  <c r="I8" i="7649" s="1"/>
  <c r="CI18" i="11"/>
  <c r="CF19" i="11"/>
  <c r="AL13" i="7702"/>
  <c r="BU68" i="11"/>
  <c r="BT69" i="11"/>
  <c r="BU15" i="11"/>
  <c r="BV13" i="11" s="1"/>
  <c r="CU26" i="11"/>
  <c r="CV26" i="11" s="1"/>
  <c r="CC9" i="11"/>
  <c r="CB10" i="11"/>
  <c r="DD26" i="11"/>
  <c r="CP12" i="11"/>
  <c r="CR12" i="11" s="1"/>
  <c r="BU36" i="11"/>
  <c r="BV32" i="11" s="1"/>
  <c r="BT32" i="11"/>
  <c r="AI13" i="7702"/>
  <c r="AH25" i="7702"/>
  <c r="BT46" i="11"/>
  <c r="CQ68" i="11"/>
  <c r="CP68" i="11"/>
  <c r="CQ42" i="11"/>
  <c r="CR42" i="11" s="1"/>
  <c r="CP26" i="11"/>
  <c r="DQ26" i="11"/>
  <c r="CQ26" i="11"/>
  <c r="CR26" i="11" s="1"/>
  <c r="CP58" i="11"/>
  <c r="CQ58" i="11"/>
  <c r="AY11" i="11"/>
  <c r="BC10" i="11"/>
  <c r="BE10" i="11" s="1"/>
  <c r="CU68" i="11"/>
  <c r="CT68" i="11"/>
  <c r="DD31" i="11"/>
  <c r="DH42" i="11"/>
  <c r="CR58" i="11" l="1"/>
  <c r="DH12" i="11"/>
  <c r="AJ25" i="7702"/>
  <c r="BT62" i="11"/>
  <c r="DH26" i="11"/>
  <c r="AL22" i="7702"/>
  <c r="DH68" i="11"/>
  <c r="AI22" i="7702"/>
  <c r="DH31" i="11"/>
  <c r="Y8" i="7649"/>
  <c r="X8" i="7649"/>
  <c r="CV68" i="11"/>
  <c r="CR68" i="11"/>
  <c r="AI25" i="7702"/>
  <c r="BT35" i="11"/>
  <c r="CC10" i="11"/>
  <c r="CB11" i="11"/>
  <c r="AK25" i="7702"/>
  <c r="BT16" i="11"/>
  <c r="CV31" i="11"/>
  <c r="AY12" i="11"/>
  <c r="BC11" i="11"/>
  <c r="BE11" i="11" s="1"/>
  <c r="AL25" i="7702"/>
  <c r="BT72" i="11"/>
  <c r="BQ10" i="11"/>
  <c r="BP11" i="11"/>
  <c r="AL12" i="7702"/>
  <c r="BV69" i="11"/>
  <c r="AI12" i="7702"/>
  <c r="AK12" i="7702"/>
  <c r="AM12" i="7702" s="1"/>
  <c r="CI19" i="11"/>
  <c r="CF20" i="11"/>
  <c r="J9" i="7649"/>
  <c r="I9" i="7649" s="1"/>
  <c r="M9" i="7649"/>
  <c r="T9" i="7649"/>
  <c r="V9" i="7649" s="1"/>
  <c r="BD14" i="11"/>
  <c r="Y15" i="11"/>
  <c r="AJ22" i="7702"/>
  <c r="DH58" i="11"/>
  <c r="CV58" i="11"/>
  <c r="AJ12" i="7702"/>
  <c r="BP12" i="11" l="1"/>
  <c r="BQ11" i="11"/>
  <c r="Y16" i="11"/>
  <c r="BD15" i="11"/>
  <c r="Y9" i="7649"/>
  <c r="Y10" i="7649" s="1"/>
  <c r="Y11" i="7649" s="1"/>
  <c r="Y12" i="7649" s="1"/>
  <c r="Y13" i="7649" s="1"/>
  <c r="Y14" i="7649" s="1"/>
  <c r="Y15" i="7649" s="1"/>
  <c r="Y16" i="7649" s="1"/>
  <c r="Y17" i="7649" s="1"/>
  <c r="Y18" i="7649" s="1"/>
  <c r="Y19" i="7649" s="1"/>
  <c r="Y20" i="7649" s="1"/>
  <c r="Y21" i="7649" s="1"/>
  <c r="Y22" i="7649" s="1"/>
  <c r="Y23" i="7649" s="1"/>
  <c r="X9" i="7649"/>
  <c r="AK24" i="7702"/>
  <c r="BV16" i="11"/>
  <c r="AY13" i="11"/>
  <c r="BC12" i="11"/>
  <c r="BE12" i="11" s="1"/>
  <c r="CI20" i="11"/>
  <c r="CF21" i="11"/>
  <c r="AI24" i="7702"/>
  <c r="BV35" i="11"/>
  <c r="AL24" i="7702"/>
  <c r="BV72" i="11"/>
  <c r="BV62" i="11"/>
  <c r="AJ24" i="7702"/>
  <c r="CC11" i="11"/>
  <c r="CB12" i="11"/>
  <c r="BD16" i="11" l="1"/>
  <c r="Y17" i="11"/>
  <c r="CC12" i="11"/>
  <c r="CB13" i="11"/>
  <c r="CI21" i="11"/>
  <c r="CF22" i="11"/>
  <c r="AY14" i="11"/>
  <c r="BC13" i="11"/>
  <c r="BE13" i="11" s="1"/>
  <c r="Y29" i="7649"/>
  <c r="Y24" i="7649"/>
  <c r="Y25" i="7649" s="1"/>
  <c r="Y26" i="7649" s="1"/>
  <c r="BQ12" i="11"/>
  <c r="BP13" i="11"/>
  <c r="CC13" i="11" l="1"/>
  <c r="CB14" i="11"/>
  <c r="Y18" i="11"/>
  <c r="BD17" i="11"/>
  <c r="BQ13" i="11"/>
  <c r="BP14" i="11"/>
  <c r="CI22" i="11"/>
  <c r="CF23" i="11"/>
  <c r="AY15" i="11"/>
  <c r="BC14" i="11"/>
  <c r="BE14" i="11" s="1"/>
  <c r="BQ14" i="11" l="1"/>
  <c r="BP15" i="11"/>
  <c r="CC14" i="11"/>
  <c r="CB15" i="11"/>
  <c r="AY16" i="11"/>
  <c r="BC15" i="11"/>
  <c r="BE15" i="11" s="1"/>
  <c r="CI23" i="11"/>
  <c r="CF24" i="11"/>
  <c r="BD18" i="11"/>
  <c r="Y19" i="11"/>
  <c r="BQ15" i="11" l="1"/>
  <c r="BP16" i="11"/>
  <c r="AY17" i="11"/>
  <c r="BC16" i="11"/>
  <c r="BE16" i="11" s="1"/>
  <c r="Y20" i="11"/>
  <c r="BD19" i="11"/>
  <c r="CI24" i="11"/>
  <c r="CF25" i="11"/>
  <c r="CB16" i="11"/>
  <c r="CC15" i="11"/>
  <c r="BQ16" i="11" l="1"/>
  <c r="BP17" i="11"/>
  <c r="AY18" i="11"/>
  <c r="BC17" i="11"/>
  <c r="BE17" i="11" s="1"/>
  <c r="CF26" i="11"/>
  <c r="CI25" i="11"/>
  <c r="CC16" i="11"/>
  <c r="CB17" i="11"/>
  <c r="BD20" i="11"/>
  <c r="Y21" i="11"/>
  <c r="CC17" i="11" l="1"/>
  <c r="CB18" i="11"/>
  <c r="BQ17" i="11"/>
  <c r="BP18" i="11"/>
  <c r="CI26" i="11"/>
  <c r="CF27" i="11"/>
  <c r="BD21" i="11"/>
  <c r="Y22" i="11"/>
  <c r="AY19" i="11"/>
  <c r="BC18" i="11"/>
  <c r="BE18" i="11" s="1"/>
  <c r="BD22" i="11" l="1"/>
  <c r="Y23" i="11"/>
  <c r="CC18" i="11"/>
  <c r="CB19" i="11"/>
  <c r="CI27" i="11"/>
  <c r="CF28" i="11"/>
  <c r="BP19" i="11"/>
  <c r="BQ18" i="11"/>
  <c r="AY20" i="11"/>
  <c r="BC19" i="11"/>
  <c r="BE19" i="11" s="1"/>
  <c r="BD23" i="11" l="1"/>
  <c r="Y24" i="11"/>
  <c r="CI28" i="11"/>
  <c r="CF29" i="11"/>
  <c r="AY21" i="11"/>
  <c r="BC20" i="11"/>
  <c r="BE20" i="11" s="1"/>
  <c r="CB20" i="11"/>
  <c r="CC19" i="11"/>
  <c r="BP20" i="11"/>
  <c r="BQ19" i="11"/>
  <c r="BD24" i="11" l="1"/>
  <c r="Y25" i="11"/>
  <c r="BQ20" i="11"/>
  <c r="BP21" i="11"/>
  <c r="CC20" i="11"/>
  <c r="CB21" i="11"/>
  <c r="AY22" i="11"/>
  <c r="BC21" i="11"/>
  <c r="BE21" i="11" s="1"/>
  <c r="CI29" i="11"/>
  <c r="CF30" i="11"/>
  <c r="CI30" i="11" l="1"/>
  <c r="CF31" i="11"/>
  <c r="CC21" i="11"/>
  <c r="CB22" i="11"/>
  <c r="BD25" i="11"/>
  <c r="Y26" i="11"/>
  <c r="BQ21" i="11"/>
  <c r="BP22" i="11"/>
  <c r="AY23" i="11"/>
  <c r="BC22" i="11"/>
  <c r="BE22" i="11" s="1"/>
  <c r="AY24" i="11" l="1"/>
  <c r="BC23" i="11"/>
  <c r="BE23" i="11" s="1"/>
  <c r="CC22" i="11"/>
  <c r="CB23" i="11"/>
  <c r="BQ22" i="11"/>
  <c r="BP23" i="11"/>
  <c r="BD26" i="11"/>
  <c r="Y27" i="11"/>
  <c r="CI31" i="11"/>
  <c r="CF32" i="11"/>
  <c r="CI32" i="11" l="1"/>
  <c r="CF33" i="11"/>
  <c r="BQ23" i="11"/>
  <c r="BP24" i="11"/>
  <c r="BD27" i="11"/>
  <c r="Y28" i="11"/>
  <c r="CC23" i="11"/>
  <c r="CB24" i="11"/>
  <c r="AY25" i="11"/>
  <c r="BC24" i="11"/>
  <c r="BE24" i="11" s="1"/>
  <c r="CC24" i="11" l="1"/>
  <c r="CB25" i="11"/>
  <c r="BQ24" i="11"/>
  <c r="BP25" i="11"/>
  <c r="BD28" i="11"/>
  <c r="Y29" i="11"/>
  <c r="CI33" i="11"/>
  <c r="CF34" i="11"/>
  <c r="AY26" i="11"/>
  <c r="BC25" i="11"/>
  <c r="BE25" i="11" s="1"/>
  <c r="BD29" i="11" l="1"/>
  <c r="Y30" i="11"/>
  <c r="CC25" i="11"/>
  <c r="CB26" i="11"/>
  <c r="AY27" i="11"/>
  <c r="BC26" i="11"/>
  <c r="BE26" i="11" s="1"/>
  <c r="CI34" i="11"/>
  <c r="CF35" i="11"/>
  <c r="BQ25" i="11"/>
  <c r="BP26" i="11"/>
  <c r="Y31" i="11" l="1"/>
  <c r="BD30" i="11"/>
  <c r="BQ26" i="11"/>
  <c r="BP27" i="11"/>
  <c r="AY28" i="11"/>
  <c r="BC27" i="11"/>
  <c r="BE27" i="11" s="1"/>
  <c r="CC26" i="11"/>
  <c r="CB27" i="11"/>
  <c r="CI35" i="11"/>
  <c r="CF36" i="11"/>
  <c r="BQ27" i="11" l="1"/>
  <c r="BP28" i="11"/>
  <c r="CF37" i="11"/>
  <c r="CI36" i="11"/>
  <c r="CC27" i="11"/>
  <c r="CB28" i="11"/>
  <c r="AY29" i="11"/>
  <c r="BC28" i="11"/>
  <c r="BE28" i="11" s="1"/>
  <c r="BD31" i="11"/>
  <c r="Y32" i="11"/>
  <c r="AY30" i="11" l="1"/>
  <c r="BC29" i="11"/>
  <c r="BE29" i="11" s="1"/>
  <c r="CF38" i="11"/>
  <c r="CI37" i="11"/>
  <c r="BD32" i="11"/>
  <c r="Y33" i="11"/>
  <c r="CC28" i="11"/>
  <c r="CB29" i="11"/>
  <c r="BQ28" i="11"/>
  <c r="BP29" i="11"/>
  <c r="CC29" i="11" l="1"/>
  <c r="CB30" i="11"/>
  <c r="CI38" i="11"/>
  <c r="CF39" i="11"/>
  <c r="BQ29" i="11"/>
  <c r="BP30" i="11"/>
  <c r="BD33" i="11"/>
  <c r="Y34" i="11"/>
  <c r="AY31" i="11"/>
  <c r="BC30" i="11"/>
  <c r="BE30" i="11" s="1"/>
  <c r="BD34" i="11" l="1"/>
  <c r="Y35" i="11"/>
  <c r="CB31" i="11"/>
  <c r="CC30" i="11"/>
  <c r="BQ30" i="11"/>
  <c r="BP31" i="11"/>
  <c r="CI39" i="11"/>
  <c r="CF40" i="11"/>
  <c r="AY32" i="11"/>
  <c r="BC31" i="11"/>
  <c r="BE31" i="11" s="1"/>
  <c r="BQ31" i="11" l="1"/>
  <c r="BP32" i="11"/>
  <c r="Y36" i="11"/>
  <c r="BD35" i="11"/>
  <c r="CI40" i="11"/>
  <c r="CF41" i="11"/>
  <c r="CC31" i="11"/>
  <c r="CB32" i="11"/>
  <c r="AY33" i="11"/>
  <c r="BC32" i="11"/>
  <c r="BE32" i="11" s="1"/>
  <c r="CI41" i="11" l="1"/>
  <c r="CF42" i="11"/>
  <c r="BP33" i="11"/>
  <c r="BQ32" i="11"/>
  <c r="AY34" i="11"/>
  <c r="BC33" i="11"/>
  <c r="BE33" i="11" s="1"/>
  <c r="CC32" i="11"/>
  <c r="CB33" i="11"/>
  <c r="Y37" i="11"/>
  <c r="BD36" i="11"/>
  <c r="CC33" i="11" l="1"/>
  <c r="CB34" i="11"/>
  <c r="Y38" i="11"/>
  <c r="BD37" i="11"/>
  <c r="AY35" i="11"/>
  <c r="BC34" i="11"/>
  <c r="BE34" i="11" s="1"/>
  <c r="BQ33" i="11"/>
  <c r="BP34" i="11"/>
  <c r="CI42" i="11"/>
  <c r="CF43" i="11"/>
  <c r="CC34" i="11" l="1"/>
  <c r="CB35" i="11"/>
  <c r="AY36" i="11"/>
  <c r="BC35" i="11"/>
  <c r="BE35" i="11" s="1"/>
  <c r="CI43" i="11"/>
  <c r="CF44" i="11"/>
  <c r="BP35" i="11"/>
  <c r="BQ34" i="11"/>
  <c r="BD38" i="11"/>
  <c r="Y39" i="11"/>
  <c r="CI44" i="11" l="1"/>
  <c r="CF45" i="11"/>
  <c r="CC35" i="11"/>
  <c r="CB36" i="11"/>
  <c r="BD39" i="11"/>
  <c r="Y40" i="11"/>
  <c r="AY37" i="11"/>
  <c r="BC36" i="11"/>
  <c r="BE36" i="11" s="1"/>
  <c r="BQ35" i="11"/>
  <c r="BP36" i="11"/>
  <c r="CI45" i="11" l="1"/>
  <c r="CF46" i="11"/>
  <c r="AY38" i="11"/>
  <c r="BC37" i="11"/>
  <c r="BE37" i="11" s="1"/>
  <c r="BQ36" i="11"/>
  <c r="BP37" i="11"/>
  <c r="BD40" i="11"/>
  <c r="Y41" i="11"/>
  <c r="CC36" i="11"/>
  <c r="CB37" i="11"/>
  <c r="BQ37" i="11" l="1"/>
  <c r="BP38" i="11"/>
  <c r="CI46" i="11"/>
  <c r="CF47" i="11"/>
  <c r="BD41" i="11"/>
  <c r="Y42" i="11"/>
  <c r="CC37" i="11"/>
  <c r="CB38" i="11"/>
  <c r="AY39" i="11"/>
  <c r="BC38" i="11"/>
  <c r="BE38" i="11" s="1"/>
  <c r="CI47" i="11" l="1"/>
  <c r="CF48" i="11"/>
  <c r="BD42" i="11"/>
  <c r="Y43" i="11"/>
  <c r="BQ38" i="11"/>
  <c r="BP39" i="11"/>
  <c r="AY40" i="11"/>
  <c r="BC39" i="11"/>
  <c r="BE39" i="11" s="1"/>
  <c r="CC38" i="11"/>
  <c r="CB39" i="11"/>
  <c r="CC39" i="11" l="1"/>
  <c r="CB40" i="11"/>
  <c r="BQ39" i="11"/>
  <c r="BP40" i="11"/>
  <c r="CI48" i="11"/>
  <c r="CF49" i="11"/>
  <c r="AY41" i="11"/>
  <c r="BC40" i="11"/>
  <c r="BE40" i="11" s="1"/>
  <c r="BD43" i="11"/>
  <c r="Y44" i="11"/>
  <c r="BQ40" i="11" l="1"/>
  <c r="BP41" i="11"/>
  <c r="BD44" i="11"/>
  <c r="Y45" i="11"/>
  <c r="CC40" i="11"/>
  <c r="CB41" i="11"/>
  <c r="CI49" i="11"/>
  <c r="CF50" i="11"/>
  <c r="AY42" i="11"/>
  <c r="BC41" i="11"/>
  <c r="BE41" i="11" s="1"/>
  <c r="BD45" i="11" l="1"/>
  <c r="Y46" i="11"/>
  <c r="AY43" i="11"/>
  <c r="BC42" i="11"/>
  <c r="BE42" i="11" s="1"/>
  <c r="CF51" i="11"/>
  <c r="CI50" i="11"/>
  <c r="CC41" i="11"/>
  <c r="CB42" i="11"/>
  <c r="BQ41" i="11"/>
  <c r="BP42" i="11"/>
  <c r="BQ42" i="11" l="1"/>
  <c r="BP43" i="11"/>
  <c r="CI51" i="11"/>
  <c r="CF52" i="11"/>
  <c r="AY44" i="11"/>
  <c r="BC43" i="11"/>
  <c r="BE43" i="11" s="1"/>
  <c r="CC42" i="11"/>
  <c r="CB43" i="11"/>
  <c r="BD46" i="11"/>
  <c r="Y47" i="11"/>
  <c r="BQ43" i="11" l="1"/>
  <c r="BP44" i="11"/>
  <c r="AY45" i="11"/>
  <c r="BC44" i="11"/>
  <c r="BE44" i="11" s="1"/>
  <c r="CF53" i="11"/>
  <c r="CI52" i="11"/>
  <c r="BD47" i="11"/>
  <c r="Y48" i="11"/>
  <c r="CC43" i="11"/>
  <c r="CB44" i="11"/>
  <c r="BQ44" i="11" l="1"/>
  <c r="BP45" i="11"/>
  <c r="CC44" i="11"/>
  <c r="CB45" i="11"/>
  <c r="Y49" i="11"/>
  <c r="BD48" i="11"/>
  <c r="CI53" i="11"/>
  <c r="CF54" i="11"/>
  <c r="AY46" i="11"/>
  <c r="BC45" i="11"/>
  <c r="BE45" i="11" s="1"/>
  <c r="BQ45" i="11" l="1"/>
  <c r="BP46" i="11"/>
  <c r="BD49" i="11"/>
  <c r="Y50" i="11"/>
  <c r="AY47" i="11"/>
  <c r="BC46" i="11"/>
  <c r="BE46" i="11" s="1"/>
  <c r="CC45" i="11"/>
  <c r="CB46" i="11"/>
  <c r="CI54" i="11"/>
  <c r="CF55" i="11"/>
  <c r="BD50" i="11" l="1"/>
  <c r="Y51" i="11"/>
  <c r="CI55" i="11"/>
  <c r="CF56" i="11"/>
  <c r="AY48" i="11"/>
  <c r="BC47" i="11"/>
  <c r="BE47" i="11" s="1"/>
  <c r="BQ46" i="11"/>
  <c r="BP47" i="11"/>
  <c r="CC46" i="11"/>
  <c r="CB47" i="11"/>
  <c r="CI56" i="11" l="1"/>
  <c r="CF57" i="11"/>
  <c r="BQ47" i="11"/>
  <c r="BP48" i="11"/>
  <c r="BD51" i="11"/>
  <c r="Y52" i="11"/>
  <c r="CC47" i="11"/>
  <c r="CB48" i="11"/>
  <c r="AY49" i="11"/>
  <c r="BC48" i="11"/>
  <c r="BE48" i="11" s="1"/>
  <c r="BQ48" i="11" l="1"/>
  <c r="BP49" i="11"/>
  <c r="CC48" i="11"/>
  <c r="CB49" i="11"/>
  <c r="Y53" i="11"/>
  <c r="BD52" i="11"/>
  <c r="CI57" i="11"/>
  <c r="CF58" i="11"/>
  <c r="AY50" i="11"/>
  <c r="BC49" i="11"/>
  <c r="BE49" i="11" s="1"/>
  <c r="CC49" i="11" l="1"/>
  <c r="CB50" i="11"/>
  <c r="CI58" i="11"/>
  <c r="CF59" i="11"/>
  <c r="BQ49" i="11"/>
  <c r="BP50" i="11"/>
  <c r="AY51" i="11"/>
  <c r="BC50" i="11"/>
  <c r="BE50" i="11" s="1"/>
  <c r="BD53" i="11"/>
  <c r="Y54" i="11"/>
  <c r="CI59" i="11" l="1"/>
  <c r="CF60" i="11"/>
  <c r="BC51" i="11"/>
  <c r="BE51" i="11" s="1"/>
  <c r="AY52" i="11"/>
  <c r="BD54" i="11"/>
  <c r="Y55" i="11"/>
  <c r="BQ50" i="11"/>
  <c r="BP51" i="11"/>
  <c r="CC50" i="11"/>
  <c r="CB51" i="11"/>
  <c r="AY53" i="11" l="1"/>
  <c r="BC52" i="11"/>
  <c r="BE52" i="11" s="1"/>
  <c r="CC51" i="11"/>
  <c r="CB52" i="11"/>
  <c r="BD55" i="11"/>
  <c r="Y56" i="11"/>
  <c r="CI60" i="11"/>
  <c r="CF61" i="11"/>
  <c r="BQ51" i="11"/>
  <c r="BP52" i="11"/>
  <c r="CI61" i="11" l="1"/>
  <c r="CF62" i="11"/>
  <c r="CC52" i="11"/>
  <c r="CB53" i="11"/>
  <c r="BQ52" i="11"/>
  <c r="BP53" i="11"/>
  <c r="BD56" i="11"/>
  <c r="Y57" i="11"/>
  <c r="AY54" i="11"/>
  <c r="BC53" i="11"/>
  <c r="BE53" i="11" s="1"/>
  <c r="BD57" i="11" l="1"/>
  <c r="Y58" i="11"/>
  <c r="CC53" i="11"/>
  <c r="CB54" i="11"/>
  <c r="BQ53" i="11"/>
  <c r="BP54" i="11"/>
  <c r="CI62" i="11"/>
  <c r="CF63" i="11"/>
  <c r="AY55" i="11"/>
  <c r="BC54" i="11"/>
  <c r="BE54" i="11" s="1"/>
  <c r="CI63" i="11" l="1"/>
  <c r="CF64" i="11"/>
  <c r="CC54" i="11"/>
  <c r="CB55" i="11"/>
  <c r="BD58" i="11"/>
  <c r="Y59" i="11"/>
  <c r="BQ54" i="11"/>
  <c r="BP55" i="11"/>
  <c r="AY56" i="11"/>
  <c r="BC55" i="11"/>
  <c r="BE55" i="11" s="1"/>
  <c r="CC55" i="11" l="1"/>
  <c r="CB56" i="11"/>
  <c r="BD59" i="11"/>
  <c r="Y60" i="11"/>
  <c r="BQ55" i="11"/>
  <c r="BP56" i="11"/>
  <c r="CI64" i="11"/>
  <c r="CF65" i="11"/>
  <c r="AY57" i="11"/>
  <c r="BC56" i="11"/>
  <c r="BE56" i="11" s="1"/>
  <c r="BQ56" i="11" l="1"/>
  <c r="BP57" i="11"/>
  <c r="BD60" i="11"/>
  <c r="Y61" i="11"/>
  <c r="CI65" i="11"/>
  <c r="CF66" i="11"/>
  <c r="CC56" i="11"/>
  <c r="CB57" i="11"/>
  <c r="AY58" i="11"/>
  <c r="BC57" i="11"/>
  <c r="BE57" i="11" s="1"/>
  <c r="BD61" i="11" l="1"/>
  <c r="Y62" i="11"/>
  <c r="CC57" i="11"/>
  <c r="CB58" i="11"/>
  <c r="BQ57" i="11"/>
  <c r="BP58" i="11"/>
  <c r="CI66" i="11"/>
  <c r="CF67" i="11"/>
  <c r="BC58" i="11"/>
  <c r="BE58" i="11" s="1"/>
  <c r="AY59" i="11"/>
  <c r="CC58" i="11" l="1"/>
  <c r="CB59" i="11"/>
  <c r="CI67" i="11"/>
  <c r="CF68" i="11"/>
  <c r="AY60" i="11"/>
  <c r="BC59" i="11"/>
  <c r="BE59" i="11" s="1"/>
  <c r="BD62" i="11"/>
  <c r="Y63" i="11"/>
  <c r="BQ58" i="11"/>
  <c r="BP59" i="11"/>
  <c r="CI68" i="11" l="1"/>
  <c r="CF69" i="11"/>
  <c r="BD63" i="11"/>
  <c r="Y64" i="11"/>
  <c r="CC59" i="11"/>
  <c r="CB60" i="11"/>
  <c r="BQ59" i="11"/>
  <c r="BP60" i="11"/>
  <c r="AY61" i="11"/>
  <c r="BC60" i="11"/>
  <c r="BE60" i="11" s="1"/>
  <c r="BQ60" i="11" l="1"/>
  <c r="BP61" i="11"/>
  <c r="BD64" i="11"/>
  <c r="Y65" i="11"/>
  <c r="CC60" i="11"/>
  <c r="CB61" i="11"/>
  <c r="CI69" i="11"/>
  <c r="CF70" i="11"/>
  <c r="BC61" i="11"/>
  <c r="BE61" i="11" s="1"/>
  <c r="AY62" i="11"/>
  <c r="CI70" i="11" l="1"/>
  <c r="CF71" i="11"/>
  <c r="BD65" i="11"/>
  <c r="Y66" i="11"/>
  <c r="AY63" i="11"/>
  <c r="BC62" i="11"/>
  <c r="BE62" i="11" s="1"/>
  <c r="BQ61" i="11"/>
  <c r="BP62" i="11"/>
  <c r="CC61" i="11"/>
  <c r="CB62" i="11"/>
  <c r="CI71" i="11" l="1"/>
  <c r="CF72" i="11"/>
  <c r="BD66" i="11"/>
  <c r="Y67" i="11"/>
  <c r="CC62" i="11"/>
  <c r="CB63" i="11"/>
  <c r="BQ62" i="11"/>
  <c r="BP63" i="11"/>
  <c r="AY64" i="11"/>
  <c r="BC63" i="11"/>
  <c r="BE63" i="11" s="1"/>
  <c r="BQ63" i="11" l="1"/>
  <c r="BP64" i="11"/>
  <c r="BD67" i="11"/>
  <c r="Y68" i="11"/>
  <c r="CC63" i="11"/>
  <c r="CB64" i="11"/>
  <c r="CI72" i="11"/>
  <c r="CF73" i="11"/>
  <c r="AY65" i="11"/>
  <c r="BC64" i="11"/>
  <c r="BE64" i="11" s="1"/>
  <c r="BD68" i="11" l="1"/>
  <c r="Y69" i="11"/>
  <c r="CI73" i="11"/>
  <c r="CF74" i="11"/>
  <c r="BQ64" i="11"/>
  <c r="BP65" i="11"/>
  <c r="CC64" i="11"/>
  <c r="CB65" i="11"/>
  <c r="AY66" i="11"/>
  <c r="BC65" i="11"/>
  <c r="BE65" i="11" s="1"/>
  <c r="CI74" i="11" l="1"/>
  <c r="CF75" i="11"/>
  <c r="CC65" i="11"/>
  <c r="CB66" i="11"/>
  <c r="BD69" i="11"/>
  <c r="Y70" i="11"/>
  <c r="BQ65" i="11"/>
  <c r="BP66" i="11"/>
  <c r="AY67" i="11"/>
  <c r="BC66" i="11"/>
  <c r="BE66" i="11" s="1"/>
  <c r="BQ66" i="11" l="1"/>
  <c r="BP67" i="11"/>
  <c r="CC66" i="11"/>
  <c r="CB67" i="11"/>
  <c r="BD70" i="11"/>
  <c r="Y71" i="11"/>
  <c r="CI75" i="11"/>
  <c r="CF76" i="11"/>
  <c r="AY68" i="11"/>
  <c r="BC67" i="11"/>
  <c r="BE67" i="11" s="1"/>
  <c r="CI76" i="11" l="1"/>
  <c r="CF77" i="11"/>
  <c r="CC67" i="11"/>
  <c r="CB68" i="11"/>
  <c r="BQ67" i="11"/>
  <c r="BP68" i="11"/>
  <c r="BD71" i="11"/>
  <c r="Y72" i="11"/>
  <c r="AY69" i="11"/>
  <c r="BC68" i="11"/>
  <c r="BE68" i="11" s="1"/>
  <c r="BD72" i="11" l="1"/>
  <c r="Y73" i="11"/>
  <c r="CC68" i="11"/>
  <c r="CB69" i="11"/>
  <c r="BQ68" i="11"/>
  <c r="BP69" i="11"/>
  <c r="CI77" i="11"/>
  <c r="CF78" i="11"/>
  <c r="AY70" i="11"/>
  <c r="BC69" i="11"/>
  <c r="BE69" i="11" s="1"/>
  <c r="CI78" i="11" l="1"/>
  <c r="CF79" i="11"/>
  <c r="CI79" i="11" s="1"/>
  <c r="CC69" i="11"/>
  <c r="CB70" i="11"/>
  <c r="BD73" i="11"/>
  <c r="Y74" i="11"/>
  <c r="BQ69" i="11"/>
  <c r="BP70" i="11"/>
  <c r="AY71" i="11"/>
  <c r="BC70" i="11"/>
  <c r="BE70" i="11" s="1"/>
  <c r="CC70" i="11" l="1"/>
  <c r="CB71" i="11"/>
  <c r="BQ70" i="11"/>
  <c r="BP71" i="11"/>
  <c r="BD74" i="11"/>
  <c r="Y75" i="11"/>
  <c r="AY72" i="11"/>
  <c r="BC71" i="11"/>
  <c r="BE71" i="11" s="1"/>
  <c r="BQ71" i="11" l="1"/>
  <c r="BP72" i="11"/>
  <c r="AY73" i="11"/>
  <c r="BC72" i="11"/>
  <c r="BE72" i="11" s="1"/>
  <c r="BD75" i="11"/>
  <c r="Y76" i="11"/>
  <c r="CB72" i="11"/>
  <c r="CC71" i="11"/>
  <c r="BC73" i="11" l="1"/>
  <c r="BE73" i="11" s="1"/>
  <c r="AY74" i="11"/>
  <c r="BQ72" i="11"/>
  <c r="BP73" i="11"/>
  <c r="CC72" i="11"/>
  <c r="CB73" i="11"/>
  <c r="BD76" i="11"/>
  <c r="Y77" i="11"/>
  <c r="BD77" i="11" l="1"/>
  <c r="Y78" i="11"/>
  <c r="BQ73" i="11"/>
  <c r="BP74" i="11"/>
  <c r="AY75" i="11"/>
  <c r="BC74" i="11"/>
  <c r="BE74" i="11" s="1"/>
  <c r="CC73" i="11"/>
  <c r="CB74" i="11"/>
  <c r="BQ74" i="11" l="1"/>
  <c r="BP75" i="11"/>
  <c r="BD78" i="11"/>
  <c r="Y79" i="11"/>
  <c r="BD79" i="11" s="1"/>
  <c r="CC74" i="11"/>
  <c r="CB75" i="11"/>
  <c r="AY76" i="11"/>
  <c r="BC75" i="11"/>
  <c r="BE75" i="11" s="1"/>
  <c r="CC75" i="11" l="1"/>
  <c r="CB76" i="11"/>
  <c r="AY77" i="11"/>
  <c r="BC76" i="11"/>
  <c r="BE76" i="11" s="1"/>
  <c r="BQ75" i="11"/>
  <c r="BP76" i="11"/>
  <c r="AY78" i="11" l="1"/>
  <c r="BC77" i="11"/>
  <c r="BE77" i="11" s="1"/>
  <c r="CC76" i="11"/>
  <c r="CB77" i="11"/>
  <c r="BQ76" i="11"/>
  <c r="BP77" i="11"/>
  <c r="CC77" i="11" l="1"/>
  <c r="CB78" i="11"/>
  <c r="BQ77" i="11"/>
  <c r="BP78" i="11"/>
  <c r="AY79" i="11"/>
  <c r="BC79" i="11" s="1"/>
  <c r="BE79" i="11" s="1"/>
  <c r="BC78" i="11"/>
  <c r="BE78" i="11" s="1"/>
  <c r="BQ78" i="11" l="1"/>
  <c r="BP79" i="11"/>
  <c r="BQ79" i="11" s="1"/>
  <c r="CC78" i="11"/>
  <c r="CB79" i="11"/>
  <c r="CC79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Arquimides Castro</author>
    <author>Lisi</author>
  </authors>
  <commentList>
    <comment ref="D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 xml:space="preserve">Arquimides Castro: </t>
        </r>
        <r>
          <rPr>
            <sz val="8"/>
            <color indexed="81"/>
            <rFont val="Tahoma"/>
            <family val="2"/>
          </rPr>
          <t>Datos de inoculación 
Xv = 1,14*10</t>
        </r>
        <r>
          <rPr>
            <vertAlign val="superscript"/>
            <sz val="8"/>
            <color indexed="81"/>
            <rFont val="Tahoma"/>
            <family val="2"/>
          </rPr>
          <t>6</t>
        </r>
        <r>
          <rPr>
            <sz val="8"/>
            <color indexed="81"/>
            <rFont val="Tahoma"/>
            <family val="2"/>
          </rPr>
          <t>cell/mL
Viab= 95,7%
volumen= 750 mL
Banco de W: 2045/T070407</t>
        </r>
      </text>
    </comment>
    <comment ref="J10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Lisi:
11h00</t>
        </r>
        <r>
          <rPr>
            <sz val="9"/>
            <color indexed="81"/>
            <rFont val="Tahoma"/>
            <family val="2"/>
          </rPr>
          <t xml:space="preserve">
Se inicia perfusion a
Flujo:0,6L/d
factor=3 (Drec/Dcs) </t>
        </r>
      </text>
    </comment>
    <comment ref="J12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Lisi:</t>
        </r>
        <r>
          <rPr>
            <sz val="9"/>
            <color indexed="81"/>
            <rFont val="Tahoma"/>
            <family val="2"/>
          </rPr>
          <t xml:space="preserve">
Se cambia a CC-0,45vvd
El campo del sonoperfusor </t>
        </r>
      </text>
    </comment>
    <comment ref="J20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Lisi:</t>
        </r>
        <r>
          <rPr>
            <sz val="9"/>
            <color indexed="81"/>
            <rFont val="Tahoma"/>
            <family val="2"/>
          </rPr>
          <t xml:space="preserve">
se cambia de 0,45vvd a 0,4vvd</t>
        </r>
      </text>
    </comment>
    <comment ref="J30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Lisi:</t>
        </r>
        <r>
          <rPr>
            <sz val="9"/>
            <color indexed="81"/>
            <rFont val="Tahoma"/>
            <family val="2"/>
          </rPr>
          <t xml:space="preserve">
Se sale manguera de medio y al llegar, el volumen del fermentador estaba en 1,4L. Antes del conteo se adiciona el medio para completar hasta volumen de trabajo </t>
        </r>
      </text>
    </comment>
    <comment ref="J3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Lisi:</t>
        </r>
        <r>
          <rPr>
            <sz val="9"/>
            <color indexed="81"/>
            <rFont val="Tahoma"/>
            <family val="2"/>
          </rPr>
          <t xml:space="preserve">
Luego del conteo se cambia velocidad de dilucion de 0,4 a 0,35vvd</t>
        </r>
      </text>
    </comment>
    <comment ref="J47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Lisi:</t>
        </r>
        <r>
          <rPr>
            <sz val="9"/>
            <color indexed="81"/>
            <rFont val="Tahoma"/>
            <family val="2"/>
          </rPr>
          <t xml:space="preserve">
luego del conteo se cambia velocidad de dilicion de 0,35vvd a 0,4vvd</t>
        </r>
      </text>
    </comment>
    <comment ref="C48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Lisi:</t>
        </r>
        <r>
          <rPr>
            <sz val="9"/>
            <color indexed="81"/>
            <rFont val="Tahoma"/>
            <family val="2"/>
          </rPr>
          <t xml:space="preserve">
Conteo por Alexi</t>
        </r>
      </text>
    </comment>
    <comment ref="J49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Lisi:</t>
        </r>
        <r>
          <rPr>
            <sz val="9"/>
            <color indexed="81"/>
            <rFont val="Tahoma"/>
            <family val="2"/>
          </rPr>
          <t xml:space="preserve">
Se acabó el NaHCo3 por lo que el pH comenzó a disminuir. De esto me di cuenta al regresar de vacaciones el lunes 29/7/2019</t>
        </r>
      </text>
    </comment>
    <comment ref="P50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Lisi:</t>
        </r>
        <r>
          <rPr>
            <sz val="9"/>
            <color indexed="81"/>
            <rFont val="Tahoma"/>
            <family val="2"/>
          </rPr>
          <t xml:space="preserve">
SE conecta bolsa de NaHCO3 a 50g/L</t>
        </r>
      </text>
    </comment>
    <comment ref="B57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Lisi:</t>
        </r>
        <r>
          <rPr>
            <sz val="9"/>
            <color indexed="81"/>
            <rFont val="Tahoma"/>
            <family val="2"/>
          </rPr>
          <t xml:space="preserve">
Conteo por Alexi</t>
        </r>
      </text>
    </comment>
    <comment ref="B5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Lisi:</t>
        </r>
        <r>
          <rPr>
            <sz val="9"/>
            <color indexed="81"/>
            <rFont val="Tahoma"/>
            <family val="2"/>
          </rPr>
          <t xml:space="preserve">
Conteo por Alexi</t>
        </r>
      </text>
    </comment>
    <comment ref="J61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Lisi:</t>
        </r>
        <r>
          <rPr>
            <sz val="9"/>
            <color indexed="81"/>
            <rFont val="Tahoma"/>
            <family val="2"/>
          </rPr>
          <t xml:space="preserve">
Ayer en la tarde se salio la manguera de medio del cabezal y se relleno el fermentador de medio. Se extrae parte del liquido hasta dejar volumen en 2,5L y que fuera bajando según su velocidad de cosecha que era de 0,8L/d. Debido a que el pH disminuyo hasta 6,93 se adiciona NaHCO3 hasta 7,12 pero al ponerse a funcionar el control llego a valores de 7,35 de pH.</t>
        </r>
      </text>
    </comment>
    <comment ref="J67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Lisi:</t>
        </r>
        <r>
          <rPr>
            <sz val="9"/>
            <color indexed="81"/>
            <rFont val="Tahoma"/>
            <family val="2"/>
          </rPr>
          <t xml:space="preserve">
Se cambia velocidad de dilucion de 0,4 a 0,45 luego del conteo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Lisi</author>
  </authors>
  <commentList>
    <comment ref="L1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Lisi:</t>
        </r>
        <r>
          <rPr>
            <sz val="9"/>
            <color indexed="81"/>
            <rFont val="Tahoma"/>
            <family val="2"/>
          </rPr>
          <t xml:space="preserve">
De lote: 3179/PM19035 (FP:4/6/19)
A lote: 3179/PM19036 (FP:18/6/19)</t>
        </r>
      </text>
    </comment>
    <comment ref="L13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Lisi:</t>
        </r>
        <r>
          <rPr>
            <sz val="9"/>
            <color indexed="81"/>
            <rFont val="Tahoma"/>
            <family val="2"/>
          </rPr>
          <t xml:space="preserve">
De lote:3179/PM19036 (FP:18/6/19)
A lote: 3179/PM19037 (FP: 11/6/19 </t>
        </r>
      </text>
    </comment>
    <comment ref="L15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Lisi:</t>
        </r>
        <r>
          <rPr>
            <sz val="9"/>
            <color indexed="81"/>
            <rFont val="Tahoma"/>
            <family val="2"/>
          </rPr>
          <t xml:space="preserve">
De lote:3179/PM19037 (FP: 11/6/19 
A lote: 3179/PM19044 (FP: 2/7/19</t>
        </r>
      </text>
    </comment>
  </commentList>
</comments>
</file>

<file path=xl/sharedStrings.xml><?xml version="1.0" encoding="utf-8"?>
<sst xmlns="http://schemas.openxmlformats.org/spreadsheetml/2006/main" count="532" uniqueCount="347">
  <si>
    <t>Run #</t>
  </si>
  <si>
    <t>Xv</t>
  </si>
  <si>
    <t>Runtime</t>
  </si>
  <si>
    <t>Culture vessel :</t>
  </si>
  <si>
    <t>Date</t>
  </si>
  <si>
    <t>Time</t>
  </si>
  <si>
    <t>Cell line</t>
  </si>
  <si>
    <t>Xt</t>
  </si>
  <si>
    <t>Inoculo :</t>
  </si>
  <si>
    <t>Medium</t>
  </si>
  <si>
    <t>Glucosa</t>
  </si>
  <si>
    <t>Viab</t>
  </si>
  <si>
    <t>Sample</t>
  </si>
  <si>
    <t>SXv</t>
  </si>
  <si>
    <t>#</t>
  </si>
  <si>
    <t>d-m/a</t>
  </si>
  <si>
    <t>hh:mm</t>
  </si>
  <si>
    <t xml:space="preserve"> h</t>
  </si>
  <si>
    <t>Intervalo</t>
  </si>
  <si>
    <t>cel/mL</t>
  </si>
  <si>
    <t>%</t>
  </si>
  <si>
    <t>Volumen del fermentador</t>
  </si>
  <si>
    <t>d</t>
  </si>
  <si>
    <t>VVD</t>
  </si>
  <si>
    <t>ug / mL</t>
  </si>
  <si>
    <t>vvd (h-1)</t>
  </si>
  <si>
    <t>vel.esp.</t>
  </si>
  <si>
    <t>µ</t>
  </si>
  <si>
    <t>SXddt</t>
  </si>
  <si>
    <t>cell/mL</t>
  </si>
  <si>
    <t xml:space="preserve">Xd </t>
  </si>
  <si>
    <t>Cs</t>
  </si>
  <si>
    <t>SXd Cs</t>
  </si>
  <si>
    <t xml:space="preserve">productividad </t>
  </si>
  <si>
    <t>Fecha</t>
  </si>
  <si>
    <t>Lact (mmol/L)</t>
  </si>
  <si>
    <t>NH4 (mmol/L)</t>
  </si>
  <si>
    <t>NH4 (umol/L)</t>
  </si>
  <si>
    <t>Cosecha</t>
  </si>
  <si>
    <t>Hora</t>
  </si>
  <si>
    <t>Time h</t>
  </si>
  <si>
    <t>Time d</t>
  </si>
  <si>
    <t>intervalo</t>
  </si>
  <si>
    <t>αDpXv</t>
  </si>
  <si>
    <t>SαDpXv</t>
  </si>
  <si>
    <t>Dp</t>
  </si>
  <si>
    <t>Dcc</t>
  </si>
  <si>
    <t>DccXv</t>
  </si>
  <si>
    <t>SDccXv</t>
  </si>
  <si>
    <t>Xv+SαDpXv+SDccXv</t>
  </si>
  <si>
    <t>Lotes</t>
  </si>
  <si>
    <t>trapecio</t>
  </si>
  <si>
    <t xml:space="preserve">pesada </t>
  </si>
  <si>
    <t>Perfusión</t>
  </si>
  <si>
    <t>Valor</t>
  </si>
  <si>
    <t>CC</t>
  </si>
  <si>
    <t>perfusión</t>
  </si>
  <si>
    <t>Cultivo continuo</t>
  </si>
  <si>
    <t>CSPR</t>
  </si>
  <si>
    <t>Volumen</t>
  </si>
  <si>
    <t>Volumen aplicado</t>
  </si>
  <si>
    <t>masa aplicada</t>
  </si>
  <si>
    <t>Inicio cosecha</t>
  </si>
  <si>
    <t>Gln (g/L)</t>
  </si>
  <si>
    <t>Gln (mmol/L)</t>
  </si>
  <si>
    <t>Glu (g/L)</t>
  </si>
  <si>
    <t>Sxd</t>
  </si>
  <si>
    <t>Cs 3</t>
  </si>
  <si>
    <t>Inóculo xxx</t>
  </si>
  <si>
    <t>Cosecha perfusión</t>
  </si>
  <si>
    <t>Cosecha cultivo continuo</t>
  </si>
  <si>
    <t>peso bolsa perfusión</t>
  </si>
  <si>
    <t>peso bolsa cultivo continuo</t>
  </si>
  <si>
    <t>Sobrenadante por día (L/d)</t>
  </si>
  <si>
    <t>VVD total</t>
  </si>
  <si>
    <t>Sobrenadante total intervalo</t>
  </si>
  <si>
    <t>Sobrenadante acumulado total</t>
  </si>
  <si>
    <t>Sobrenadante  intervalo perfusión</t>
  </si>
  <si>
    <t>Sobrenadante acumulado perfusión</t>
  </si>
  <si>
    <t>Sobrenadante perfundido por día (L/d)</t>
  </si>
  <si>
    <t>Sobrenadante  intervalo CC</t>
  </si>
  <si>
    <t>Sobrenadante acumulado CC</t>
  </si>
  <si>
    <t>Sobrenadante CC por día (L/d)</t>
  </si>
  <si>
    <t>VVD CC</t>
  </si>
  <si>
    <t>integrativa</t>
  </si>
  <si>
    <t>logarítmica</t>
  </si>
  <si>
    <t>Xv*Vf</t>
  </si>
  <si>
    <t>Volumen fermentador</t>
  </si>
  <si>
    <t>Vf</t>
  </si>
  <si>
    <t>Xd*Vf</t>
  </si>
  <si>
    <t>Xt*Vf</t>
  </si>
  <si>
    <t>IgG*Vf</t>
  </si>
  <si>
    <t>Intervalo de tiempo entre muestreos</t>
  </si>
  <si>
    <t>VVD perfusión (d-1)</t>
  </si>
  <si>
    <t>VVD perfusión (h-1)</t>
  </si>
  <si>
    <t>Velocidad de crecimiento</t>
  </si>
  <si>
    <t>velocidad específica de producción</t>
  </si>
  <si>
    <t>g</t>
  </si>
  <si>
    <t>Y mg/L</t>
  </si>
  <si>
    <t>CIP FR</t>
  </si>
  <si>
    <t xml:space="preserve">peso bolsa </t>
  </si>
  <si>
    <t>cultivo continuo</t>
  </si>
  <si>
    <t>Cs 2</t>
  </si>
  <si>
    <t>Cs 4</t>
  </si>
  <si>
    <t>No. Cs</t>
  </si>
  <si>
    <t>total</t>
  </si>
  <si>
    <t>preparación</t>
  </si>
  <si>
    <t xml:space="preserve">No. Lote </t>
  </si>
  <si>
    <t>polvo</t>
  </si>
  <si>
    <t>VVD total (h-1)</t>
  </si>
  <si>
    <t>IgG+SdIgG</t>
  </si>
  <si>
    <t>IgG+SdIgG=qp*SXv</t>
  </si>
  <si>
    <t>SDIgG</t>
  </si>
  <si>
    <t>DIgG</t>
  </si>
  <si>
    <t>masa SQ</t>
  </si>
  <si>
    <t>Con. IgG Cosecha Estimada por purificación</t>
  </si>
  <si>
    <t>Masa IgG Cosecha Estimada por fermentación</t>
  </si>
  <si>
    <t>diaria purificada</t>
  </si>
  <si>
    <t>diaria en sobrenadante</t>
  </si>
  <si>
    <t>masa acumulada en sobrenadante</t>
  </si>
  <si>
    <t>Conc. IgG por ELISA luego de filtrado</t>
  </si>
  <si>
    <t>Conc. IgG por ELISA antes de filtrar</t>
  </si>
  <si>
    <t>acumulado de gramos purificados</t>
  </si>
  <si>
    <t>IFA 1</t>
  </si>
  <si>
    <t>IFA 2</t>
  </si>
  <si>
    <t>IFA 3</t>
  </si>
  <si>
    <t>IFA 4</t>
  </si>
  <si>
    <t>IFA 5</t>
  </si>
  <si>
    <t>IFA 6</t>
  </si>
  <si>
    <t>IFA 7</t>
  </si>
  <si>
    <t>IFA 8</t>
  </si>
  <si>
    <t>IFA 9</t>
  </si>
  <si>
    <t>IFA 10</t>
  </si>
  <si>
    <t>acumulado de IFA</t>
  </si>
  <si>
    <t xml:space="preserve">IgG </t>
  </si>
  <si>
    <t>Producida</t>
  </si>
  <si>
    <t>pH</t>
  </si>
  <si>
    <t>Cond.</t>
  </si>
  <si>
    <t>Lotes de medio de cultivo</t>
  </si>
  <si>
    <t>3228TA1303</t>
  </si>
  <si>
    <t>kd</t>
  </si>
  <si>
    <t>3228TA1303 A</t>
  </si>
  <si>
    <t>3228TA1303 B</t>
  </si>
  <si>
    <t>3228TA1303 C</t>
  </si>
  <si>
    <t>3228TA1303 D</t>
  </si>
  <si>
    <t>3228TA1303 E</t>
  </si>
  <si>
    <t>3228TA1303 F</t>
  </si>
  <si>
    <t>3228TA1303 G</t>
  </si>
  <si>
    <t>3228TA1303 H</t>
  </si>
  <si>
    <t>3228TA1303 I</t>
  </si>
  <si>
    <t>3177/FM13138-5</t>
  </si>
  <si>
    <t>3177/FM13153-1</t>
  </si>
  <si>
    <t>3177/FM13153-2</t>
  </si>
  <si>
    <t>3177/FM13153-3</t>
  </si>
  <si>
    <t>3177/FM13153-4</t>
  </si>
  <si>
    <t>3177/FM13153-5</t>
  </si>
  <si>
    <t>3177/FM13160-1</t>
  </si>
  <si>
    <t>3177/FM13160-2</t>
  </si>
  <si>
    <t>Velocidad de crecimiento Batch</t>
  </si>
  <si>
    <t>Velocidad de crecimiento cultivo continuo</t>
  </si>
  <si>
    <t>Velocidad de Específica de producción Batch</t>
  </si>
  <si>
    <t>Velocidad de Específica de producción cultivo continuo</t>
  </si>
  <si>
    <t>Conc. HER1</t>
  </si>
  <si>
    <t>pH muestra</t>
  </si>
  <si>
    <t>3261/TA1701Cs1-1</t>
  </si>
  <si>
    <t>3261/TA1701Cs1-2</t>
  </si>
  <si>
    <t>3261/TA1701Cs1-3</t>
  </si>
  <si>
    <t>3261/TA1701Cs1-4</t>
  </si>
  <si>
    <t>Inmunoafinidad</t>
  </si>
  <si>
    <t>Masa IFA</t>
  </si>
  <si>
    <t>G-25 SQ</t>
  </si>
  <si>
    <t>G-25 Iafn</t>
  </si>
  <si>
    <t>3261/TA1702Cs1-1</t>
  </si>
  <si>
    <t>3261/TA1702Cs1-2</t>
  </si>
  <si>
    <t>3261/TA1702Cs1-3</t>
  </si>
  <si>
    <t>3261/TA1702Cs1-4</t>
  </si>
  <si>
    <t>3345/P1701</t>
  </si>
  <si>
    <t>3345/P1702</t>
  </si>
  <si>
    <t>3345/P1703</t>
  </si>
  <si>
    <t>3345/P1704</t>
  </si>
  <si>
    <t>3345/P1705</t>
  </si>
  <si>
    <t>3345/P1706</t>
  </si>
  <si>
    <t>3345/P1707</t>
  </si>
  <si>
    <t>3345/P1708</t>
  </si>
  <si>
    <t>3345/P1709</t>
  </si>
  <si>
    <t>3345/P1710</t>
  </si>
  <si>
    <t>3345/P1711</t>
  </si>
  <si>
    <t>3345/P1712</t>
  </si>
  <si>
    <t>3345/P1713</t>
  </si>
  <si>
    <t>3345/P1714</t>
  </si>
  <si>
    <t>3345/P1715</t>
  </si>
  <si>
    <t>3345/P1716</t>
  </si>
  <si>
    <t>3345/P1717</t>
  </si>
  <si>
    <t>3345/P1718</t>
  </si>
  <si>
    <t>3345/P1719</t>
  </si>
  <si>
    <t>3345/P1720</t>
  </si>
  <si>
    <t>3345/P1721</t>
  </si>
  <si>
    <t>3345/P1722</t>
  </si>
  <si>
    <t>3345/P1723</t>
  </si>
  <si>
    <t>3345/P1724</t>
  </si>
  <si>
    <t>3345/P1725</t>
  </si>
  <si>
    <t>3345/P1726</t>
  </si>
  <si>
    <t>3345/P1727</t>
  </si>
  <si>
    <t>3345/P1728</t>
  </si>
  <si>
    <t>3345/P1729</t>
  </si>
  <si>
    <t>3345/P1730</t>
  </si>
  <si>
    <t>3345/P1731</t>
  </si>
  <si>
    <t>3345/P1732</t>
  </si>
  <si>
    <t>Acumulado mg</t>
  </si>
  <si>
    <t>.</t>
  </si>
  <si>
    <r>
      <t xml:space="preserve">Eficiencia Sonoperfusor  </t>
    </r>
    <r>
      <rPr>
        <b/>
        <sz val="12"/>
        <rFont val="MS Sans Serif"/>
        <family val="2"/>
      </rPr>
      <t>α</t>
    </r>
  </si>
  <si>
    <t>Descongelación</t>
  </si>
  <si>
    <t>Conc. PD1</t>
  </si>
  <si>
    <t>IgG HPLC</t>
  </si>
  <si>
    <t>3263TA17xx</t>
  </si>
  <si>
    <t>PM171119</t>
  </si>
  <si>
    <t>PM171226</t>
  </si>
  <si>
    <t>Condiciones de cultivo</t>
  </si>
  <si>
    <t xml:space="preserve">Xv(Promedio) </t>
  </si>
  <si>
    <t>SD</t>
  </si>
  <si>
    <t>CV</t>
  </si>
  <si>
    <t>Xv(1)cel/mL</t>
  </si>
  <si>
    <t>Xv(2)cel/mL</t>
  </si>
  <si>
    <t>Xv(3)cel/mL</t>
  </si>
  <si>
    <t>FT0002L02</t>
  </si>
  <si>
    <t>HER293/HER1</t>
  </si>
  <si>
    <t>Aire:10mL/min; Agitacion:500rpm; Cultivo continuo empezando en 0,45vvd</t>
  </si>
  <si>
    <t>3056DC190510/30</t>
  </si>
  <si>
    <t>IC190605</t>
  </si>
  <si>
    <t>DO(%)</t>
  </si>
  <si>
    <t>Conc. Her1 * Elisa</t>
  </si>
  <si>
    <t xml:space="preserve">Cambio Bolsa de medio </t>
  </si>
  <si>
    <t>PFHMII-MB02(50/50)+8mM(NaAc)+2,5g/L(NaHCO3)+Corriente de NaHCO3 adicional a 50g/L al 10% de frecuencia</t>
  </si>
  <si>
    <t>Medios utlizados</t>
  </si>
  <si>
    <t>fecha filtracion</t>
  </si>
  <si>
    <t>3179/19035</t>
  </si>
  <si>
    <t>10L</t>
  </si>
  <si>
    <t>3179/19036</t>
  </si>
  <si>
    <t>3179/19037</t>
  </si>
  <si>
    <t>3179/19044</t>
  </si>
  <si>
    <t>20L</t>
  </si>
  <si>
    <t>3179/19048</t>
  </si>
  <si>
    <t>3179/19050</t>
  </si>
  <si>
    <t>µ(d-1)</t>
  </si>
  <si>
    <t>µ(h-1)</t>
  </si>
  <si>
    <t>Xv(prom)</t>
  </si>
  <si>
    <t>Dilution rate(d-1)</t>
  </si>
  <si>
    <t>Xv/D</t>
  </si>
  <si>
    <t>Xv/D(d)</t>
  </si>
  <si>
    <t>Gluc (mmol/L)</t>
  </si>
  <si>
    <t>Gluc(inicial)</t>
  </si>
  <si>
    <t>mM</t>
  </si>
  <si>
    <t>qS(Gluc)(nmol/e6*cel*h)</t>
  </si>
  <si>
    <t>qS(Lac)(nmol/e6*cel*h)</t>
  </si>
  <si>
    <r>
      <rPr>
        <b/>
        <sz val="10"/>
        <rFont val="Calibri"/>
        <family val="2"/>
      </rPr>
      <t>Δ</t>
    </r>
    <r>
      <rPr>
        <b/>
        <sz val="10"/>
        <rFont val="MS Sans Serif"/>
        <family val="2"/>
      </rPr>
      <t>lac/Δgluc</t>
    </r>
  </si>
  <si>
    <t>Gluc(prom)</t>
  </si>
  <si>
    <t>sd</t>
  </si>
  <si>
    <t>cv</t>
  </si>
  <si>
    <t>qS(prom)</t>
  </si>
  <si>
    <r>
      <rPr>
        <b/>
        <sz val="10"/>
        <rFont val="Calibri"/>
        <family val="2"/>
      </rPr>
      <t>Δ</t>
    </r>
    <r>
      <rPr>
        <b/>
        <sz val="10"/>
        <rFont val="MS Sans Serif"/>
        <family val="2"/>
      </rPr>
      <t>lac/Δgluc(prom)</t>
    </r>
  </si>
  <si>
    <t>lact(prom)</t>
  </si>
  <si>
    <t>qS(lact) prom</t>
  </si>
  <si>
    <t>qLact(derivativo)</t>
  </si>
  <si>
    <t>PC1</t>
  </si>
  <si>
    <t>PC2</t>
  </si>
  <si>
    <t>PC4</t>
  </si>
  <si>
    <t>PC3</t>
  </si>
  <si>
    <t>Correlation Loading</t>
  </si>
  <si>
    <t>GLN</t>
  </si>
  <si>
    <t>MET</t>
  </si>
  <si>
    <t>THR</t>
  </si>
  <si>
    <t>ARG</t>
  </si>
  <si>
    <t>ASP</t>
  </si>
  <si>
    <t>ASN</t>
  </si>
  <si>
    <t>TYR</t>
  </si>
  <si>
    <t>SER</t>
  </si>
  <si>
    <t>ILE</t>
  </si>
  <si>
    <t>Ribosa</t>
  </si>
  <si>
    <t>GLUC</t>
  </si>
  <si>
    <t>LYS</t>
  </si>
  <si>
    <t>LEU</t>
  </si>
  <si>
    <t>TRP</t>
  </si>
  <si>
    <t>Ornithine</t>
  </si>
  <si>
    <t>Riboflavina-B2</t>
  </si>
  <si>
    <t>ALA</t>
  </si>
  <si>
    <t>Ethanolamine-P</t>
  </si>
  <si>
    <t>G6P</t>
  </si>
  <si>
    <t>CH3-Lys</t>
  </si>
  <si>
    <t>GLY</t>
  </si>
  <si>
    <t>Thymidine</t>
  </si>
  <si>
    <t>aKG</t>
  </si>
  <si>
    <t>Fumarate</t>
  </si>
  <si>
    <t>Malate</t>
  </si>
  <si>
    <t>PRO</t>
  </si>
  <si>
    <t>VAL</t>
  </si>
  <si>
    <t>LACT</t>
  </si>
  <si>
    <t>Folate-B9</t>
  </si>
  <si>
    <t>PHE</t>
  </si>
  <si>
    <t>Succinic Acid</t>
  </si>
  <si>
    <t>Hypoxanthine</t>
  </si>
  <si>
    <t>q(Gluc) Integrativo</t>
  </si>
  <si>
    <t>Gluc(mM)</t>
  </si>
  <si>
    <t>Lact(mM)</t>
  </si>
  <si>
    <t>Δlact/Δgluc</t>
  </si>
  <si>
    <t>qP(Her1) (ug/cel*h)</t>
  </si>
  <si>
    <t>qP(Her1) (PCD)</t>
  </si>
  <si>
    <t>qP(Her1)(PCP)</t>
  </si>
  <si>
    <t>Promedio</t>
  </si>
  <si>
    <t>q(Gluc)(nmol/e6cel/h)</t>
  </si>
  <si>
    <t>q(Lact)(nmol/e6cel/h)</t>
  </si>
  <si>
    <r>
      <t>qP(Her1)(</t>
    </r>
    <r>
      <rPr>
        <sz val="18"/>
        <color rgb="FF000000"/>
        <rFont val="Calibri"/>
        <family val="2"/>
      </rPr>
      <t>µ</t>
    </r>
    <r>
      <rPr>
        <sz val="16.2"/>
        <color rgb="FF000000"/>
        <rFont val="Tw Cen MT"/>
        <family val="2"/>
      </rPr>
      <t>g/cel/h</t>
    </r>
    <r>
      <rPr>
        <sz val="18"/>
        <color rgb="FF000000"/>
        <rFont val="Tw Cen MT"/>
        <family val="2"/>
      </rPr>
      <t>)</t>
    </r>
  </si>
  <si>
    <t>CSPR(nL/cel/d)</t>
  </si>
  <si>
    <t>C(P) (mg/L)</t>
  </si>
  <si>
    <t>Xv(Prom) (cel/mL)</t>
  </si>
  <si>
    <t>PV (mg/L/d)</t>
  </si>
  <si>
    <t>PV</t>
  </si>
  <si>
    <t>Rendimiento observado</t>
  </si>
  <si>
    <r>
      <rPr>
        <b/>
        <sz val="10"/>
        <rFont val="Calibri"/>
        <family val="2"/>
      </rPr>
      <t>ΔXv</t>
    </r>
    <r>
      <rPr>
        <b/>
        <sz val="10"/>
        <rFont val="MS Sans Serif"/>
        <family val="2"/>
      </rPr>
      <t>/ΔGLN</t>
    </r>
  </si>
  <si>
    <r>
      <rPr>
        <b/>
        <sz val="10"/>
        <rFont val="Calibri"/>
        <family val="2"/>
      </rPr>
      <t>ΔXv</t>
    </r>
    <r>
      <rPr>
        <b/>
        <sz val="10"/>
        <rFont val="MS Sans Serif"/>
        <family val="2"/>
      </rPr>
      <t>/Δgluc(*e6cél/mol)</t>
    </r>
  </si>
  <si>
    <t>Gln Inicial (mmol/L)</t>
  </si>
  <si>
    <t>SS1</t>
  </si>
  <si>
    <t>SS2</t>
  </si>
  <si>
    <t>SS3</t>
  </si>
  <si>
    <t>SS4</t>
  </si>
  <si>
    <t>SS5</t>
  </si>
  <si>
    <t>0,35vvd</t>
  </si>
  <si>
    <t>0,4_1</t>
  </si>
  <si>
    <t>0,4_2</t>
  </si>
  <si>
    <t>0,45_1</t>
  </si>
  <si>
    <t>0,45_2</t>
  </si>
  <si>
    <t>q(GLN)(nmol/e6cel/h)</t>
  </si>
  <si>
    <t>Lact (mM)</t>
  </si>
  <si>
    <r>
      <t>Y</t>
    </r>
    <r>
      <rPr>
        <vertAlign val="subscript"/>
        <sz val="12"/>
        <rFont val="Arial"/>
        <family val="2"/>
      </rPr>
      <t xml:space="preserve">Lact/Gluc  </t>
    </r>
  </si>
  <si>
    <t>Costo unitario</t>
  </si>
  <si>
    <t>qGluc(nmol/e6cel/h)</t>
  </si>
  <si>
    <t>µ(1/h)</t>
  </si>
  <si>
    <t>Cultivo Continuo-SS1</t>
  </si>
  <si>
    <t>Cultivo Continuo-SS5</t>
  </si>
  <si>
    <t xml:space="preserve">Cultivo en lote-Etapa exponencial </t>
  </si>
  <si>
    <t>qGLN(nmol/e6cel/h)</t>
  </si>
  <si>
    <t>qLact(nmol/e6cel/h)</t>
  </si>
  <si>
    <r>
      <t>Y</t>
    </r>
    <r>
      <rPr>
        <vertAlign val="subscript"/>
        <sz val="12"/>
        <rFont val="Arial"/>
        <family val="2"/>
      </rPr>
      <t>Lact/Gluc  (mol/mol)</t>
    </r>
  </si>
  <si>
    <t>Transición</t>
  </si>
  <si>
    <t>costo de medio de cultivo</t>
  </si>
  <si>
    <t>$/L</t>
  </si>
  <si>
    <t>C(Her1) (mg/L)</t>
  </si>
  <si>
    <t>CU ($/g/d)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</si>
</sst>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d\-mmm/yy"/>
    <numFmt numFmtId="165" formatCode="00.00E+00"/>
    <numFmt numFmtId="166" formatCode="0.0000"/>
    <numFmt numFmtId="167" formatCode="0.0%"/>
    <numFmt numFmtId="168" formatCode="0.0"/>
    <numFmt numFmtId="169" formatCode="0.000"/>
    <numFmt numFmtId="170" formatCode="0\ &quot;L&quot;"/>
    <numFmt numFmtId="171" formatCode="hh:mm;@"/>
    <numFmt numFmtId="172" formatCode="0.0000E+00"/>
    <numFmt numFmtId="173" formatCode="0.00;[Red]0.00"/>
    <numFmt numFmtId="174" formatCode="0;[Red]0"/>
    <numFmt numFmtId="175" formatCode="#,##0.0"/>
    <numFmt numFmtId="176" formatCode="0.0;[Red]0.0"/>
  </numFmts>
  <fonts count="66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10"/>
      <name val="MS Sans Serif"/>
      <family val="2"/>
    </font>
    <font>
      <b/>
      <sz val="8"/>
      <color indexed="10"/>
      <name val="MS Sans Serif"/>
      <family val="2"/>
    </font>
    <font>
      <b/>
      <sz val="8"/>
      <name val="MS Sans Serif"/>
      <family val="2"/>
    </font>
    <font>
      <b/>
      <sz val="13.5"/>
      <name val="MS Sans Serif"/>
      <family val="2"/>
    </font>
    <font>
      <sz val="10"/>
      <name val="Arial"/>
      <family val="2"/>
    </font>
    <font>
      <b/>
      <sz val="8"/>
      <color indexed="10"/>
      <name val="MS Sans Serif"/>
      <family val="2"/>
    </font>
    <font>
      <b/>
      <sz val="10"/>
      <name val="Arial"/>
      <family val="2"/>
    </font>
    <font>
      <b/>
      <sz val="8"/>
      <name val="Symbol"/>
      <family val="1"/>
      <charset val="2"/>
    </font>
    <font>
      <b/>
      <sz val="10"/>
      <name val="MS Sans Serif"/>
      <family val="2"/>
    </font>
    <font>
      <b/>
      <sz val="8.5"/>
      <name val="MS Sans Serif"/>
      <family val="2"/>
    </font>
    <font>
      <sz val="8"/>
      <name val="MS Sans Serif"/>
      <family val="2"/>
    </font>
    <font>
      <b/>
      <sz val="12"/>
      <name val="MS Sans Serif"/>
      <family val="2"/>
    </font>
    <font>
      <sz val="8"/>
      <color indexed="81"/>
      <name val="Tahoma"/>
      <family val="2"/>
    </font>
    <font>
      <sz val="10"/>
      <name val="MS Sans Serif"/>
      <family val="2"/>
    </font>
    <font>
      <b/>
      <sz val="18"/>
      <name val="MS Sans Serif"/>
      <family val="2"/>
    </font>
    <font>
      <sz val="10"/>
      <name val="Arial"/>
      <family val="2"/>
    </font>
    <font>
      <b/>
      <sz val="10"/>
      <color indexed="8"/>
      <name val="MS Sans Serif"/>
      <family val="2"/>
    </font>
    <font>
      <b/>
      <sz val="8.5"/>
      <color indexed="8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53"/>
      <name val="Calibri"/>
      <family val="2"/>
    </font>
    <font>
      <sz val="11"/>
      <color indexed="53"/>
      <name val="Calibri"/>
      <family val="2"/>
    </font>
    <font>
      <sz val="11"/>
      <color indexed="16"/>
      <name val="Calibri"/>
      <family val="2"/>
    </font>
    <font>
      <sz val="11"/>
      <color indexed="60"/>
      <name val="Calibri"/>
      <family val="2"/>
    </font>
    <font>
      <b/>
      <sz val="8"/>
      <color indexed="81"/>
      <name val="Tahoma"/>
      <family val="2"/>
    </font>
    <font>
      <b/>
      <i/>
      <sz val="10"/>
      <name val="MS Sans Serif"/>
      <family val="2"/>
    </font>
    <font>
      <sz val="11"/>
      <color rgb="FF17365D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8"/>
      <color indexed="81"/>
      <name val="Tahoma"/>
      <family val="2"/>
    </font>
    <font>
      <sz val="8"/>
      <name val="MS Sans Serif"/>
    </font>
    <font>
      <sz val="11"/>
      <name val="Arial"/>
      <family val="2"/>
    </font>
    <font>
      <b/>
      <sz val="10"/>
      <name val="Calibri"/>
      <family val="2"/>
    </font>
    <font>
      <sz val="18"/>
      <name val="Arial"/>
      <family val="2"/>
    </font>
    <font>
      <b/>
      <sz val="18"/>
      <color rgb="FFFFFFFF"/>
      <name val="Tw Cen MT"/>
      <family val="2"/>
    </font>
    <font>
      <sz val="18"/>
      <color rgb="FF000000"/>
      <name val="Tw Cen MT"/>
      <family val="2"/>
    </font>
    <font>
      <sz val="18"/>
      <color rgb="FF000000"/>
      <name val="Calibri"/>
      <family val="2"/>
    </font>
    <font>
      <sz val="16.2"/>
      <color rgb="FF000000"/>
      <name val="Tw Cen MT"/>
      <family val="2"/>
    </font>
    <font>
      <b/>
      <sz val="10"/>
      <name val="MS Sans Serif"/>
    </font>
    <font>
      <b/>
      <sz val="18"/>
      <name val="MS Sans Serif"/>
    </font>
    <font>
      <vertAlign val="subscript"/>
      <sz val="12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42"/>
        <bgColor indexed="42"/>
      </patternFill>
    </fill>
    <fill>
      <patternFill patternType="solid">
        <fgColor indexed="9"/>
        <bgColor indexed="9"/>
      </patternFill>
    </fill>
    <fill>
      <patternFill patternType="solid">
        <fgColor indexed="55"/>
        <b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25"/>
        <bgColor indexed="25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43"/>
        <bgColor indexed="43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2FA3EE"/>
        <bgColor indexed="64"/>
      </patternFill>
    </fill>
    <fill>
      <patternFill patternType="solid">
        <fgColor rgb="FFCDE0F8"/>
        <bgColor indexed="64"/>
      </patternFill>
    </fill>
    <fill>
      <patternFill patternType="solid">
        <fgColor rgb="FFE8F0FC"/>
        <bgColor indexed="64"/>
      </patternFill>
    </fill>
    <fill>
      <patternFill patternType="solid">
        <fgColor rgb="FFCCECFF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91">
    <xf numFmtId="0" fontId="0" fillId="0" borderId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45" fillId="3" borderId="1" applyNumberFormat="0" applyAlignment="0" applyProtection="0"/>
    <xf numFmtId="0" fontId="45" fillId="3" borderId="1" applyNumberFormat="0" applyAlignment="0" applyProtection="0"/>
    <xf numFmtId="0" fontId="45" fillId="3" borderId="1" applyNumberFormat="0" applyAlignment="0" applyProtection="0"/>
    <xf numFmtId="0" fontId="45" fillId="3" borderId="1" applyNumberFormat="0" applyAlignment="0" applyProtection="0"/>
    <xf numFmtId="0" fontId="45" fillId="3" borderId="1" applyNumberFormat="0" applyAlignment="0" applyProtection="0"/>
    <xf numFmtId="0" fontId="36" fillId="4" borderId="2" applyNumberFormat="0" applyAlignment="0" applyProtection="0"/>
    <xf numFmtId="0" fontId="36" fillId="4" borderId="2" applyNumberFormat="0" applyAlignment="0" applyProtection="0"/>
    <xf numFmtId="0" fontId="36" fillId="4" borderId="2" applyNumberFormat="0" applyAlignment="0" applyProtection="0"/>
    <xf numFmtId="0" fontId="36" fillId="4" borderId="2" applyNumberFormat="0" applyAlignment="0" applyProtection="0"/>
    <xf numFmtId="0" fontId="36" fillId="4" borderId="2" applyNumberFormat="0" applyAlignment="0" applyProtection="0"/>
    <xf numFmtId="0" fontId="46" fillId="0" borderId="3" applyNumberFormat="0" applyFill="0" applyAlignment="0" applyProtection="0"/>
    <xf numFmtId="0" fontId="46" fillId="0" borderId="3" applyNumberFormat="0" applyFill="0" applyAlignment="0" applyProtection="0"/>
    <xf numFmtId="0" fontId="46" fillId="0" borderId="3" applyNumberFormat="0" applyFill="0" applyAlignment="0" applyProtection="0"/>
    <xf numFmtId="0" fontId="46" fillId="0" borderId="3" applyNumberFormat="0" applyFill="0" applyAlignment="0" applyProtection="0"/>
    <xf numFmtId="0" fontId="46" fillId="0" borderId="3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4" fillId="5" borderId="0" applyNumberFormat="0" applyBorder="0" applyAlignment="0" applyProtection="0"/>
    <xf numFmtId="0" fontId="44" fillId="6" borderId="0" applyNumberFormat="0" applyBorder="0" applyAlignment="0" applyProtection="0"/>
    <xf numFmtId="0" fontId="44" fillId="7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3" fillId="11" borderId="0" applyNumberFormat="0" applyBorder="0" applyAlignment="0" applyProtection="0"/>
    <xf numFmtId="0" fontId="33" fillId="12" borderId="0" applyNumberFormat="0" applyBorder="0" applyAlignment="0" applyProtection="0"/>
    <xf numFmtId="0" fontId="34" fillId="4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3" fillId="11" borderId="0" applyNumberFormat="0" applyBorder="0" applyAlignment="0" applyProtection="0"/>
    <xf numFmtId="0" fontId="33" fillId="2" borderId="0" applyNumberFormat="0" applyBorder="0" applyAlignment="0" applyProtection="0"/>
    <xf numFmtId="0" fontId="34" fillId="12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3" fillId="8" borderId="0" applyNumberFormat="0" applyBorder="0" applyAlignment="0" applyProtection="0"/>
    <xf numFmtId="0" fontId="33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3" fillId="14" borderId="0" applyNumberFormat="0" applyBorder="0" applyAlignment="0" applyProtection="0"/>
    <xf numFmtId="0" fontId="33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3" fillId="11" borderId="0" applyNumberFormat="0" applyBorder="0" applyAlignment="0" applyProtection="0"/>
    <xf numFmtId="0" fontId="33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9" fillId="16" borderId="1" applyNumberFormat="0" applyAlignment="0" applyProtection="0"/>
    <xf numFmtId="0" fontId="39" fillId="16" borderId="1" applyNumberFormat="0" applyAlignment="0" applyProtection="0"/>
    <xf numFmtId="0" fontId="39" fillId="16" borderId="1" applyNumberFormat="0" applyAlignment="0" applyProtection="0"/>
    <xf numFmtId="0" fontId="39" fillId="16" borderId="1" applyNumberFormat="0" applyAlignment="0" applyProtection="0"/>
    <xf numFmtId="0" fontId="39" fillId="16" borderId="1" applyNumberFormat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11" borderId="4" applyNumberFormat="0" applyFont="0" applyAlignment="0" applyProtection="0"/>
    <xf numFmtId="0" fontId="19" fillId="11" borderId="4" applyNumberFormat="0" applyFont="0" applyAlignment="0" applyProtection="0"/>
    <xf numFmtId="0" fontId="19" fillId="11" borderId="4" applyNumberFormat="0" applyFont="0" applyAlignment="0" applyProtection="0"/>
    <xf numFmtId="0" fontId="19" fillId="11" borderId="4" applyNumberFormat="0" applyFont="0" applyAlignment="0" applyProtection="0"/>
    <xf numFmtId="0" fontId="19" fillId="11" borderId="4" applyNumberFormat="0" applyFont="0" applyAlignment="0" applyProtection="0"/>
    <xf numFmtId="0" fontId="40" fillId="3" borderId="5" applyNumberFormat="0" applyAlignment="0" applyProtection="0"/>
    <xf numFmtId="0" fontId="40" fillId="3" borderId="5" applyNumberFormat="0" applyAlignment="0" applyProtection="0"/>
    <xf numFmtId="0" fontId="40" fillId="3" borderId="5" applyNumberFormat="0" applyAlignment="0" applyProtection="0"/>
    <xf numFmtId="0" fontId="40" fillId="3" borderId="5" applyNumberFormat="0" applyAlignment="0" applyProtection="0"/>
    <xf numFmtId="0" fontId="40" fillId="3" borderId="5" applyNumberFormat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41" fillId="0" borderId="0" applyNumberFormat="0" applyFill="0" applyBorder="0" applyAlignment="0" applyProtection="0"/>
    <xf numFmtId="0" fontId="44" fillId="0" borderId="9" applyNumberFormat="0" applyFill="0" applyAlignment="0" applyProtection="0"/>
    <xf numFmtId="0" fontId="44" fillId="0" borderId="9" applyNumberFormat="0" applyFill="0" applyAlignment="0" applyProtection="0"/>
    <xf numFmtId="0" fontId="44" fillId="0" borderId="9" applyNumberFormat="0" applyFill="0" applyAlignment="0" applyProtection="0"/>
    <xf numFmtId="0" fontId="44" fillId="0" borderId="9" applyNumberFormat="0" applyFill="0" applyAlignment="0" applyProtection="0"/>
    <xf numFmtId="0" fontId="44" fillId="0" borderId="9" applyNumberFormat="0" applyFill="0" applyAlignment="0" applyProtection="0"/>
    <xf numFmtId="0" fontId="13" fillId="0" borderId="0"/>
    <xf numFmtId="0" fontId="12" fillId="0" borderId="0"/>
    <xf numFmtId="0" fontId="19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5" fillId="2" borderId="0" applyNumberFormat="0" applyBorder="0" applyAlignment="0" applyProtection="0"/>
    <xf numFmtId="0" fontId="45" fillId="3" borderId="1" applyNumberFormat="0" applyAlignment="0" applyProtection="0"/>
    <xf numFmtId="0" fontId="36" fillId="4" borderId="2" applyNumberFormat="0" applyAlignment="0" applyProtection="0"/>
    <xf numFmtId="0" fontId="46" fillId="0" borderId="3" applyNumberFormat="0" applyFill="0" applyAlignment="0" applyProtection="0"/>
    <xf numFmtId="0" fontId="38" fillId="0" borderId="0" applyNumberFormat="0" applyFill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4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4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5" borderId="0" applyNumberFormat="0" applyBorder="0" applyAlignment="0" applyProtection="0"/>
    <xf numFmtId="0" fontId="38" fillId="0" borderId="0" applyNumberFormat="0" applyFill="0" applyBorder="0" applyAlignment="0" applyProtection="0"/>
    <xf numFmtId="0" fontId="46" fillId="0" borderId="3" applyNumberFormat="0" applyFill="0" applyAlignment="0" applyProtection="0"/>
    <xf numFmtId="0" fontId="34" fillId="17" borderId="0" applyNumberFormat="0" applyBorder="0" applyAlignment="0" applyProtection="0"/>
    <xf numFmtId="0" fontId="36" fillId="4" borderId="2" applyNumberFormat="0" applyAlignment="0" applyProtection="0"/>
    <xf numFmtId="0" fontId="45" fillId="3" borderId="1" applyNumberFormat="0" applyAlignment="0" applyProtection="0"/>
    <xf numFmtId="0" fontId="35" fillId="2" borderId="0" applyNumberFormat="0" applyBorder="0" applyAlignment="0" applyProtection="0"/>
    <xf numFmtId="0" fontId="39" fillId="16" borderId="1" applyNumberFormat="0" applyAlignment="0" applyProtection="0"/>
    <xf numFmtId="0" fontId="47" fillId="18" borderId="0" applyNumberFormat="0" applyBorder="0" applyAlignment="0" applyProtection="0"/>
    <xf numFmtId="0" fontId="48" fillId="19" borderId="0" applyNumberFormat="0" applyBorder="0" applyAlignment="0" applyProtection="0"/>
    <xf numFmtId="0" fontId="19" fillId="0" borderId="0"/>
    <xf numFmtId="0" fontId="19" fillId="11" borderId="4" applyNumberFormat="0" applyFont="0" applyAlignment="0" applyProtection="0"/>
    <xf numFmtId="0" fontId="40" fillId="3" borderId="5" applyNumberFormat="0" applyAlignment="0" applyProtection="0"/>
    <xf numFmtId="0" fontId="37" fillId="0" borderId="0" applyNumberFormat="0" applyFill="0" applyBorder="0" applyAlignment="0" applyProtection="0"/>
    <xf numFmtId="0" fontId="42" fillId="0" borderId="6" applyNumberFormat="0" applyFill="0" applyAlignment="0" applyProtection="0"/>
    <xf numFmtId="0" fontId="43" fillId="0" borderId="7" applyNumberFormat="0" applyFill="0" applyAlignment="0" applyProtection="0"/>
    <xf numFmtId="0" fontId="38" fillId="0" borderId="8" applyNumberFormat="0" applyFill="0" applyAlignment="0" applyProtection="0"/>
    <xf numFmtId="0" fontId="44" fillId="0" borderId="9" applyNumberFormat="0" applyFill="0" applyAlignment="0" applyProtection="0"/>
    <xf numFmtId="0" fontId="34" fillId="15" borderId="0" applyNumberFormat="0" applyBorder="0" applyAlignment="0" applyProtection="0"/>
    <xf numFmtId="0" fontId="34" fillId="17" borderId="0" applyNumberFormat="0" applyBorder="0" applyAlignment="0" applyProtection="0"/>
    <xf numFmtId="0" fontId="39" fillId="16" borderId="1" applyNumberFormat="0" applyAlignment="0" applyProtection="0"/>
    <xf numFmtId="0" fontId="47" fillId="18" borderId="0" applyNumberFormat="0" applyBorder="0" applyAlignment="0" applyProtection="0"/>
    <xf numFmtId="0" fontId="48" fillId="19" borderId="0" applyNumberFormat="0" applyBorder="0" applyAlignment="0" applyProtection="0"/>
    <xf numFmtId="0" fontId="19" fillId="0" borderId="0"/>
    <xf numFmtId="0" fontId="19" fillId="11" borderId="4" applyNumberFormat="0" applyFont="0" applyAlignment="0" applyProtection="0"/>
    <xf numFmtId="0" fontId="40" fillId="3" borderId="5" applyNumberFormat="0" applyAlignment="0" applyProtection="0"/>
    <xf numFmtId="0" fontId="37" fillId="0" borderId="0" applyNumberFormat="0" applyFill="0" applyBorder="0" applyAlignment="0" applyProtection="0"/>
    <xf numFmtId="0" fontId="42" fillId="0" borderId="6" applyNumberFormat="0" applyFill="0" applyAlignment="0" applyProtection="0"/>
    <xf numFmtId="0" fontId="43" fillId="0" borderId="7" applyNumberFormat="0" applyFill="0" applyAlignment="0" applyProtection="0"/>
    <xf numFmtId="0" fontId="38" fillId="0" borderId="8" applyNumberFormat="0" applyFill="0" applyAlignment="0" applyProtection="0"/>
    <xf numFmtId="0" fontId="44" fillId="0" borderId="9" applyNumberFormat="0" applyFill="0" applyAlignment="0" applyProtection="0"/>
    <xf numFmtId="0" fontId="3" fillId="0" borderId="0"/>
    <xf numFmtId="0" fontId="2" fillId="0" borderId="0"/>
  </cellStyleXfs>
  <cellXfs count="375">
    <xf numFmtId="0" fontId="0" fillId="0" borderId="0" xfId="0"/>
    <xf numFmtId="0" fontId="17" fillId="20" borderId="10" xfId="0" applyFont="1" applyFill="1" applyBorder="1" applyAlignment="1">
      <alignment horizontal="center"/>
    </xf>
    <xf numFmtId="164" fontId="17" fillId="20" borderId="10" xfId="0" applyNumberFormat="1" applyFont="1" applyFill="1" applyBorder="1" applyAlignment="1">
      <alignment horizontal="center"/>
    </xf>
    <xf numFmtId="20" fontId="17" fillId="20" borderId="10" xfId="0" applyNumberFormat="1" applyFont="1" applyFill="1" applyBorder="1" applyAlignment="1">
      <alignment horizontal="center"/>
    </xf>
    <xf numFmtId="0" fontId="17" fillId="20" borderId="11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0" xfId="0" applyFont="1" applyAlignment="1">
      <alignment horizontal="center"/>
    </xf>
    <xf numFmtId="20" fontId="17" fillId="0" borderId="14" xfId="0" applyNumberFormat="1" applyFont="1" applyBorder="1" applyAlignment="1">
      <alignment horizontal="center"/>
    </xf>
    <xf numFmtId="164" fontId="17" fillId="0" borderId="15" xfId="0" applyNumberFormat="1" applyFont="1" applyBorder="1" applyAlignment="1">
      <alignment horizontal="center"/>
    </xf>
    <xf numFmtId="20" fontId="17" fillId="0" borderId="15" xfId="0" applyNumberFormat="1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7" fillId="20" borderId="16" xfId="0" applyFont="1" applyFill="1" applyBorder="1" applyAlignment="1">
      <alignment horizontal="center"/>
    </xf>
    <xf numFmtId="164" fontId="17" fillId="20" borderId="16" xfId="0" applyNumberFormat="1" applyFont="1" applyFill="1" applyBorder="1" applyAlignment="1">
      <alignment horizontal="center"/>
    </xf>
    <xf numFmtId="20" fontId="17" fillId="20" borderId="16" xfId="0" applyNumberFormat="1" applyFont="1" applyFill="1" applyBorder="1" applyAlignment="1">
      <alignment horizontal="center"/>
    </xf>
    <xf numFmtId="0" fontId="17" fillId="20" borderId="17" xfId="0" applyFont="1" applyFill="1" applyBorder="1" applyAlignment="1">
      <alignment horizontal="center"/>
    </xf>
    <xf numFmtId="15" fontId="16" fillId="0" borderId="18" xfId="0" applyNumberFormat="1" applyFont="1" applyBorder="1" applyAlignment="1">
      <alignment horizontal="center"/>
    </xf>
    <xf numFmtId="166" fontId="17" fillId="0" borderId="0" xfId="0" applyNumberFormat="1" applyFont="1" applyAlignment="1">
      <alignment horizontal="center"/>
    </xf>
    <xf numFmtId="166" fontId="0" fillId="0" borderId="0" xfId="0" applyNumberFormat="1"/>
    <xf numFmtId="1" fontId="17" fillId="0" borderId="17" xfId="0" applyNumberFormat="1" applyFont="1" applyBorder="1" applyAlignment="1">
      <alignment horizontal="center"/>
    </xf>
    <xf numFmtId="1" fontId="17" fillId="0" borderId="19" xfId="0" applyNumberFormat="1" applyFont="1" applyBorder="1" applyAlignment="1">
      <alignment horizontal="center"/>
    </xf>
    <xf numFmtId="1" fontId="17" fillId="20" borderId="16" xfId="0" applyNumberFormat="1" applyFont="1" applyFill="1" applyBorder="1" applyAlignment="1">
      <alignment horizontal="center"/>
    </xf>
    <xf numFmtId="1" fontId="17" fillId="20" borderId="10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1" fontId="17" fillId="0" borderId="0" xfId="0" applyNumberFormat="1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4" fillId="0" borderId="0" xfId="97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17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4" fillId="0" borderId="0" xfId="0" applyFont="1"/>
    <xf numFmtId="0" fontId="21" fillId="21" borderId="20" xfId="0" applyFont="1" applyFill="1" applyBorder="1" applyAlignment="1">
      <alignment horizontal="center"/>
    </xf>
    <xf numFmtId="0" fontId="17" fillId="21" borderId="10" xfId="0" applyFont="1" applyFill="1" applyBorder="1" applyAlignment="1">
      <alignment horizontal="center"/>
    </xf>
    <xf numFmtId="0" fontId="17" fillId="20" borderId="21" xfId="0" applyFont="1" applyFill="1" applyBorder="1" applyAlignment="1">
      <alignment horizontal="center"/>
    </xf>
    <xf numFmtId="49" fontId="20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68" fontId="23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17" fillId="20" borderId="14" xfId="0" applyFont="1" applyFill="1" applyBorder="1" applyAlignment="1">
      <alignment horizontal="center"/>
    </xf>
    <xf numFmtId="0" fontId="17" fillId="21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14" fillId="0" borderId="14" xfId="0" applyNumberFormat="1" applyFont="1" applyBorder="1" applyAlignment="1">
      <alignment horizontal="center"/>
    </xf>
    <xf numFmtId="1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21" fillId="21" borderId="28" xfId="0" applyFont="1" applyFill="1" applyBorder="1" applyAlignment="1">
      <alignment horizontal="center"/>
    </xf>
    <xf numFmtId="0" fontId="21" fillId="21" borderId="29" xfId="0" applyFont="1" applyFill="1" applyBorder="1" applyAlignment="1">
      <alignment horizontal="center"/>
    </xf>
    <xf numFmtId="0" fontId="21" fillId="21" borderId="30" xfId="0" applyFont="1" applyFill="1" applyBorder="1" applyAlignment="1">
      <alignment horizontal="center"/>
    </xf>
    <xf numFmtId="0" fontId="23" fillId="0" borderId="31" xfId="0" applyFont="1" applyBorder="1" applyAlignment="1">
      <alignment horizontal="center"/>
    </xf>
    <xf numFmtId="2" fontId="15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17" fillId="20" borderId="0" xfId="0" applyFont="1" applyFill="1" applyAlignment="1">
      <alignment horizontal="center"/>
    </xf>
    <xf numFmtId="167" fontId="28" fillId="0" borderId="0" xfId="0" applyNumberFormat="1" applyFont="1" applyAlignment="1">
      <alignment horizontal="center"/>
    </xf>
    <xf numFmtId="14" fontId="17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168" fontId="14" fillId="0" borderId="0" xfId="97" applyNumberFormat="1" applyFont="1" applyAlignment="1">
      <alignment horizontal="center"/>
    </xf>
    <xf numFmtId="2" fontId="24" fillId="0" borderId="0" xfId="0" applyNumberFormat="1" applyFont="1" applyAlignment="1">
      <alignment horizontal="center"/>
    </xf>
    <xf numFmtId="165" fontId="24" fillId="0" borderId="0" xfId="0" applyNumberFormat="1" applyFont="1" applyAlignment="1">
      <alignment horizontal="center"/>
    </xf>
    <xf numFmtId="171" fontId="14" fillId="0" borderId="0" xfId="0" applyNumberFormat="1" applyFont="1" applyAlignment="1">
      <alignment horizontal="center"/>
    </xf>
    <xf numFmtId="11" fontId="14" fillId="0" borderId="0" xfId="97" applyNumberFormat="1" applyFont="1" applyAlignment="1">
      <alignment horizontal="center"/>
    </xf>
    <xf numFmtId="0" fontId="32" fillId="0" borderId="0" xfId="0" applyFont="1" applyAlignment="1">
      <alignment horizontal="center"/>
    </xf>
    <xf numFmtId="11" fontId="31" fillId="0" borderId="0" xfId="0" applyNumberFormat="1" applyFont="1" applyAlignment="1">
      <alignment horizontal="center"/>
    </xf>
    <xf numFmtId="169" fontId="24" fillId="0" borderId="0" xfId="0" applyNumberFormat="1" applyFont="1" applyAlignment="1">
      <alignment horizontal="center"/>
    </xf>
    <xf numFmtId="1" fontId="18" fillId="20" borderId="34" xfId="0" applyNumberFormat="1" applyFont="1" applyFill="1" applyBorder="1" applyAlignment="1">
      <alignment horizontal="center"/>
    </xf>
    <xf numFmtId="49" fontId="17" fillId="20" borderId="23" xfId="0" applyNumberFormat="1" applyFont="1" applyFill="1" applyBorder="1" applyAlignment="1">
      <alignment horizontal="center"/>
    </xf>
    <xf numFmtId="0" fontId="17" fillId="20" borderId="23" xfId="0" applyFont="1" applyFill="1" applyBorder="1" applyAlignment="1">
      <alignment horizontal="center"/>
    </xf>
    <xf numFmtId="0" fontId="18" fillId="20" borderId="23" xfId="0" applyFont="1" applyFill="1" applyBorder="1" applyAlignment="1">
      <alignment horizontal="center"/>
    </xf>
    <xf numFmtId="0" fontId="29" fillId="20" borderId="23" xfId="0" applyFont="1" applyFill="1" applyBorder="1" applyAlignment="1">
      <alignment horizontal="center"/>
    </xf>
    <xf numFmtId="0" fontId="17" fillId="20" borderId="25" xfId="0" applyFont="1" applyFill="1" applyBorder="1" applyAlignment="1">
      <alignment horizontal="center"/>
    </xf>
    <xf numFmtId="15" fontId="16" fillId="0" borderId="15" xfId="0" applyNumberFormat="1" applyFont="1" applyBorder="1" applyAlignment="1">
      <alignment horizontal="center"/>
    </xf>
    <xf numFmtId="20" fontId="14" fillId="0" borderId="31" xfId="97" applyNumberFormat="1" applyFont="1" applyBorder="1" applyAlignment="1">
      <alignment horizontal="center"/>
    </xf>
    <xf numFmtId="0" fontId="17" fillId="20" borderId="12" xfId="0" applyFont="1" applyFill="1" applyBorder="1" applyAlignment="1">
      <alignment horizontal="center"/>
    </xf>
    <xf numFmtId="0" fontId="17" fillId="20" borderId="13" xfId="0" applyFont="1" applyFill="1" applyBorder="1" applyAlignment="1">
      <alignment horizontal="center"/>
    </xf>
    <xf numFmtId="0" fontId="17" fillId="20" borderId="15" xfId="0" applyFont="1" applyFill="1" applyBorder="1" applyAlignment="1">
      <alignment horizontal="center"/>
    </xf>
    <xf numFmtId="0" fontId="17" fillId="20" borderId="24" xfId="0" applyFont="1" applyFill="1" applyBorder="1" applyAlignment="1">
      <alignment horizontal="center"/>
    </xf>
    <xf numFmtId="11" fontId="24" fillId="0" borderId="33" xfId="0" applyNumberFormat="1" applyFont="1" applyBorder="1" applyAlignment="1">
      <alignment horizontal="center"/>
    </xf>
    <xf numFmtId="11" fontId="14" fillId="0" borderId="14" xfId="97" applyNumberFormat="1" applyFont="1" applyBorder="1" applyAlignment="1">
      <alignment horizontal="center"/>
    </xf>
    <xf numFmtId="0" fontId="17" fillId="20" borderId="19" xfId="0" applyFont="1" applyFill="1" applyBorder="1" applyAlignment="1">
      <alignment horizontal="center"/>
    </xf>
    <xf numFmtId="11" fontId="24" fillId="0" borderId="14" xfId="0" applyNumberFormat="1" applyFont="1" applyBorder="1" applyAlignment="1">
      <alignment horizontal="center"/>
    </xf>
    <xf numFmtId="171" fontId="23" fillId="0" borderId="0" xfId="0" applyNumberFormat="1" applyFont="1" applyAlignment="1">
      <alignment horizontal="center"/>
    </xf>
    <xf numFmtId="15" fontId="23" fillId="0" borderId="14" xfId="97" applyNumberFormat="1" applyFont="1" applyBorder="1" applyAlignment="1">
      <alignment horizontal="center"/>
    </xf>
    <xf numFmtId="2" fontId="23" fillId="0" borderId="14" xfId="0" applyNumberFormat="1" applyFont="1" applyBorder="1" applyAlignment="1">
      <alignment horizontal="center"/>
    </xf>
    <xf numFmtId="166" fontId="23" fillId="0" borderId="0" xfId="0" applyNumberFormat="1" applyFont="1" applyAlignment="1">
      <alignment horizontal="center"/>
    </xf>
    <xf numFmtId="168" fontId="23" fillId="0" borderId="33" xfId="0" applyNumberFormat="1" applyFont="1" applyBorder="1" applyAlignment="1">
      <alignment horizontal="center"/>
    </xf>
    <xf numFmtId="0" fontId="17" fillId="20" borderId="33" xfId="0" applyFont="1" applyFill="1" applyBorder="1" applyAlignment="1">
      <alignment horizontal="center"/>
    </xf>
    <xf numFmtId="2" fontId="14" fillId="0" borderId="32" xfId="0" applyNumberFormat="1" applyFont="1" applyBorder="1" applyAlignment="1">
      <alignment horizontal="center"/>
    </xf>
    <xf numFmtId="11" fontId="14" fillId="0" borderId="32" xfId="0" applyNumberFormat="1" applyFont="1" applyBorder="1" applyAlignment="1">
      <alignment horizontal="center"/>
    </xf>
    <xf numFmtId="11" fontId="31" fillId="0" borderId="32" xfId="0" applyNumberFormat="1" applyFont="1" applyBorder="1" applyAlignment="1">
      <alignment horizontal="center"/>
    </xf>
    <xf numFmtId="10" fontId="31" fillId="0" borderId="14" xfId="0" applyNumberFormat="1" applyFont="1" applyBorder="1" applyAlignment="1">
      <alignment horizontal="center"/>
    </xf>
    <xf numFmtId="0" fontId="24" fillId="0" borderId="16" xfId="0" applyFont="1" applyBorder="1" applyAlignment="1">
      <alignment horizontal="center"/>
    </xf>
    <xf numFmtId="0" fontId="24" fillId="0" borderId="13" xfId="0" applyFont="1" applyBorder="1" applyAlignment="1">
      <alignment horizontal="center"/>
    </xf>
    <xf numFmtId="172" fontId="14" fillId="0" borderId="0" xfId="97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26" fillId="0" borderId="0" xfId="0" applyFont="1"/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70" fontId="16" fillId="0" borderId="0" xfId="0" applyNumberFormat="1" applyFont="1" applyAlignment="1">
      <alignment horizontal="center"/>
    </xf>
    <xf numFmtId="15" fontId="15" fillId="0" borderId="0" xfId="97" applyNumberFormat="1" applyFont="1" applyAlignment="1">
      <alignment horizontal="center"/>
    </xf>
    <xf numFmtId="0" fontId="17" fillId="0" borderId="0" xfId="0" applyFont="1" applyAlignment="1">
      <alignment horizontal="center" wrapText="1"/>
    </xf>
    <xf numFmtId="15" fontId="14" fillId="0" borderId="16" xfId="0" applyNumberFormat="1" applyFont="1" applyBorder="1" applyAlignment="1">
      <alignment horizontal="center"/>
    </xf>
    <xf numFmtId="20" fontId="23" fillId="0" borderId="12" xfId="0" applyNumberFormat="1" applyFont="1" applyBorder="1" applyAlignment="1">
      <alignment horizontal="center"/>
    </xf>
    <xf numFmtId="2" fontId="23" fillId="0" borderId="16" xfId="0" applyNumberFormat="1" applyFont="1" applyBorder="1" applyAlignment="1">
      <alignment horizontal="center"/>
    </xf>
    <xf numFmtId="2" fontId="23" fillId="0" borderId="12" xfId="0" applyNumberFormat="1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6" xfId="0" applyFont="1" applyBorder="1"/>
    <xf numFmtId="0" fontId="21" fillId="0" borderId="12" xfId="0" applyFont="1" applyBorder="1" applyAlignment="1">
      <alignment horizontal="center"/>
    </xf>
    <xf numFmtId="169" fontId="23" fillId="0" borderId="13" xfId="0" applyNumberFormat="1" applyFont="1" applyBorder="1" applyAlignment="1">
      <alignment horizontal="center"/>
    </xf>
    <xf numFmtId="169" fontId="23" fillId="0" borderId="0" xfId="0" applyNumberFormat="1" applyFont="1" applyAlignment="1">
      <alignment horizontal="center"/>
    </xf>
    <xf numFmtId="168" fontId="14" fillId="0" borderId="0" xfId="0" applyNumberFormat="1" applyFont="1" applyAlignment="1">
      <alignment horizontal="center"/>
    </xf>
    <xf numFmtId="0" fontId="14" fillId="0" borderId="24" xfId="0" applyFont="1" applyBorder="1" applyAlignment="1">
      <alignment horizontal="center"/>
    </xf>
    <xf numFmtId="173" fontId="30" fillId="0" borderId="0" xfId="0" applyNumberFormat="1" applyFon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" fontId="24" fillId="0" borderId="14" xfId="0" applyNumberFormat="1" applyFont="1" applyBorder="1" applyAlignment="1">
      <alignment horizontal="center"/>
    </xf>
    <xf numFmtId="2" fontId="0" fillId="0" borderId="0" xfId="0" applyNumberFormat="1"/>
    <xf numFmtId="11" fontId="14" fillId="0" borderId="1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68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 wrapText="1"/>
    </xf>
    <xf numFmtId="0" fontId="15" fillId="0" borderId="0" xfId="0" applyFont="1" applyAlignment="1">
      <alignment horizontal="left"/>
    </xf>
    <xf numFmtId="0" fontId="0" fillId="0" borderId="0" xfId="0" applyAlignment="1">
      <alignment horizontal="right"/>
    </xf>
    <xf numFmtId="10" fontId="23" fillId="0" borderId="0" xfId="0" applyNumberFormat="1" applyFont="1" applyAlignment="1">
      <alignment horizontal="center"/>
    </xf>
    <xf numFmtId="0" fontId="14" fillId="0" borderId="26" xfId="97" applyFont="1" applyBorder="1" applyAlignment="1">
      <alignment horizontal="center"/>
    </xf>
    <xf numFmtId="0" fontId="14" fillId="0" borderId="27" xfId="97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0" fontId="14" fillId="0" borderId="17" xfId="0" applyFont="1" applyBorder="1" applyAlignment="1">
      <alignment horizontal="center" wrapText="1"/>
    </xf>
    <xf numFmtId="0" fontId="14" fillId="0" borderId="16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 wrapText="1"/>
    </xf>
    <xf numFmtId="2" fontId="14" fillId="0" borderId="24" xfId="0" applyNumberFormat="1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171" fontId="0" fillId="0" borderId="0" xfId="0" applyNumberFormat="1" applyAlignment="1">
      <alignment horizontal="center"/>
    </xf>
    <xf numFmtId="0" fontId="21" fillId="21" borderId="35" xfId="0" applyFont="1" applyFill="1" applyBorder="1" applyAlignment="1">
      <alignment horizontal="center"/>
    </xf>
    <xf numFmtId="2" fontId="14" fillId="0" borderId="0" xfId="0" applyNumberFormat="1" applyFont="1" applyAlignment="1">
      <alignment horizontal="center" wrapText="1"/>
    </xf>
    <xf numFmtId="2" fontId="23" fillId="0" borderId="17" xfId="0" applyNumberFormat="1" applyFont="1" applyBorder="1" applyAlignment="1">
      <alignment horizontal="center"/>
    </xf>
    <xf numFmtId="11" fontId="14" fillId="0" borderId="16" xfId="0" applyNumberFormat="1" applyFont="1" applyBorder="1" applyAlignment="1">
      <alignment horizontal="center"/>
    </xf>
    <xf numFmtId="11" fontId="23" fillId="0" borderId="12" xfId="0" applyNumberFormat="1" applyFont="1" applyBorder="1" applyAlignment="1">
      <alignment horizontal="center"/>
    </xf>
    <xf numFmtId="11" fontId="23" fillId="0" borderId="17" xfId="0" applyNumberFormat="1" applyFont="1" applyBorder="1" applyAlignment="1">
      <alignment horizontal="center"/>
    </xf>
    <xf numFmtId="10" fontId="23" fillId="0" borderId="16" xfId="0" applyNumberFormat="1" applyFont="1" applyBorder="1" applyAlignment="1">
      <alignment horizontal="center"/>
    </xf>
    <xf numFmtId="11" fontId="23" fillId="0" borderId="0" xfId="0" applyNumberFormat="1" applyFont="1" applyAlignment="1">
      <alignment horizontal="center"/>
    </xf>
    <xf numFmtId="11" fontId="23" fillId="0" borderId="32" xfId="0" applyNumberFormat="1" applyFont="1" applyBorder="1" applyAlignment="1">
      <alignment horizontal="center"/>
    </xf>
    <xf numFmtId="10" fontId="23" fillId="0" borderId="14" xfId="0" applyNumberFormat="1" applyFont="1" applyBorder="1" applyAlignment="1">
      <alignment horizontal="center"/>
    </xf>
    <xf numFmtId="11" fontId="14" fillId="0" borderId="32" xfId="97" applyNumberFormat="1" applyFont="1" applyBorder="1" applyAlignment="1">
      <alignment horizontal="center"/>
    </xf>
    <xf numFmtId="174" fontId="15" fillId="0" borderId="0" xfId="0" applyNumberFormat="1" applyFont="1" applyAlignment="1">
      <alignment horizontal="center"/>
    </xf>
    <xf numFmtId="0" fontId="23" fillId="0" borderId="32" xfId="0" applyFont="1" applyBorder="1" applyAlignment="1">
      <alignment horizontal="center"/>
    </xf>
    <xf numFmtId="0" fontId="17" fillId="20" borderId="24" xfId="0" applyFont="1" applyFill="1" applyBorder="1" applyAlignment="1">
      <alignment horizontal="center" wrapText="1"/>
    </xf>
    <xf numFmtId="0" fontId="14" fillId="0" borderId="19" xfId="0" applyFont="1" applyBorder="1" applyAlignment="1">
      <alignment horizontal="center"/>
    </xf>
    <xf numFmtId="0" fontId="14" fillId="0" borderId="13" xfId="0" applyFont="1" applyBorder="1" applyAlignment="1">
      <alignment horizontal="center" wrapText="1"/>
    </xf>
    <xf numFmtId="0" fontId="17" fillId="22" borderId="16" xfId="0" applyFont="1" applyFill="1" applyBorder="1" applyAlignment="1">
      <alignment horizontal="center"/>
    </xf>
    <xf numFmtId="0" fontId="17" fillId="22" borderId="24" xfId="0" applyFont="1" applyFill="1" applyBorder="1" applyAlignment="1">
      <alignment horizontal="center" wrapText="1"/>
    </xf>
    <xf numFmtId="0" fontId="17" fillId="22" borderId="24" xfId="0" applyFont="1" applyFill="1" applyBorder="1" applyAlignment="1">
      <alignment horizontal="center"/>
    </xf>
    <xf numFmtId="1" fontId="17" fillId="22" borderId="16" xfId="0" applyNumberFormat="1" applyFont="1" applyFill="1" applyBorder="1" applyAlignment="1">
      <alignment horizontal="center"/>
    </xf>
    <xf numFmtId="164" fontId="17" fillId="22" borderId="16" xfId="0" applyNumberFormat="1" applyFont="1" applyFill="1" applyBorder="1" applyAlignment="1">
      <alignment horizontal="center"/>
    </xf>
    <xf numFmtId="20" fontId="17" fillId="22" borderId="12" xfId="0" applyNumberFormat="1" applyFont="1" applyFill="1" applyBorder="1" applyAlignment="1">
      <alignment horizontal="center"/>
    </xf>
    <xf numFmtId="1" fontId="17" fillId="22" borderId="24" xfId="0" applyNumberFormat="1" applyFont="1" applyFill="1" applyBorder="1" applyAlignment="1">
      <alignment horizontal="center"/>
    </xf>
    <xf numFmtId="20" fontId="17" fillId="22" borderId="15" xfId="0" applyNumberFormat="1" applyFont="1" applyFill="1" applyBorder="1" applyAlignment="1">
      <alignment horizontal="center"/>
    </xf>
    <xf numFmtId="0" fontId="17" fillId="22" borderId="12" xfId="0" applyFont="1" applyFill="1" applyBorder="1" applyAlignment="1">
      <alignment horizontal="center"/>
    </xf>
    <xf numFmtId="0" fontId="17" fillId="22" borderId="0" xfId="0" applyFont="1" applyFill="1" applyAlignment="1">
      <alignment horizontal="center"/>
    </xf>
    <xf numFmtId="0" fontId="21" fillId="0" borderId="12" xfId="0" applyFont="1" applyBorder="1"/>
    <xf numFmtId="0" fontId="0" fillId="24" borderId="0" xfId="0" applyFill="1"/>
    <xf numFmtId="0" fontId="18" fillId="24" borderId="0" xfId="0" applyFont="1" applyFill="1" applyAlignment="1">
      <alignment horizontal="center"/>
    </xf>
    <xf numFmtId="0" fontId="17" fillId="24" borderId="0" xfId="0" applyFont="1" applyFill="1" applyAlignment="1">
      <alignment horizontal="center"/>
    </xf>
    <xf numFmtId="1" fontId="17" fillId="24" borderId="0" xfId="0" applyNumberFormat="1" applyFont="1" applyFill="1" applyAlignment="1">
      <alignment horizontal="center"/>
    </xf>
    <xf numFmtId="0" fontId="14" fillId="24" borderId="32" xfId="97" applyFont="1" applyFill="1" applyBorder="1" applyAlignment="1">
      <alignment horizontal="center"/>
    </xf>
    <xf numFmtId="15" fontId="14" fillId="24" borderId="16" xfId="97" applyNumberFormat="1" applyFont="1" applyFill="1" applyBorder="1" applyAlignment="1">
      <alignment horizontal="center"/>
    </xf>
    <xf numFmtId="2" fontId="23" fillId="24" borderId="17" xfId="0" applyNumberFormat="1" applyFont="1" applyFill="1" applyBorder="1" applyAlignment="1">
      <alignment horizontal="center"/>
    </xf>
    <xf numFmtId="1" fontId="24" fillId="24" borderId="32" xfId="0" applyNumberFormat="1" applyFont="1" applyFill="1" applyBorder="1" applyAlignment="1">
      <alignment horizontal="center"/>
    </xf>
    <xf numFmtId="11" fontId="14" fillId="24" borderId="16" xfId="97" applyNumberFormat="1" applyFont="1" applyFill="1" applyBorder="1" applyAlignment="1">
      <alignment horizontal="center"/>
    </xf>
    <xf numFmtId="2" fontId="14" fillId="24" borderId="32" xfId="0" applyNumberFormat="1" applyFont="1" applyFill="1" applyBorder="1" applyAlignment="1">
      <alignment horizontal="center"/>
    </xf>
    <xf numFmtId="11" fontId="14" fillId="24" borderId="14" xfId="97" applyNumberFormat="1" applyFont="1" applyFill="1" applyBorder="1" applyAlignment="1">
      <alignment horizontal="center"/>
    </xf>
    <xf numFmtId="1" fontId="17" fillId="25" borderId="0" xfId="0" applyNumberFormat="1" applyFont="1" applyFill="1" applyAlignment="1">
      <alignment horizontal="center"/>
    </xf>
    <xf numFmtId="0" fontId="18" fillId="25" borderId="0" xfId="0" applyFont="1" applyFill="1" applyAlignment="1">
      <alignment horizontal="center"/>
    </xf>
    <xf numFmtId="0" fontId="17" fillId="25" borderId="0" xfId="0" applyFont="1" applyFill="1" applyAlignment="1">
      <alignment horizontal="center"/>
    </xf>
    <xf numFmtId="0" fontId="14" fillId="25" borderId="0" xfId="0" applyFont="1" applyFill="1"/>
    <xf numFmtId="0" fontId="0" fillId="25" borderId="0" xfId="0" applyFill="1"/>
    <xf numFmtId="0" fontId="14" fillId="25" borderId="32" xfId="97" applyFont="1" applyFill="1" applyBorder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" fontId="14" fillId="23" borderId="0" xfId="0" applyNumberFormat="1" applyFont="1" applyFill="1" applyAlignment="1">
      <alignment horizontal="center"/>
    </xf>
    <xf numFmtId="173" fontId="19" fillId="0" borderId="0" xfId="0" applyNumberFormat="1" applyFont="1" applyAlignment="1">
      <alignment horizontal="center"/>
    </xf>
    <xf numFmtId="0" fontId="26" fillId="20" borderId="23" xfId="0" applyFont="1" applyFill="1" applyBorder="1" applyAlignment="1">
      <alignment horizontal="center"/>
    </xf>
    <xf numFmtId="0" fontId="26" fillId="20" borderId="23" xfId="0" applyFont="1" applyFill="1" applyBorder="1" applyAlignment="1">
      <alignment horizontal="left"/>
    </xf>
    <xf numFmtId="173" fontId="0" fillId="22" borderId="0" xfId="0" applyNumberFormat="1" applyFill="1" applyAlignment="1">
      <alignment horizontal="center"/>
    </xf>
    <xf numFmtId="169" fontId="23" fillId="0" borderId="12" xfId="0" applyNumberFormat="1" applyFont="1" applyBorder="1" applyAlignment="1">
      <alignment horizontal="center"/>
    </xf>
    <xf numFmtId="173" fontId="0" fillId="0" borderId="0" xfId="0" applyNumberFormat="1"/>
    <xf numFmtId="0" fontId="50" fillId="0" borderId="0" xfId="0" applyFont="1" applyAlignment="1">
      <alignment horizontal="center"/>
    </xf>
    <xf numFmtId="0" fontId="17" fillId="22" borderId="16" xfId="0" applyFont="1" applyFill="1" applyBorder="1" applyAlignment="1">
      <alignment horizontal="center" wrapText="1"/>
    </xf>
    <xf numFmtId="2" fontId="14" fillId="23" borderId="0" xfId="0" applyNumberFormat="1" applyFont="1" applyFill="1" applyAlignment="1">
      <alignment horizontal="center"/>
    </xf>
    <xf numFmtId="15" fontId="15" fillId="23" borderId="0" xfId="97" applyNumberFormat="1" applyFont="1" applyFill="1" applyAlignment="1">
      <alignment horizontal="center"/>
    </xf>
    <xf numFmtId="171" fontId="15" fillId="23" borderId="0" xfId="0" applyNumberFormat="1" applyFont="1" applyFill="1" applyAlignment="1">
      <alignment horizontal="center"/>
    </xf>
    <xf numFmtId="2" fontId="15" fillId="23" borderId="0" xfId="0" applyNumberFormat="1" applyFont="1" applyFill="1" applyAlignment="1">
      <alignment horizontal="center"/>
    </xf>
    <xf numFmtId="174" fontId="15" fillId="23" borderId="0" xfId="0" applyNumberFormat="1" applyFont="1" applyFill="1" applyAlignment="1">
      <alignment horizontal="center"/>
    </xf>
    <xf numFmtId="2" fontId="23" fillId="23" borderId="0" xfId="0" applyNumberFormat="1" applyFont="1" applyFill="1" applyAlignment="1">
      <alignment horizontal="center"/>
    </xf>
    <xf numFmtId="171" fontId="15" fillId="0" borderId="0" xfId="0" applyNumberFormat="1" applyFont="1" applyAlignment="1">
      <alignment horizontal="center"/>
    </xf>
    <xf numFmtId="15" fontId="14" fillId="24" borderId="14" xfId="97" applyNumberFormat="1" applyFont="1" applyFill="1" applyBorder="1" applyAlignment="1">
      <alignment horizontal="center"/>
    </xf>
    <xf numFmtId="20" fontId="14" fillId="0" borderId="12" xfId="97" applyNumberFormat="1" applyFont="1" applyBorder="1" applyAlignment="1">
      <alignment horizontal="center"/>
    </xf>
    <xf numFmtId="0" fontId="14" fillId="0" borderId="14" xfId="97" applyFont="1" applyBorder="1" applyAlignment="1">
      <alignment horizontal="center"/>
    </xf>
    <xf numFmtId="15" fontId="14" fillId="0" borderId="14" xfId="97" applyNumberFormat="1" applyFont="1" applyBorder="1" applyAlignment="1">
      <alignment horizontal="center"/>
    </xf>
    <xf numFmtId="11" fontId="14" fillId="0" borderId="0" xfId="0" applyNumberFormat="1" applyFont="1" applyAlignment="1">
      <alignment horizontal="center"/>
    </xf>
    <xf numFmtId="15" fontId="14" fillId="26" borderId="17" xfId="97" applyNumberFormat="1" applyFont="1" applyFill="1" applyBorder="1" applyAlignment="1">
      <alignment horizontal="center"/>
    </xf>
    <xf numFmtId="15" fontId="14" fillId="26" borderId="32" xfId="97" applyNumberFormat="1" applyFont="1" applyFill="1" applyBorder="1" applyAlignment="1">
      <alignment horizontal="center"/>
    </xf>
    <xf numFmtId="2" fontId="23" fillId="25" borderId="12" xfId="0" applyNumberFormat="1" applyFont="1" applyFill="1" applyBorder="1" applyAlignment="1">
      <alignment horizontal="center"/>
    </xf>
    <xf numFmtId="2" fontId="14" fillId="25" borderId="0" xfId="0" applyNumberFormat="1" applyFont="1" applyFill="1" applyAlignment="1">
      <alignment horizontal="center"/>
    </xf>
    <xf numFmtId="20" fontId="14" fillId="26" borderId="16" xfId="97" applyNumberFormat="1" applyFont="1" applyFill="1" applyBorder="1" applyAlignment="1">
      <alignment horizontal="center"/>
    </xf>
    <xf numFmtId="20" fontId="14" fillId="26" borderId="14" xfId="97" applyNumberFormat="1" applyFont="1" applyFill="1" applyBorder="1" applyAlignment="1">
      <alignment horizontal="center"/>
    </xf>
    <xf numFmtId="2" fontId="14" fillId="0" borderId="33" xfId="97" applyNumberFormat="1" applyFont="1" applyBorder="1" applyAlignment="1">
      <alignment horizontal="center"/>
    </xf>
    <xf numFmtId="0" fontId="14" fillId="0" borderId="32" xfId="97" applyFont="1" applyBorder="1" applyAlignment="1">
      <alignment horizontal="center"/>
    </xf>
    <xf numFmtId="1" fontId="24" fillId="0" borderId="32" xfId="0" applyNumberFormat="1" applyFont="1" applyBorder="1" applyAlignment="1">
      <alignment horizontal="center"/>
    </xf>
    <xf numFmtId="15" fontId="23" fillId="23" borderId="14" xfId="97" applyNumberFormat="1" applyFont="1" applyFill="1" applyBorder="1" applyAlignment="1">
      <alignment horizontal="center"/>
    </xf>
    <xf numFmtId="171" fontId="23" fillId="23" borderId="0" xfId="0" applyNumberFormat="1" applyFont="1" applyFill="1" applyAlignment="1">
      <alignment horizontal="center"/>
    </xf>
    <xf numFmtId="2" fontId="23" fillId="23" borderId="14" xfId="0" applyNumberFormat="1" applyFont="1" applyFill="1" applyBorder="1" applyAlignment="1">
      <alignment horizontal="center"/>
    </xf>
    <xf numFmtId="2" fontId="14" fillId="23" borderId="14" xfId="0" applyNumberFormat="1" applyFont="1" applyFill="1" applyBorder="1" applyAlignment="1">
      <alignment horizontal="center"/>
    </xf>
    <xf numFmtId="168" fontId="23" fillId="23" borderId="33" xfId="0" applyNumberFormat="1" applyFont="1" applyFill="1" applyBorder="1" applyAlignment="1">
      <alignment horizontal="center"/>
    </xf>
    <xf numFmtId="168" fontId="23" fillId="23" borderId="0" xfId="0" applyNumberFormat="1" applyFont="1" applyFill="1" applyAlignment="1">
      <alignment horizontal="center"/>
    </xf>
    <xf numFmtId="11" fontId="14" fillId="25" borderId="13" xfId="97" applyNumberFormat="1" applyFont="1" applyFill="1" applyBorder="1" applyAlignment="1">
      <alignment horizontal="center"/>
    </xf>
    <xf numFmtId="11" fontId="14" fillId="25" borderId="33" xfId="97" applyNumberFormat="1" applyFont="1" applyFill="1" applyBorder="1" applyAlignment="1">
      <alignment horizontal="center"/>
    </xf>
    <xf numFmtId="2" fontId="23" fillId="25" borderId="16" xfId="0" applyNumberFormat="1" applyFont="1" applyFill="1" applyBorder="1" applyAlignment="1">
      <alignment horizontal="center"/>
    </xf>
    <xf numFmtId="2" fontId="23" fillId="25" borderId="14" xfId="0" applyNumberFormat="1" applyFont="1" applyFill="1" applyBorder="1" applyAlignment="1">
      <alignment horizontal="center"/>
    </xf>
    <xf numFmtId="0" fontId="51" fillId="0" borderId="0" xfId="0" applyFont="1" applyAlignment="1">
      <alignment horizontal="center" vertical="center" wrapText="1"/>
    </xf>
    <xf numFmtId="171" fontId="14" fillId="23" borderId="0" xfId="0" applyNumberFormat="1" applyFont="1" applyFill="1" applyAlignment="1">
      <alignment horizontal="center"/>
    </xf>
    <xf numFmtId="0" fontId="26" fillId="0" borderId="23" xfId="0" applyFont="1" applyBorder="1" applyAlignment="1">
      <alignment horizontal="left"/>
    </xf>
    <xf numFmtId="0" fontId="17" fillId="0" borderId="16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4" fillId="23" borderId="14" xfId="97" applyFont="1" applyFill="1" applyBorder="1" applyAlignment="1">
      <alignment horizontal="center"/>
    </xf>
    <xf numFmtId="11" fontId="14" fillId="23" borderId="0" xfId="97" applyNumberFormat="1" applyFont="1" applyFill="1" applyAlignment="1">
      <alignment horizontal="center"/>
    </xf>
    <xf numFmtId="15" fontId="14" fillId="23" borderId="32" xfId="97" applyNumberFormat="1" applyFont="1" applyFill="1" applyBorder="1" applyAlignment="1">
      <alignment horizontal="center"/>
    </xf>
    <xf numFmtId="20" fontId="14" fillId="23" borderId="14" xfId="97" applyNumberFormat="1" applyFont="1" applyFill="1" applyBorder="1" applyAlignment="1">
      <alignment horizontal="center"/>
    </xf>
    <xf numFmtId="11" fontId="14" fillId="23" borderId="33" xfId="97" applyNumberFormat="1" applyFont="1" applyFill="1" applyBorder="1" applyAlignment="1">
      <alignment horizontal="center"/>
    </xf>
    <xf numFmtId="2" fontId="14" fillId="23" borderId="33" xfId="97" applyNumberFormat="1" applyFont="1" applyFill="1" applyBorder="1" applyAlignment="1">
      <alignment horizontal="center"/>
    </xf>
    <xf numFmtId="15" fontId="14" fillId="24" borderId="12" xfId="97" applyNumberFormat="1" applyFont="1" applyFill="1" applyBorder="1" applyAlignment="1">
      <alignment horizontal="center"/>
    </xf>
    <xf numFmtId="15" fontId="14" fillId="24" borderId="0" xfId="97" applyNumberFormat="1" applyFont="1" applyFill="1" applyAlignment="1">
      <alignment horizontal="center"/>
    </xf>
    <xf numFmtId="15" fontId="14" fillId="0" borderId="0" xfId="97" applyNumberFormat="1" applyFont="1" applyAlignment="1">
      <alignment horizontal="center"/>
    </xf>
    <xf numFmtId="173" fontId="15" fillId="23" borderId="0" xfId="0" applyNumberFormat="1" applyFont="1" applyFill="1" applyAlignment="1">
      <alignment horizontal="center"/>
    </xf>
    <xf numFmtId="0" fontId="14" fillId="0" borderId="32" xfId="0" applyFont="1" applyBorder="1" applyAlignment="1">
      <alignment horizontal="center"/>
    </xf>
    <xf numFmtId="164" fontId="17" fillId="22" borderId="24" xfId="0" applyNumberFormat="1" applyFont="1" applyFill="1" applyBorder="1" applyAlignment="1">
      <alignment horizontal="center"/>
    </xf>
    <xf numFmtId="0" fontId="17" fillId="23" borderId="16" xfId="0" applyFont="1" applyFill="1" applyBorder="1" applyAlignment="1">
      <alignment horizontal="center"/>
    </xf>
    <xf numFmtId="0" fontId="17" fillId="23" borderId="24" xfId="0" applyFont="1" applyFill="1" applyBorder="1" applyAlignment="1">
      <alignment horizontal="center" wrapText="1"/>
    </xf>
    <xf numFmtId="0" fontId="17" fillId="20" borderId="16" xfId="0" applyFont="1" applyFill="1" applyBorder="1"/>
    <xf numFmtId="0" fontId="17" fillId="20" borderId="24" xfId="0" applyFont="1" applyFill="1" applyBorder="1"/>
    <xf numFmtId="2" fontId="51" fillId="0" borderId="0" xfId="0" applyNumberFormat="1" applyFont="1" applyAlignment="1">
      <alignment horizontal="center" vertical="center" wrapText="1"/>
    </xf>
    <xf numFmtId="11" fontId="14" fillId="27" borderId="0" xfId="97" applyNumberFormat="1" applyFont="1" applyFill="1" applyAlignment="1">
      <alignment horizontal="center"/>
    </xf>
    <xf numFmtId="11" fontId="14" fillId="27" borderId="14" xfId="0" applyNumberFormat="1" applyFont="1" applyFill="1" applyBorder="1" applyAlignment="1">
      <alignment horizontal="center"/>
    </xf>
    <xf numFmtId="11" fontId="14" fillId="27" borderId="0" xfId="0" applyNumberFormat="1" applyFont="1" applyFill="1" applyAlignment="1">
      <alignment horizontal="center"/>
    </xf>
    <xf numFmtId="11" fontId="14" fillId="27" borderId="32" xfId="0" applyNumberFormat="1" applyFont="1" applyFill="1" applyBorder="1" applyAlignment="1">
      <alignment horizontal="center"/>
    </xf>
    <xf numFmtId="2" fontId="14" fillId="27" borderId="0" xfId="0" applyNumberFormat="1" applyFont="1" applyFill="1" applyAlignment="1">
      <alignment horizontal="center"/>
    </xf>
    <xf numFmtId="2" fontId="23" fillId="27" borderId="0" xfId="0" applyNumberFormat="1" applyFont="1" applyFill="1" applyAlignment="1">
      <alignment horizontal="center"/>
    </xf>
    <xf numFmtId="171" fontId="14" fillId="27" borderId="0" xfId="0" applyNumberFormat="1" applyFont="1" applyFill="1" applyAlignment="1">
      <alignment horizontal="center"/>
    </xf>
    <xf numFmtId="0" fontId="23" fillId="0" borderId="13" xfId="0" applyFont="1" applyBorder="1" applyAlignment="1">
      <alignment horizontal="center"/>
    </xf>
    <xf numFmtId="11" fontId="14" fillId="25" borderId="0" xfId="97" applyNumberFormat="1" applyFont="1" applyFill="1" applyAlignment="1">
      <alignment horizontal="center"/>
    </xf>
    <xf numFmtId="0" fontId="17" fillId="22" borderId="13" xfId="0" applyFont="1" applyFill="1" applyBorder="1" applyAlignment="1">
      <alignment horizontal="center"/>
    </xf>
    <xf numFmtId="0" fontId="17" fillId="22" borderId="33" xfId="0" applyFont="1" applyFill="1" applyBorder="1" applyAlignment="1">
      <alignment horizontal="center"/>
    </xf>
    <xf numFmtId="10" fontId="14" fillId="0" borderId="0" xfId="97" applyNumberFormat="1" applyFont="1" applyAlignment="1">
      <alignment horizontal="center"/>
    </xf>
    <xf numFmtId="11" fontId="24" fillId="0" borderId="0" xfId="0" applyNumberFormat="1" applyFont="1" applyAlignment="1">
      <alignment horizontal="center"/>
    </xf>
    <xf numFmtId="0" fontId="14" fillId="27" borderId="14" xfId="97" applyFont="1" applyFill="1" applyBorder="1" applyAlignment="1">
      <alignment horizontal="center"/>
    </xf>
    <xf numFmtId="2" fontId="14" fillId="27" borderId="32" xfId="0" applyNumberFormat="1" applyFont="1" applyFill="1" applyBorder="1" applyAlignment="1">
      <alignment horizontal="center"/>
    </xf>
    <xf numFmtId="1" fontId="24" fillId="27" borderId="14" xfId="0" applyNumberFormat="1" applyFont="1" applyFill="1" applyBorder="1" applyAlignment="1">
      <alignment horizontal="center"/>
    </xf>
    <xf numFmtId="11" fontId="24" fillId="27" borderId="0" xfId="0" applyNumberFormat="1" applyFont="1" applyFill="1" applyAlignment="1">
      <alignment horizontal="center"/>
    </xf>
    <xf numFmtId="166" fontId="23" fillId="27" borderId="0" xfId="0" applyNumberFormat="1" applyFont="1" applyFill="1" applyAlignment="1">
      <alignment horizontal="center"/>
    </xf>
    <xf numFmtId="11" fontId="31" fillId="27" borderId="0" xfId="0" applyNumberFormat="1" applyFont="1" applyFill="1" applyAlignment="1">
      <alignment horizontal="center"/>
    </xf>
    <xf numFmtId="11" fontId="31" fillId="27" borderId="32" xfId="0" applyNumberFormat="1" applyFont="1" applyFill="1" applyBorder="1" applyAlignment="1">
      <alignment horizontal="center"/>
    </xf>
    <xf numFmtId="10" fontId="31" fillId="27" borderId="14" xfId="0" applyNumberFormat="1" applyFont="1" applyFill="1" applyBorder="1" applyAlignment="1">
      <alignment horizontal="center"/>
    </xf>
    <xf numFmtId="11" fontId="14" fillId="27" borderId="32" xfId="97" applyNumberFormat="1" applyFont="1" applyFill="1" applyBorder="1" applyAlignment="1">
      <alignment horizontal="center"/>
    </xf>
    <xf numFmtId="10" fontId="14" fillId="27" borderId="0" xfId="97" applyNumberFormat="1" applyFont="1" applyFill="1" applyAlignment="1">
      <alignment horizontal="center"/>
    </xf>
    <xf numFmtId="169" fontId="23" fillId="27" borderId="0" xfId="0" applyNumberFormat="1" applyFont="1" applyFill="1" applyAlignment="1">
      <alignment horizontal="center"/>
    </xf>
    <xf numFmtId="11" fontId="23" fillId="27" borderId="0" xfId="0" applyNumberFormat="1" applyFont="1" applyFill="1" applyAlignment="1">
      <alignment horizontal="center"/>
    </xf>
    <xf numFmtId="0" fontId="24" fillId="27" borderId="0" xfId="0" applyFont="1" applyFill="1" applyAlignment="1">
      <alignment horizontal="center"/>
    </xf>
    <xf numFmtId="2" fontId="51" fillId="27" borderId="0" xfId="0" applyNumberFormat="1" applyFont="1" applyFill="1" applyAlignment="1">
      <alignment horizontal="center" vertical="center" wrapText="1"/>
    </xf>
    <xf numFmtId="2" fontId="24" fillId="27" borderId="0" xfId="0" applyNumberFormat="1" applyFont="1" applyFill="1" applyAlignment="1">
      <alignment horizontal="center"/>
    </xf>
    <xf numFmtId="11" fontId="24" fillId="27" borderId="14" xfId="0" applyNumberFormat="1" applyFont="1" applyFill="1" applyBorder="1" applyAlignment="1">
      <alignment horizontal="center"/>
    </xf>
    <xf numFmtId="11" fontId="24" fillId="27" borderId="33" xfId="0" applyNumberFormat="1" applyFont="1" applyFill="1" applyBorder="1" applyAlignment="1">
      <alignment horizontal="center"/>
    </xf>
    <xf numFmtId="0" fontId="32" fillId="27" borderId="0" xfId="0" applyFont="1" applyFill="1" applyAlignment="1">
      <alignment horizontal="center"/>
    </xf>
    <xf numFmtId="172" fontId="14" fillId="27" borderId="0" xfId="97" applyNumberFormat="1" applyFont="1" applyFill="1" applyAlignment="1">
      <alignment horizontal="center"/>
    </xf>
    <xf numFmtId="165" fontId="24" fillId="27" borderId="0" xfId="0" applyNumberFormat="1" applyFont="1" applyFill="1" applyAlignment="1">
      <alignment horizontal="center"/>
    </xf>
    <xf numFmtId="169" fontId="24" fillId="27" borderId="0" xfId="0" applyNumberFormat="1" applyFont="1" applyFill="1" applyAlignment="1">
      <alignment horizontal="center"/>
    </xf>
    <xf numFmtId="0" fontId="24" fillId="0" borderId="14" xfId="0" applyFont="1" applyBorder="1" applyAlignment="1">
      <alignment horizontal="center"/>
    </xf>
    <xf numFmtId="168" fontId="24" fillId="0" borderId="14" xfId="0" applyNumberFormat="1" applyFont="1" applyBorder="1" applyAlignment="1">
      <alignment horizontal="center"/>
    </xf>
    <xf numFmtId="2" fontId="14" fillId="23" borderId="32" xfId="0" applyNumberFormat="1" applyFont="1" applyFill="1" applyBorder="1" applyAlignment="1">
      <alignment horizontal="center"/>
    </xf>
    <xf numFmtId="1" fontId="24" fillId="23" borderId="14" xfId="0" applyNumberFormat="1" applyFont="1" applyFill="1" applyBorder="1" applyAlignment="1">
      <alignment horizontal="center"/>
    </xf>
    <xf numFmtId="11" fontId="24" fillId="23" borderId="0" xfId="0" applyNumberFormat="1" applyFont="1" applyFill="1" applyAlignment="1">
      <alignment horizontal="center"/>
    </xf>
    <xf numFmtId="10" fontId="14" fillId="23" borderId="0" xfId="97" applyNumberFormat="1" applyFont="1" applyFill="1" applyAlignment="1">
      <alignment horizontal="center"/>
    </xf>
    <xf numFmtId="11" fontId="14" fillId="23" borderId="14" xfId="0" applyNumberFormat="1" applyFont="1" applyFill="1" applyBorder="1" applyAlignment="1">
      <alignment horizontal="center"/>
    </xf>
    <xf numFmtId="11" fontId="14" fillId="23" borderId="0" xfId="0" applyNumberFormat="1" applyFont="1" applyFill="1" applyAlignment="1">
      <alignment horizontal="center"/>
    </xf>
    <xf numFmtId="11" fontId="14" fillId="23" borderId="32" xfId="0" applyNumberFormat="1" applyFont="1" applyFill="1" applyBorder="1" applyAlignment="1">
      <alignment horizontal="center"/>
    </xf>
    <xf numFmtId="166" fontId="23" fillId="23" borderId="0" xfId="0" applyNumberFormat="1" applyFont="1" applyFill="1" applyAlignment="1">
      <alignment horizontal="center"/>
    </xf>
    <xf numFmtId="11" fontId="31" fillId="23" borderId="0" xfId="0" applyNumberFormat="1" applyFont="1" applyFill="1" applyAlignment="1">
      <alignment horizontal="center"/>
    </xf>
    <xf numFmtId="11" fontId="31" fillId="23" borderId="32" xfId="0" applyNumberFormat="1" applyFont="1" applyFill="1" applyBorder="1" applyAlignment="1">
      <alignment horizontal="center"/>
    </xf>
    <xf numFmtId="10" fontId="31" fillId="23" borderId="14" xfId="0" applyNumberFormat="1" applyFont="1" applyFill="1" applyBorder="1" applyAlignment="1">
      <alignment horizontal="center"/>
    </xf>
    <xf numFmtId="11" fontId="14" fillId="23" borderId="32" xfId="97" applyNumberFormat="1" applyFont="1" applyFill="1" applyBorder="1" applyAlignment="1">
      <alignment horizontal="center"/>
    </xf>
    <xf numFmtId="169" fontId="23" fillId="23" borderId="0" xfId="0" applyNumberFormat="1" applyFont="1" applyFill="1" applyAlignment="1">
      <alignment horizontal="center"/>
    </xf>
    <xf numFmtId="11" fontId="23" fillId="23" borderId="0" xfId="0" applyNumberFormat="1" applyFont="1" applyFill="1" applyAlignment="1">
      <alignment horizontal="center"/>
    </xf>
    <xf numFmtId="0" fontId="24" fillId="23" borderId="0" xfId="0" applyFont="1" applyFill="1" applyAlignment="1">
      <alignment horizontal="center"/>
    </xf>
    <xf numFmtId="168" fontId="14" fillId="23" borderId="0" xfId="97" applyNumberFormat="1" applyFont="1" applyFill="1" applyAlignment="1">
      <alignment horizontal="center"/>
    </xf>
    <xf numFmtId="2" fontId="51" fillId="23" borderId="0" xfId="0" applyNumberFormat="1" applyFont="1" applyFill="1" applyAlignment="1">
      <alignment horizontal="center" vertical="center" wrapText="1"/>
    </xf>
    <xf numFmtId="11" fontId="14" fillId="28" borderId="0" xfId="97" applyNumberFormat="1" applyFont="1" applyFill="1" applyAlignment="1">
      <alignment horizontal="center"/>
    </xf>
    <xf numFmtId="11" fontId="24" fillId="28" borderId="0" xfId="0" applyNumberFormat="1" applyFont="1" applyFill="1" applyAlignment="1">
      <alignment horizontal="center"/>
    </xf>
    <xf numFmtId="11" fontId="24" fillId="29" borderId="0" xfId="0" applyNumberFormat="1" applyFont="1" applyFill="1" applyAlignment="1">
      <alignment horizontal="center"/>
    </xf>
    <xf numFmtId="15" fontId="14" fillId="23" borderId="14" xfId="97" applyNumberFormat="1" applyFont="1" applyFill="1" applyBorder="1" applyAlignment="1">
      <alignment horizontal="center"/>
    </xf>
    <xf numFmtId="2" fontId="24" fillId="23" borderId="0" xfId="0" applyNumberFormat="1" applyFont="1" applyFill="1" applyAlignment="1">
      <alignment horizontal="center"/>
    </xf>
    <xf numFmtId="0" fontId="23" fillId="23" borderId="0" xfId="0" applyFont="1" applyFill="1" applyAlignment="1">
      <alignment horizontal="center"/>
    </xf>
    <xf numFmtId="11" fontId="24" fillId="23" borderId="14" xfId="0" applyNumberFormat="1" applyFont="1" applyFill="1" applyBorder="1" applyAlignment="1">
      <alignment horizontal="center"/>
    </xf>
    <xf numFmtId="11" fontId="24" fillId="23" borderId="33" xfId="0" applyNumberFormat="1" applyFont="1" applyFill="1" applyBorder="1" applyAlignment="1">
      <alignment horizontal="center"/>
    </xf>
    <xf numFmtId="0" fontId="32" fillId="23" borderId="0" xfId="0" applyFont="1" applyFill="1" applyAlignment="1">
      <alignment horizontal="center"/>
    </xf>
    <xf numFmtId="172" fontId="14" fillId="23" borderId="0" xfId="97" applyNumberFormat="1" applyFont="1" applyFill="1" applyAlignment="1">
      <alignment horizontal="center"/>
    </xf>
    <xf numFmtId="0" fontId="17" fillId="23" borderId="0" xfId="0" applyFont="1" applyFill="1" applyAlignment="1">
      <alignment horizontal="center"/>
    </xf>
    <xf numFmtId="0" fontId="0" fillId="23" borderId="0" xfId="0" applyFill="1"/>
    <xf numFmtId="0" fontId="23" fillId="0" borderId="12" xfId="0" applyFont="1" applyBorder="1" applyAlignment="1">
      <alignment horizontal="center"/>
    </xf>
    <xf numFmtId="11" fontId="0" fillId="0" borderId="0" xfId="0" applyNumberFormat="1"/>
    <xf numFmtId="169" fontId="0" fillId="0" borderId="0" xfId="0" applyNumberFormat="1"/>
    <xf numFmtId="0" fontId="1" fillId="0" borderId="0" xfId="0" applyFont="1"/>
    <xf numFmtId="166" fontId="1" fillId="0" borderId="0" xfId="0" applyNumberFormat="1" applyFont="1"/>
    <xf numFmtId="0" fontId="56" fillId="0" borderId="0" xfId="0" applyFont="1"/>
    <xf numFmtId="11" fontId="14" fillId="30" borderId="0" xfId="97" applyNumberFormat="1" applyFont="1" applyFill="1" applyAlignment="1">
      <alignment horizontal="center"/>
    </xf>
    <xf numFmtId="15" fontId="14" fillId="31" borderId="14" xfId="97" applyNumberFormat="1" applyFont="1" applyFill="1" applyBorder="1" applyAlignment="1">
      <alignment horizontal="center"/>
    </xf>
    <xf numFmtId="10" fontId="0" fillId="0" borderId="0" xfId="0" applyNumberFormat="1"/>
    <xf numFmtId="2" fontId="14" fillId="28" borderId="0" xfId="0" applyNumberFormat="1" applyFont="1" applyFill="1" applyAlignment="1">
      <alignment horizontal="center"/>
    </xf>
    <xf numFmtId="0" fontId="14" fillId="28" borderId="0" xfId="0" applyFont="1" applyFill="1" applyAlignment="1">
      <alignment horizontal="center"/>
    </xf>
    <xf numFmtId="0" fontId="24" fillId="28" borderId="0" xfId="0" applyFont="1" applyFill="1" applyAlignment="1">
      <alignment horizontal="center"/>
    </xf>
    <xf numFmtId="2" fontId="24" fillId="28" borderId="0" xfId="0" applyNumberFormat="1" applyFont="1" applyFill="1" applyAlignment="1">
      <alignment horizontal="center"/>
    </xf>
    <xf numFmtId="2" fontId="17" fillId="28" borderId="0" xfId="0" applyNumberFormat="1" applyFont="1" applyFill="1" applyAlignment="1">
      <alignment horizontal="center"/>
    </xf>
    <xf numFmtId="2" fontId="14" fillId="32" borderId="0" xfId="0" applyNumberFormat="1" applyFont="1" applyFill="1" applyAlignment="1">
      <alignment horizontal="center"/>
    </xf>
    <xf numFmtId="0" fontId="14" fillId="32" borderId="0" xfId="0" applyFont="1" applyFill="1" applyAlignment="1">
      <alignment horizontal="center"/>
    </xf>
    <xf numFmtId="0" fontId="24" fillId="32" borderId="0" xfId="0" applyFont="1" applyFill="1" applyAlignment="1">
      <alignment horizontal="center"/>
    </xf>
    <xf numFmtId="10" fontId="14" fillId="28" borderId="0" xfId="0" applyNumberFormat="1" applyFont="1" applyFill="1" applyAlignment="1">
      <alignment horizontal="center"/>
    </xf>
    <xf numFmtId="10" fontId="14" fillId="32" borderId="0" xfId="0" applyNumberFormat="1" applyFont="1" applyFill="1" applyAlignment="1">
      <alignment horizontal="center"/>
    </xf>
    <xf numFmtId="1" fontId="14" fillId="27" borderId="0" xfId="0" applyNumberFormat="1" applyFont="1" applyFill="1" applyAlignment="1">
      <alignment horizontal="center"/>
    </xf>
    <xf numFmtId="1" fontId="0" fillId="0" borderId="0" xfId="0" applyNumberFormat="1"/>
    <xf numFmtId="0" fontId="58" fillId="33" borderId="36" xfId="0" applyFont="1" applyFill="1" applyBorder="1" applyAlignment="1">
      <alignment vertical="top" wrapText="1"/>
    </xf>
    <xf numFmtId="0" fontId="59" fillId="33" borderId="36" xfId="0" applyFont="1" applyFill="1" applyBorder="1" applyAlignment="1">
      <alignment horizontal="left" vertical="center" wrapText="1" readingOrder="1"/>
    </xf>
    <xf numFmtId="0" fontId="60" fillId="34" borderId="37" xfId="0" applyFont="1" applyFill="1" applyBorder="1" applyAlignment="1">
      <alignment horizontal="left" vertical="center" wrapText="1" readingOrder="1"/>
    </xf>
    <xf numFmtId="0" fontId="60" fillId="35" borderId="38" xfId="0" applyFont="1" applyFill="1" applyBorder="1" applyAlignment="1">
      <alignment horizontal="left" vertical="center" wrapText="1" readingOrder="1"/>
    </xf>
    <xf numFmtId="0" fontId="61" fillId="34" borderId="38" xfId="0" applyFont="1" applyFill="1" applyBorder="1" applyAlignment="1">
      <alignment horizontal="left" vertical="center" wrapText="1" readingOrder="1"/>
    </xf>
    <xf numFmtId="0" fontId="60" fillId="34" borderId="38" xfId="0" applyFont="1" applyFill="1" applyBorder="1" applyAlignment="1">
      <alignment horizontal="left" vertical="center" wrapText="1" readingOrder="1"/>
    </xf>
    <xf numFmtId="2" fontId="60" fillId="35" borderId="38" xfId="0" applyNumberFormat="1" applyFont="1" applyFill="1" applyBorder="1" applyAlignment="1">
      <alignment horizontal="left" vertical="center" wrapText="1" readingOrder="1"/>
    </xf>
    <xf numFmtId="2" fontId="60" fillId="34" borderId="38" xfId="0" applyNumberFormat="1" applyFont="1" applyFill="1" applyBorder="1" applyAlignment="1">
      <alignment horizontal="left" vertical="center" wrapText="1" readingOrder="1"/>
    </xf>
    <xf numFmtId="0" fontId="17" fillId="22" borderId="15" xfId="0" applyFont="1" applyFill="1" applyBorder="1" applyAlignment="1">
      <alignment horizontal="center"/>
    </xf>
    <xf numFmtId="2" fontId="14" fillId="23" borderId="0" xfId="97" applyNumberFormat="1" applyFont="1" applyFill="1" applyAlignment="1">
      <alignment horizontal="center"/>
    </xf>
    <xf numFmtId="2" fontId="14" fillId="0" borderId="0" xfId="97" applyNumberFormat="1" applyFont="1" applyAlignment="1">
      <alignment horizontal="center"/>
    </xf>
    <xf numFmtId="0" fontId="17" fillId="22" borderId="17" xfId="0" applyFont="1" applyFill="1" applyBorder="1" applyAlignment="1">
      <alignment horizontal="center"/>
    </xf>
    <xf numFmtId="0" fontId="17" fillId="22" borderId="19" xfId="0" applyFont="1" applyFill="1" applyBorder="1" applyAlignment="1">
      <alignment horizontal="center"/>
    </xf>
    <xf numFmtId="11" fontId="60" fillId="34" borderId="38" xfId="0" applyNumberFormat="1" applyFont="1" applyFill="1" applyBorder="1" applyAlignment="1">
      <alignment horizontal="left" vertical="center" wrapText="1" readingOrder="1"/>
    </xf>
    <xf numFmtId="10" fontId="14" fillId="0" borderId="0" xfId="0" applyNumberFormat="1" applyFont="1" applyAlignment="1">
      <alignment horizontal="center"/>
    </xf>
    <xf numFmtId="2" fontId="14" fillId="31" borderId="0" xfId="0" applyNumberFormat="1" applyFont="1" applyFill="1" applyAlignment="1">
      <alignment horizontal="center"/>
    </xf>
    <xf numFmtId="169" fontId="60" fillId="35" borderId="38" xfId="0" applyNumberFormat="1" applyFont="1" applyFill="1" applyBorder="1" applyAlignment="1">
      <alignment horizontal="left" vertical="center" wrapText="1" readingOrder="1"/>
    </xf>
    <xf numFmtId="11" fontId="14" fillId="31" borderId="0" xfId="97" applyNumberFormat="1" applyFont="1" applyFill="1" applyAlignment="1">
      <alignment horizontal="center"/>
    </xf>
    <xf numFmtId="0" fontId="60" fillId="34" borderId="39" xfId="0" applyFont="1" applyFill="1" applyBorder="1" applyAlignment="1">
      <alignment horizontal="left" vertical="center" wrapText="1" readingOrder="1"/>
    </xf>
    <xf numFmtId="166" fontId="14" fillId="0" borderId="0" xfId="0" applyNumberFormat="1" applyFont="1" applyAlignment="1">
      <alignment horizontal="center"/>
    </xf>
    <xf numFmtId="169" fontId="14" fillId="28" borderId="0" xfId="0" applyNumberFormat="1" applyFont="1" applyFill="1" applyAlignment="1">
      <alignment horizontal="center"/>
    </xf>
    <xf numFmtId="169" fontId="14" fillId="32" borderId="0" xfId="0" applyNumberFormat="1" applyFont="1" applyFill="1" applyAlignment="1">
      <alignment horizontal="center"/>
    </xf>
    <xf numFmtId="0" fontId="63" fillId="0" borderId="0" xfId="0" applyFont="1"/>
    <xf numFmtId="2" fontId="60" fillId="34" borderId="37" xfId="0" applyNumberFormat="1" applyFont="1" applyFill="1" applyBorder="1" applyAlignment="1">
      <alignment horizontal="left" vertical="center" wrapText="1" readingOrder="1"/>
    </xf>
    <xf numFmtId="0" fontId="64" fillId="0" borderId="0" xfId="0" applyFont="1"/>
    <xf numFmtId="2" fontId="14" fillId="31" borderId="32" xfId="0" applyNumberFormat="1" applyFont="1" applyFill="1" applyBorder="1" applyAlignment="1">
      <alignment horizontal="center"/>
    </xf>
    <xf numFmtId="2" fontId="14" fillId="36" borderId="0" xfId="0" applyNumberFormat="1" applyFont="1" applyFill="1" applyAlignment="1">
      <alignment horizontal="center"/>
    </xf>
    <xf numFmtId="166" fontId="60" fillId="35" borderId="38" xfId="0" applyNumberFormat="1" applyFont="1" applyFill="1" applyBorder="1" applyAlignment="1">
      <alignment horizontal="left" vertical="center" wrapText="1" readingOrder="1"/>
    </xf>
    <xf numFmtId="0" fontId="61" fillId="34" borderId="37" xfId="0" applyFont="1" applyFill="1" applyBorder="1" applyAlignment="1">
      <alignment horizontal="left" vertical="center" wrapText="1" readingOrder="1"/>
    </xf>
    <xf numFmtId="0" fontId="60" fillId="35" borderId="39" xfId="0" applyFont="1" applyFill="1" applyBorder="1" applyAlignment="1">
      <alignment horizontal="left" vertical="center" wrapText="1" readingOrder="1"/>
    </xf>
    <xf numFmtId="0" fontId="17" fillId="20" borderId="14" xfId="0" applyFont="1" applyFill="1" applyBorder="1" applyAlignment="1">
      <alignment horizontal="center"/>
    </xf>
    <xf numFmtId="0" fontId="17" fillId="20" borderId="24" xfId="0" applyFont="1" applyFill="1" applyBorder="1" applyAlignment="1">
      <alignment horizontal="center"/>
    </xf>
    <xf numFmtId="0" fontId="17" fillId="20" borderId="16" xfId="0" applyFont="1" applyFill="1" applyBorder="1" applyAlignment="1">
      <alignment horizontal="center" wrapText="1"/>
    </xf>
    <xf numFmtId="0" fontId="17" fillId="20" borderId="24" xfId="0" applyFont="1" applyFill="1" applyBorder="1" applyAlignment="1">
      <alignment horizontal="center" wrapText="1"/>
    </xf>
    <xf numFmtId="0" fontId="17" fillId="22" borderId="17" xfId="0" applyFont="1" applyFill="1" applyBorder="1" applyAlignment="1">
      <alignment horizontal="center"/>
    </xf>
    <xf numFmtId="0" fontId="17" fillId="22" borderId="19" xfId="0" applyFont="1" applyFill="1" applyBorder="1" applyAlignment="1">
      <alignment horizontal="center"/>
    </xf>
    <xf numFmtId="0" fontId="17" fillId="20" borderId="17" xfId="0" applyFont="1" applyFill="1" applyBorder="1" applyAlignment="1">
      <alignment horizontal="center" vertical="center"/>
    </xf>
    <xf numFmtId="0" fontId="17" fillId="20" borderId="32" xfId="0" applyFont="1" applyFill="1" applyBorder="1" applyAlignment="1">
      <alignment horizontal="center" vertical="center"/>
    </xf>
    <xf numFmtId="0" fontId="17" fillId="22" borderId="13" xfId="0" applyFont="1" applyFill="1" applyBorder="1" applyAlignment="1">
      <alignment horizontal="center"/>
    </xf>
    <xf numFmtId="0" fontId="17" fillId="22" borderId="33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20" borderId="16" xfId="0" applyFont="1" applyFill="1" applyBorder="1" applyAlignment="1">
      <alignment horizontal="center"/>
    </xf>
    <xf numFmtId="0" fontId="17" fillId="0" borderId="0" xfId="0" applyFont="1" applyAlignment="1">
      <alignment horizontal="center"/>
    </xf>
  </cellXfs>
  <cellStyles count="191">
    <cellStyle name="Buena 2" xfId="1" xr:uid="{00000000-0005-0000-0000-000000000000}"/>
    <cellStyle name="Buena 3" xfId="2" xr:uid="{00000000-0005-0000-0000-000001000000}"/>
    <cellStyle name="Buena 4" xfId="3" xr:uid="{00000000-0005-0000-0000-000002000000}"/>
    <cellStyle name="Buena 5" xfId="4" xr:uid="{00000000-0005-0000-0000-000003000000}"/>
    <cellStyle name="Buena 6" xfId="5" xr:uid="{00000000-0005-0000-0000-000004000000}"/>
    <cellStyle name="Buena 7" xfId="145" xr:uid="{00000000-0005-0000-0000-000005000000}"/>
    <cellStyle name="Buena 8" xfId="164" xr:uid="{00000000-0005-0000-0000-000006000000}"/>
    <cellStyle name="Cálculo 2" xfId="6" xr:uid="{00000000-0005-0000-0000-000007000000}"/>
    <cellStyle name="Cálculo 3" xfId="7" xr:uid="{00000000-0005-0000-0000-000008000000}"/>
    <cellStyle name="Cálculo 4" xfId="8" xr:uid="{00000000-0005-0000-0000-000009000000}"/>
    <cellStyle name="Cálculo 5" xfId="9" xr:uid="{00000000-0005-0000-0000-00000A000000}"/>
    <cellStyle name="Cálculo 6" xfId="10" xr:uid="{00000000-0005-0000-0000-00000B000000}"/>
    <cellStyle name="Cálculo 7" xfId="146" xr:uid="{00000000-0005-0000-0000-00000C000000}"/>
    <cellStyle name="Cálculo 8" xfId="163" xr:uid="{00000000-0005-0000-0000-00000D000000}"/>
    <cellStyle name="Celda de comprobación 2" xfId="11" xr:uid="{00000000-0005-0000-0000-00000E000000}"/>
    <cellStyle name="Celda de comprobación 3" xfId="12" xr:uid="{00000000-0005-0000-0000-00000F000000}"/>
    <cellStyle name="Celda de comprobación 4" xfId="13" xr:uid="{00000000-0005-0000-0000-000010000000}"/>
    <cellStyle name="Celda de comprobación 5" xfId="14" xr:uid="{00000000-0005-0000-0000-000011000000}"/>
    <cellStyle name="Celda de comprobación 6" xfId="15" xr:uid="{00000000-0005-0000-0000-000012000000}"/>
    <cellStyle name="Celda de comprobación 7" xfId="147" xr:uid="{00000000-0005-0000-0000-000013000000}"/>
    <cellStyle name="Celda de comprobación 8" xfId="162" xr:uid="{00000000-0005-0000-0000-000014000000}"/>
    <cellStyle name="Celda vinculada 2" xfId="16" xr:uid="{00000000-0005-0000-0000-000015000000}"/>
    <cellStyle name="Celda vinculada 3" xfId="17" xr:uid="{00000000-0005-0000-0000-000016000000}"/>
    <cellStyle name="Celda vinculada 4" xfId="18" xr:uid="{00000000-0005-0000-0000-000017000000}"/>
    <cellStyle name="Celda vinculada 5" xfId="19" xr:uid="{00000000-0005-0000-0000-000018000000}"/>
    <cellStyle name="Celda vinculada 6" xfId="20" xr:uid="{00000000-0005-0000-0000-000019000000}"/>
    <cellStyle name="Celda vinculada 7" xfId="148" xr:uid="{00000000-0005-0000-0000-00001A000000}"/>
    <cellStyle name="Celda vinculada 8" xfId="160" xr:uid="{00000000-0005-0000-0000-00001B000000}"/>
    <cellStyle name="Encabezado 4 2" xfId="21" xr:uid="{00000000-0005-0000-0000-00001C000000}"/>
    <cellStyle name="Encabezado 4 3" xfId="22" xr:uid="{00000000-0005-0000-0000-00001D000000}"/>
    <cellStyle name="Encabezado 4 4" xfId="23" xr:uid="{00000000-0005-0000-0000-00001E000000}"/>
    <cellStyle name="Encabezado 4 5" xfId="24" xr:uid="{00000000-0005-0000-0000-00001F000000}"/>
    <cellStyle name="Encabezado 4 6" xfId="25" xr:uid="{00000000-0005-0000-0000-000020000000}"/>
    <cellStyle name="Encabezado 4 7" xfId="149" xr:uid="{00000000-0005-0000-0000-000021000000}"/>
    <cellStyle name="Encabezado 4 8" xfId="159" xr:uid="{00000000-0005-0000-0000-000022000000}"/>
    <cellStyle name="Énfasis 1" xfId="26" xr:uid="{00000000-0005-0000-0000-000023000000}"/>
    <cellStyle name="Énfasis 2" xfId="27" xr:uid="{00000000-0005-0000-0000-000024000000}"/>
    <cellStyle name="Énfasis 3" xfId="28" xr:uid="{00000000-0005-0000-0000-000025000000}"/>
    <cellStyle name="Énfasis1 - 20%" xfId="29" xr:uid="{00000000-0005-0000-0000-000026000000}"/>
    <cellStyle name="Énfasis1 - 40%" xfId="30" xr:uid="{00000000-0005-0000-0000-000027000000}"/>
    <cellStyle name="Énfasis1 - 60%" xfId="31" xr:uid="{00000000-0005-0000-0000-000028000000}"/>
    <cellStyle name="Énfasis1 2" xfId="32" xr:uid="{00000000-0005-0000-0000-000029000000}"/>
    <cellStyle name="Énfasis1 3" xfId="33" xr:uid="{00000000-0005-0000-0000-00002A000000}"/>
    <cellStyle name="Énfasis1 4" xfId="34" xr:uid="{00000000-0005-0000-0000-00002B000000}"/>
    <cellStyle name="Énfasis1 5" xfId="35" xr:uid="{00000000-0005-0000-0000-00002C000000}"/>
    <cellStyle name="Énfasis1 6" xfId="36" xr:uid="{00000000-0005-0000-0000-00002D000000}"/>
    <cellStyle name="Énfasis1 7" xfId="151" xr:uid="{00000000-0005-0000-0000-00002E000000}"/>
    <cellStyle name="Énfasis1 8" xfId="157" xr:uid="{00000000-0005-0000-0000-00002F000000}"/>
    <cellStyle name="Énfasis2 - 20%" xfId="37" xr:uid="{00000000-0005-0000-0000-000030000000}"/>
    <cellStyle name="Énfasis2 - 40%" xfId="38" xr:uid="{00000000-0005-0000-0000-000031000000}"/>
    <cellStyle name="Énfasis2 - 60%" xfId="39" xr:uid="{00000000-0005-0000-0000-000032000000}"/>
    <cellStyle name="Énfasis2 2" xfId="40" xr:uid="{00000000-0005-0000-0000-000033000000}"/>
    <cellStyle name="Énfasis2 3" xfId="41" xr:uid="{00000000-0005-0000-0000-000034000000}"/>
    <cellStyle name="Énfasis2 4" xfId="42" xr:uid="{00000000-0005-0000-0000-000035000000}"/>
    <cellStyle name="Énfasis2 5" xfId="43" xr:uid="{00000000-0005-0000-0000-000036000000}"/>
    <cellStyle name="Énfasis2 6" xfId="44" xr:uid="{00000000-0005-0000-0000-000037000000}"/>
    <cellStyle name="Énfasis2 7" xfId="153" xr:uid="{00000000-0005-0000-0000-000038000000}"/>
    <cellStyle name="Énfasis2 8" xfId="154" xr:uid="{00000000-0005-0000-0000-000039000000}"/>
    <cellStyle name="Énfasis3 - 20%" xfId="45" xr:uid="{00000000-0005-0000-0000-00003A000000}"/>
    <cellStyle name="Énfasis3 - 40%" xfId="46" xr:uid="{00000000-0005-0000-0000-00003B000000}"/>
    <cellStyle name="Énfasis3 - 60%" xfId="47" xr:uid="{00000000-0005-0000-0000-00003C000000}"/>
    <cellStyle name="Énfasis3 2" xfId="48" xr:uid="{00000000-0005-0000-0000-00003D000000}"/>
    <cellStyle name="Énfasis3 3" xfId="49" xr:uid="{00000000-0005-0000-0000-00003E000000}"/>
    <cellStyle name="Énfasis3 4" xfId="50" xr:uid="{00000000-0005-0000-0000-00003F000000}"/>
    <cellStyle name="Énfasis3 5" xfId="51" xr:uid="{00000000-0005-0000-0000-000040000000}"/>
    <cellStyle name="Énfasis3 6" xfId="52" xr:uid="{00000000-0005-0000-0000-000041000000}"/>
    <cellStyle name="Énfasis3 7" xfId="155" xr:uid="{00000000-0005-0000-0000-000042000000}"/>
    <cellStyle name="Énfasis3 8" xfId="152" xr:uid="{00000000-0005-0000-0000-000043000000}"/>
    <cellStyle name="Énfasis4 - 20%" xfId="53" xr:uid="{00000000-0005-0000-0000-000044000000}"/>
    <cellStyle name="Énfasis4 - 40%" xfId="54" xr:uid="{00000000-0005-0000-0000-000045000000}"/>
    <cellStyle name="Énfasis4 - 60%" xfId="55" xr:uid="{00000000-0005-0000-0000-000046000000}"/>
    <cellStyle name="Énfasis4 2" xfId="56" xr:uid="{00000000-0005-0000-0000-000047000000}"/>
    <cellStyle name="Énfasis4 3" xfId="57" xr:uid="{00000000-0005-0000-0000-000048000000}"/>
    <cellStyle name="Énfasis4 4" xfId="58" xr:uid="{00000000-0005-0000-0000-000049000000}"/>
    <cellStyle name="Énfasis4 5" xfId="59" xr:uid="{00000000-0005-0000-0000-00004A000000}"/>
    <cellStyle name="Énfasis4 6" xfId="60" xr:uid="{00000000-0005-0000-0000-00004B000000}"/>
    <cellStyle name="Énfasis4 7" xfId="156" xr:uid="{00000000-0005-0000-0000-00004C000000}"/>
    <cellStyle name="Énfasis4 8" xfId="150" xr:uid="{00000000-0005-0000-0000-00004D000000}"/>
    <cellStyle name="Énfasis5 - 20%" xfId="61" xr:uid="{00000000-0005-0000-0000-00004E000000}"/>
    <cellStyle name="Énfasis5 - 40%" xfId="62" xr:uid="{00000000-0005-0000-0000-00004F000000}"/>
    <cellStyle name="Énfasis5 - 60%" xfId="63" xr:uid="{00000000-0005-0000-0000-000050000000}"/>
    <cellStyle name="Énfasis5 2" xfId="64" xr:uid="{00000000-0005-0000-0000-000051000000}"/>
    <cellStyle name="Énfasis5 3" xfId="65" xr:uid="{00000000-0005-0000-0000-000052000000}"/>
    <cellStyle name="Énfasis5 4" xfId="66" xr:uid="{00000000-0005-0000-0000-000053000000}"/>
    <cellStyle name="Énfasis5 5" xfId="67" xr:uid="{00000000-0005-0000-0000-000054000000}"/>
    <cellStyle name="Énfasis5 6" xfId="68" xr:uid="{00000000-0005-0000-0000-000055000000}"/>
    <cellStyle name="Énfasis5 7" xfId="158" xr:uid="{00000000-0005-0000-0000-000056000000}"/>
    <cellStyle name="Énfasis5 8" xfId="176" xr:uid="{00000000-0005-0000-0000-000057000000}"/>
    <cellStyle name="Énfasis6 - 20%" xfId="69" xr:uid="{00000000-0005-0000-0000-000058000000}"/>
    <cellStyle name="Énfasis6 - 40%" xfId="70" xr:uid="{00000000-0005-0000-0000-000059000000}"/>
    <cellStyle name="Énfasis6 - 60%" xfId="71" xr:uid="{00000000-0005-0000-0000-00005A000000}"/>
    <cellStyle name="Énfasis6 2" xfId="72" xr:uid="{00000000-0005-0000-0000-00005B000000}"/>
    <cellStyle name="Énfasis6 3" xfId="73" xr:uid="{00000000-0005-0000-0000-00005C000000}"/>
    <cellStyle name="Énfasis6 4" xfId="74" xr:uid="{00000000-0005-0000-0000-00005D000000}"/>
    <cellStyle name="Énfasis6 5" xfId="75" xr:uid="{00000000-0005-0000-0000-00005E000000}"/>
    <cellStyle name="Énfasis6 6" xfId="76" xr:uid="{00000000-0005-0000-0000-00005F000000}"/>
    <cellStyle name="Énfasis6 7" xfId="161" xr:uid="{00000000-0005-0000-0000-000060000000}"/>
    <cellStyle name="Énfasis6 8" xfId="177" xr:uid="{00000000-0005-0000-0000-000061000000}"/>
    <cellStyle name="Entrada 2" xfId="77" xr:uid="{00000000-0005-0000-0000-000062000000}"/>
    <cellStyle name="Entrada 3" xfId="78" xr:uid="{00000000-0005-0000-0000-000063000000}"/>
    <cellStyle name="Entrada 4" xfId="79" xr:uid="{00000000-0005-0000-0000-000064000000}"/>
    <cellStyle name="Entrada 5" xfId="80" xr:uid="{00000000-0005-0000-0000-000065000000}"/>
    <cellStyle name="Entrada 6" xfId="81" xr:uid="{00000000-0005-0000-0000-000066000000}"/>
    <cellStyle name="Entrada 7" xfId="165" xr:uid="{00000000-0005-0000-0000-000067000000}"/>
    <cellStyle name="Entrada 8" xfId="178" xr:uid="{00000000-0005-0000-0000-000068000000}"/>
    <cellStyle name="Incorrecto 2" xfId="82" xr:uid="{00000000-0005-0000-0000-000069000000}"/>
    <cellStyle name="Incorrecto 3" xfId="83" xr:uid="{00000000-0005-0000-0000-00006A000000}"/>
    <cellStyle name="Incorrecto 4" xfId="84" xr:uid="{00000000-0005-0000-0000-00006B000000}"/>
    <cellStyle name="Incorrecto 5" xfId="85" xr:uid="{00000000-0005-0000-0000-00006C000000}"/>
    <cellStyle name="Incorrecto 6" xfId="86" xr:uid="{00000000-0005-0000-0000-00006D000000}"/>
    <cellStyle name="Incorrecto 7" xfId="166" xr:uid="{00000000-0005-0000-0000-00006E000000}"/>
    <cellStyle name="Incorrecto 8" xfId="179" xr:uid="{00000000-0005-0000-0000-00006F000000}"/>
    <cellStyle name="Neutral 2" xfId="87" xr:uid="{00000000-0005-0000-0000-000070000000}"/>
    <cellStyle name="Neutral 3" xfId="88" xr:uid="{00000000-0005-0000-0000-000071000000}"/>
    <cellStyle name="Neutral 4" xfId="89" xr:uid="{00000000-0005-0000-0000-000072000000}"/>
    <cellStyle name="Neutral 5" xfId="90" xr:uid="{00000000-0005-0000-0000-000073000000}"/>
    <cellStyle name="Neutral 6" xfId="91" xr:uid="{00000000-0005-0000-0000-000074000000}"/>
    <cellStyle name="Neutral 7" xfId="167" xr:uid="{00000000-0005-0000-0000-000075000000}"/>
    <cellStyle name="Neutral 8" xfId="180" xr:uid="{00000000-0005-0000-0000-000076000000}"/>
    <cellStyle name="Normal" xfId="0" builtinId="0"/>
    <cellStyle name="Normal 10" xfId="143" xr:uid="{00000000-0005-0000-0000-000078000000}"/>
    <cellStyle name="Normal 11" xfId="144" xr:uid="{00000000-0005-0000-0000-000079000000}"/>
    <cellStyle name="Normal 2" xfId="135" xr:uid="{00000000-0005-0000-0000-00007A000000}"/>
    <cellStyle name="Normal 2 2" xfId="92" xr:uid="{00000000-0005-0000-0000-00007B000000}"/>
    <cellStyle name="Normal 2 3" xfId="93" xr:uid="{00000000-0005-0000-0000-00007C000000}"/>
    <cellStyle name="Normal 2 4" xfId="94" xr:uid="{00000000-0005-0000-0000-00007D000000}"/>
    <cellStyle name="Normal 2 5" xfId="95" xr:uid="{00000000-0005-0000-0000-00007E000000}"/>
    <cellStyle name="Normal 2 6" xfId="96" xr:uid="{00000000-0005-0000-0000-00007F000000}"/>
    <cellStyle name="Normal 2 7" xfId="168" xr:uid="{00000000-0005-0000-0000-000080000000}"/>
    <cellStyle name="Normal 2 8" xfId="181" xr:uid="{00000000-0005-0000-0000-000081000000}"/>
    <cellStyle name="Normal 2_Corrida32" xfId="136" xr:uid="{00000000-0005-0000-0000-000082000000}"/>
    <cellStyle name="Normal 3" xfId="134" xr:uid="{00000000-0005-0000-0000-000083000000}"/>
    <cellStyle name="Normal 4" xfId="137" xr:uid="{00000000-0005-0000-0000-000084000000}"/>
    <cellStyle name="Normal 5" xfId="138" xr:uid="{00000000-0005-0000-0000-000085000000}"/>
    <cellStyle name="Normal 6" xfId="139" xr:uid="{00000000-0005-0000-0000-000086000000}"/>
    <cellStyle name="Normal 7" xfId="140" xr:uid="{00000000-0005-0000-0000-000087000000}"/>
    <cellStyle name="Normal 8" xfId="141" xr:uid="{00000000-0005-0000-0000-000088000000}"/>
    <cellStyle name="Normal 9" xfId="142" xr:uid="{00000000-0005-0000-0000-000089000000}"/>
    <cellStyle name="Normal 9 2" xfId="189" xr:uid="{00000000-0005-0000-0000-00008A000000}"/>
    <cellStyle name="Normal 9 3" xfId="190" xr:uid="{00000000-0005-0000-0000-00008B000000}"/>
    <cellStyle name="Normal_Cinetica del R3h 0006" xfId="97" xr:uid="{00000000-0005-0000-0000-00008C000000}"/>
    <cellStyle name="Notas 2" xfId="98" xr:uid="{00000000-0005-0000-0000-00008D000000}"/>
    <cellStyle name="Notas 3" xfId="99" xr:uid="{00000000-0005-0000-0000-00008E000000}"/>
    <cellStyle name="Notas 4" xfId="100" xr:uid="{00000000-0005-0000-0000-00008F000000}"/>
    <cellStyle name="Notas 5" xfId="101" xr:uid="{00000000-0005-0000-0000-000090000000}"/>
    <cellStyle name="Notas 6" xfId="102" xr:uid="{00000000-0005-0000-0000-000091000000}"/>
    <cellStyle name="Notas 7" xfId="169" xr:uid="{00000000-0005-0000-0000-000092000000}"/>
    <cellStyle name="Notas 8" xfId="182" xr:uid="{00000000-0005-0000-0000-000093000000}"/>
    <cellStyle name="Salida 2" xfId="103" xr:uid="{00000000-0005-0000-0000-000094000000}"/>
    <cellStyle name="Salida 3" xfId="104" xr:uid="{00000000-0005-0000-0000-000095000000}"/>
    <cellStyle name="Salida 4" xfId="105" xr:uid="{00000000-0005-0000-0000-000096000000}"/>
    <cellStyle name="Salida 5" xfId="106" xr:uid="{00000000-0005-0000-0000-000097000000}"/>
    <cellStyle name="Salida 6" xfId="107" xr:uid="{00000000-0005-0000-0000-000098000000}"/>
    <cellStyle name="Salida 7" xfId="170" xr:uid="{00000000-0005-0000-0000-000099000000}"/>
    <cellStyle name="Salida 8" xfId="183" xr:uid="{00000000-0005-0000-0000-00009A000000}"/>
    <cellStyle name="Texto de advertencia 2" xfId="108" xr:uid="{00000000-0005-0000-0000-00009B000000}"/>
    <cellStyle name="Texto de advertencia 3" xfId="109" xr:uid="{00000000-0005-0000-0000-00009C000000}"/>
    <cellStyle name="Texto de advertencia 4" xfId="110" xr:uid="{00000000-0005-0000-0000-00009D000000}"/>
    <cellStyle name="Texto de advertencia 5" xfId="111" xr:uid="{00000000-0005-0000-0000-00009E000000}"/>
    <cellStyle name="Texto de advertencia 6" xfId="112" xr:uid="{00000000-0005-0000-0000-00009F000000}"/>
    <cellStyle name="Texto de advertencia 7" xfId="171" xr:uid="{00000000-0005-0000-0000-0000A0000000}"/>
    <cellStyle name="Texto de advertencia 8" xfId="184" xr:uid="{00000000-0005-0000-0000-0000A1000000}"/>
    <cellStyle name="Título 1 2" xfId="113" xr:uid="{00000000-0005-0000-0000-0000A2000000}"/>
    <cellStyle name="Título 1 3" xfId="114" xr:uid="{00000000-0005-0000-0000-0000A3000000}"/>
    <cellStyle name="Título 1 4" xfId="115" xr:uid="{00000000-0005-0000-0000-0000A4000000}"/>
    <cellStyle name="Título 1 5" xfId="116" xr:uid="{00000000-0005-0000-0000-0000A5000000}"/>
    <cellStyle name="Título 1 6" xfId="117" xr:uid="{00000000-0005-0000-0000-0000A6000000}"/>
    <cellStyle name="Título 1 7" xfId="172" xr:uid="{00000000-0005-0000-0000-0000A7000000}"/>
    <cellStyle name="Título 1 8" xfId="185" xr:uid="{00000000-0005-0000-0000-0000A8000000}"/>
    <cellStyle name="Título 2 2" xfId="118" xr:uid="{00000000-0005-0000-0000-0000A9000000}"/>
    <cellStyle name="Título 2 3" xfId="119" xr:uid="{00000000-0005-0000-0000-0000AA000000}"/>
    <cellStyle name="Título 2 4" xfId="120" xr:uid="{00000000-0005-0000-0000-0000AB000000}"/>
    <cellStyle name="Título 2 5" xfId="121" xr:uid="{00000000-0005-0000-0000-0000AC000000}"/>
    <cellStyle name="Título 2 6" xfId="122" xr:uid="{00000000-0005-0000-0000-0000AD000000}"/>
    <cellStyle name="Título 2 7" xfId="173" xr:uid="{00000000-0005-0000-0000-0000AE000000}"/>
    <cellStyle name="Título 2 8" xfId="186" xr:uid="{00000000-0005-0000-0000-0000AF000000}"/>
    <cellStyle name="Título 3 2" xfId="123" xr:uid="{00000000-0005-0000-0000-0000B0000000}"/>
    <cellStyle name="Título 3 3" xfId="124" xr:uid="{00000000-0005-0000-0000-0000B1000000}"/>
    <cellStyle name="Título 3 4" xfId="125" xr:uid="{00000000-0005-0000-0000-0000B2000000}"/>
    <cellStyle name="Título 3 5" xfId="126" xr:uid="{00000000-0005-0000-0000-0000B3000000}"/>
    <cellStyle name="Título 3 6" xfId="127" xr:uid="{00000000-0005-0000-0000-0000B4000000}"/>
    <cellStyle name="Título 3 7" xfId="174" xr:uid="{00000000-0005-0000-0000-0000B5000000}"/>
    <cellStyle name="Título 3 8" xfId="187" xr:uid="{00000000-0005-0000-0000-0000B6000000}"/>
    <cellStyle name="Título de hoja" xfId="128" xr:uid="{00000000-0005-0000-0000-0000B7000000}"/>
    <cellStyle name="Total 2" xfId="129" xr:uid="{00000000-0005-0000-0000-0000B8000000}"/>
    <cellStyle name="Total 3" xfId="130" xr:uid="{00000000-0005-0000-0000-0000B9000000}"/>
    <cellStyle name="Total 4" xfId="131" xr:uid="{00000000-0005-0000-0000-0000BA000000}"/>
    <cellStyle name="Total 5" xfId="132" xr:uid="{00000000-0005-0000-0000-0000BB000000}"/>
    <cellStyle name="Total 6" xfId="133" xr:uid="{00000000-0005-0000-0000-0000BC000000}"/>
    <cellStyle name="Total 7" xfId="175" xr:uid="{00000000-0005-0000-0000-0000BD000000}"/>
    <cellStyle name="Total 8" xfId="188" xr:uid="{00000000-0005-0000-0000-0000BE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CCECFF"/>
      <color rgb="FF660066"/>
      <color rgb="FFFF66FF"/>
      <color rgb="FFFF99CC"/>
      <color rgb="FFFFFF00"/>
      <color rgb="FFFFCCFF"/>
      <color rgb="FFFF9900"/>
      <color rgb="FFED8013"/>
      <color rgb="FFFF9933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chartsheet" Target="chartsheets/sheet7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chartsheet" Target="chartsheets/sheet1.xml"/><Relationship Id="rId12" Type="http://schemas.openxmlformats.org/officeDocument/2006/relationships/chartsheet" Target="chartsheets/sheet6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5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9.xml"/><Relationship Id="rId23" Type="http://schemas.openxmlformats.org/officeDocument/2006/relationships/customXml" Target="../customXml/item1.xml"/><Relationship Id="rId10" Type="http://schemas.openxmlformats.org/officeDocument/2006/relationships/chartsheet" Target="chartsheets/sheet4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3.xml"/><Relationship Id="rId14" Type="http://schemas.openxmlformats.org/officeDocument/2006/relationships/chartsheet" Target="chartsheets/sheet8.xml"/><Relationship Id="rId22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Velocidad de crecimiento y rendimientos en el tiempo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ferment.!$R$6</c:f>
              <c:strCache>
                <c:ptCount val="1"/>
                <c:pt idx="0">
                  <c:v>µ(h-1)</c:v>
                </c:pt>
              </c:strCache>
            </c:strRef>
          </c:tx>
          <c:xVal>
            <c:numRef>
              <c:f>ferment.!$E$8:$E$35</c:f>
              <c:numCache>
                <c:formatCode>0.00</c:formatCode>
                <c:ptCount val="28"/>
                <c:pt idx="0">
                  <c:v>2.0833333335758653E-2</c:v>
                </c:pt>
                <c:pt idx="1">
                  <c:v>0.98958333333575865</c:v>
                </c:pt>
                <c:pt idx="2">
                  <c:v>1.9513888888905058</c:v>
                </c:pt>
                <c:pt idx="3">
                  <c:v>2.8993055555547471</c:v>
                </c:pt>
                <c:pt idx="4">
                  <c:v>3.8958333333357587</c:v>
                </c:pt>
                <c:pt idx="5">
                  <c:v>5.03125</c:v>
                </c:pt>
                <c:pt idx="6">
                  <c:v>6.21875</c:v>
                </c:pt>
                <c:pt idx="7">
                  <c:v>6.9652777777810115</c:v>
                </c:pt>
                <c:pt idx="8">
                  <c:v>7.9909722222218988</c:v>
                </c:pt>
                <c:pt idx="9">
                  <c:v>8.9166666666642413</c:v>
                </c:pt>
                <c:pt idx="10">
                  <c:v>9.9097222222189885</c:v>
                </c:pt>
                <c:pt idx="11">
                  <c:v>10.895833333335759</c:v>
                </c:pt>
                <c:pt idx="12">
                  <c:v>12.208333333335759</c:v>
                </c:pt>
                <c:pt idx="13">
                  <c:v>13.017361111109494</c:v>
                </c:pt>
                <c:pt idx="14">
                  <c:v>15.048611111109494</c:v>
                </c:pt>
                <c:pt idx="15">
                  <c:v>15.9375</c:v>
                </c:pt>
                <c:pt idx="16">
                  <c:v>16.899305555554747</c:v>
                </c:pt>
                <c:pt idx="17">
                  <c:v>19.0625</c:v>
                </c:pt>
                <c:pt idx="18">
                  <c:v>19.979166666664241</c:v>
                </c:pt>
                <c:pt idx="19">
                  <c:v>21.225694444445253</c:v>
                </c:pt>
                <c:pt idx="20">
                  <c:v>22.145833333335759</c:v>
                </c:pt>
                <c:pt idx="21">
                  <c:v>23.020833333335759</c:v>
                </c:pt>
                <c:pt idx="22">
                  <c:v>23.90625</c:v>
                </c:pt>
                <c:pt idx="23">
                  <c:v>24.930555555554747</c:v>
                </c:pt>
                <c:pt idx="24">
                  <c:v>26.243055555554747</c:v>
                </c:pt>
                <c:pt idx="25">
                  <c:v>27.03125</c:v>
                </c:pt>
                <c:pt idx="26">
                  <c:v>28.145833333335759</c:v>
                </c:pt>
                <c:pt idx="27">
                  <c:v>29.201388888890506</c:v>
                </c:pt>
              </c:numCache>
            </c:numRef>
          </c:xVal>
          <c:yVal>
            <c:numRef>
              <c:f>ferment.!$R$8:$R$35</c:f>
              <c:numCache>
                <c:formatCode>0.0000</c:formatCode>
                <c:ptCount val="28"/>
                <c:pt idx="0" formatCode="General">
                  <c:v>0</c:v>
                </c:pt>
                <c:pt idx="1">
                  <c:v>2.6009535893897477E-2</c:v>
                </c:pt>
                <c:pt idx="2">
                  <c:v>3.0845825918262307E-2</c:v>
                </c:pt>
                <c:pt idx="3">
                  <c:v>2.452772856095059E-2</c:v>
                </c:pt>
                <c:pt idx="4">
                  <c:v>1.1411645027905658E-2</c:v>
                </c:pt>
                <c:pt idx="5">
                  <c:v>1.4006079822176797E-2</c:v>
                </c:pt>
                <c:pt idx="6">
                  <c:v>1.6397416184315304E-2</c:v>
                </c:pt>
                <c:pt idx="7">
                  <c:v>1.2373886128825265E-2</c:v>
                </c:pt>
                <c:pt idx="8">
                  <c:v>3.138978346097112E-2</c:v>
                </c:pt>
                <c:pt idx="9">
                  <c:v>1.6946279251036696E-2</c:v>
                </c:pt>
                <c:pt idx="10">
                  <c:v>1.8498143490296694E-2</c:v>
                </c:pt>
                <c:pt idx="11">
                  <c:v>2.3670555216777391E-2</c:v>
                </c:pt>
                <c:pt idx="12">
                  <c:v>1.4960269687234106E-2</c:v>
                </c:pt>
                <c:pt idx="13">
                  <c:v>1.0589250826040033E-2</c:v>
                </c:pt>
                <c:pt idx="14">
                  <c:v>2.3874559651827627E-2</c:v>
                </c:pt>
                <c:pt idx="15">
                  <c:v>1.8454483991774257E-2</c:v>
                </c:pt>
                <c:pt idx="16">
                  <c:v>2.1801235332039693E-2</c:v>
                </c:pt>
                <c:pt idx="17">
                  <c:v>2.0756067860361965E-2</c:v>
                </c:pt>
                <c:pt idx="18">
                  <c:v>2.5550149504452516E-2</c:v>
                </c:pt>
                <c:pt idx="19">
                  <c:v>2.036015272595457E-2</c:v>
                </c:pt>
                <c:pt idx="20">
                  <c:v>1.104957014804589E-2</c:v>
                </c:pt>
                <c:pt idx="21">
                  <c:v>2.1273601705143363E-2</c:v>
                </c:pt>
                <c:pt idx="22">
                  <c:v>1.5953453102368738E-2</c:v>
                </c:pt>
                <c:pt idx="23">
                  <c:v>2.4266824370345351E-2</c:v>
                </c:pt>
                <c:pt idx="24">
                  <c:v>1.4110234819426805E-2</c:v>
                </c:pt>
                <c:pt idx="25">
                  <c:v>2.2140198513685854E-2</c:v>
                </c:pt>
                <c:pt idx="26">
                  <c:v>1.8868474511756463E-2</c:v>
                </c:pt>
                <c:pt idx="27">
                  <c:v>1.6083777250634309E-2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22-4171-9FA4-1E6AB748D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154960"/>
        <c:axId val="305149472"/>
      </c:scatterChart>
      <c:scatterChart>
        <c:scatterStyle val="lineMarker"/>
        <c:varyColors val="0"/>
        <c:ser>
          <c:idx val="1"/>
          <c:order val="1"/>
          <c:tx>
            <c:strRef>
              <c:f>productividad!$T$1</c:f>
              <c:strCache>
                <c:ptCount val="1"/>
                <c:pt idx="0">
                  <c:v>Y mg/L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(productividad!$E$3:$E$6,productividad!$E$8:$E$31,productividad!$E$33:$E$34,productividad!$E$36:$E$41)</c:f>
              <c:numCache>
                <c:formatCode>0.00</c:formatCode>
                <c:ptCount val="36"/>
                <c:pt idx="0">
                  <c:v>-728.97916666666424</c:v>
                </c:pt>
                <c:pt idx="1">
                  <c:v>-727.97916666666424</c:v>
                </c:pt>
                <c:pt idx="2">
                  <c:v>-726.97916666666424</c:v>
                </c:pt>
                <c:pt idx="3">
                  <c:v>-724.97916666666424</c:v>
                </c:pt>
                <c:pt idx="4">
                  <c:v>-2242.7083333333358</c:v>
                </c:pt>
                <c:pt idx="5">
                  <c:v>-2239.4236111111095</c:v>
                </c:pt>
                <c:pt idx="6">
                  <c:v>-2236.909722222219</c:v>
                </c:pt>
                <c:pt idx="7">
                  <c:v>-2235.0694444444453</c:v>
                </c:pt>
                <c:pt idx="8">
                  <c:v>-2234.090277777781</c:v>
                </c:pt>
                <c:pt idx="9">
                  <c:v>-2225.6770833333358</c:v>
                </c:pt>
                <c:pt idx="10">
                  <c:v>-2224.9375</c:v>
                </c:pt>
                <c:pt idx="11">
                  <c:v>-2222.2708333333358</c:v>
                </c:pt>
                <c:pt idx="12">
                  <c:v>-2369.0416666666642</c:v>
                </c:pt>
                <c:pt idx="13">
                  <c:v>-2367.0416666666642</c:v>
                </c:pt>
                <c:pt idx="14">
                  <c:v>-2365.0416666666642</c:v>
                </c:pt>
                <c:pt idx="15">
                  <c:v>-2363.0416666666642</c:v>
                </c:pt>
                <c:pt idx="16">
                  <c:v>-2361.0416666666642</c:v>
                </c:pt>
                <c:pt idx="17">
                  <c:v>-2359.0416666666642</c:v>
                </c:pt>
                <c:pt idx="18">
                  <c:v>-2357.0416666666642</c:v>
                </c:pt>
                <c:pt idx="19">
                  <c:v>-2355.0416666666642</c:v>
                </c:pt>
                <c:pt idx="20">
                  <c:v>-2353.0416666666642</c:v>
                </c:pt>
                <c:pt idx="21">
                  <c:v>-2351.0416666666642</c:v>
                </c:pt>
                <c:pt idx="22">
                  <c:v>-2349.0416666666642</c:v>
                </c:pt>
                <c:pt idx="23">
                  <c:v>-2347.0416666666642</c:v>
                </c:pt>
                <c:pt idx="24">
                  <c:v>-2345.0416666666642</c:v>
                </c:pt>
                <c:pt idx="25">
                  <c:v>-2343.0416666666642</c:v>
                </c:pt>
                <c:pt idx="26">
                  <c:v>-2341.0416666666642</c:v>
                </c:pt>
                <c:pt idx="27">
                  <c:v>-2339.0416666666642</c:v>
                </c:pt>
                <c:pt idx="28">
                  <c:v>-2335.0416666666642</c:v>
                </c:pt>
                <c:pt idx="29">
                  <c:v>-2333.0416666666642</c:v>
                </c:pt>
              </c:numCache>
            </c:numRef>
          </c:xVal>
          <c:yVal>
            <c:numRef>
              <c:f>(productividad!$T$3:$T$6,productividad!$T$8:$T$31,productividad!$T$33:$T$34,productividad!$T$36:$T$41)</c:f>
              <c:numCache>
                <c:formatCode>0.0;[Red]0.0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5.769671641791045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2-4171-9FA4-1E6AB748D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687328"/>
        <c:axId val="305153000"/>
      </c:scatterChart>
      <c:valAx>
        <c:axId val="30515496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lang="es-ES"/>
                </a:pPr>
                <a:r>
                  <a:rPr lang="es-ES"/>
                  <a:t>t (d)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305149472"/>
        <c:crosses val="autoZero"/>
        <c:crossBetween val="midCat"/>
      </c:valAx>
      <c:valAx>
        <c:axId val="30514947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s-ES"/>
                </a:pPr>
                <a:r>
                  <a:rPr lang="en-US"/>
                  <a:t>velocidad de crecimiento (h-1)</a:t>
                </a:r>
              </a:p>
            </c:rich>
          </c:tx>
          <c:layout>
            <c:manualLayout>
              <c:xMode val="edge"/>
              <c:yMode val="edge"/>
              <c:x val="3.0555555555555582E-2"/>
              <c:y val="0.1902046781492285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305154960"/>
        <c:crosses val="autoZero"/>
        <c:crossBetween val="midCat"/>
      </c:valAx>
      <c:valAx>
        <c:axId val="305153000"/>
        <c:scaling>
          <c:orientation val="minMax"/>
        </c:scaling>
        <c:delete val="0"/>
        <c:axPos val="r"/>
        <c:numFmt formatCode="0.0;[Red]0.0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303687328"/>
        <c:crosses val="max"/>
        <c:crossBetween val="midCat"/>
      </c:valAx>
      <c:valAx>
        <c:axId val="30368732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one"/>
        <c:crossAx val="30515300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s-ES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969138458193689E-2"/>
                  <c:y val="-0.239015407183496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ferment.!$P$9:$P$39</c:f>
              <c:numCache>
                <c:formatCode>0.00</c:formatCode>
                <c:ptCount val="31"/>
                <c:pt idx="0">
                  <c:v>7.33</c:v>
                </c:pt>
                <c:pt idx="1">
                  <c:v>6.99</c:v>
                </c:pt>
                <c:pt idx="2">
                  <c:v>7</c:v>
                </c:pt>
                <c:pt idx="3">
                  <c:v>6.97</c:v>
                </c:pt>
                <c:pt idx="4">
                  <c:v>6.99</c:v>
                </c:pt>
                <c:pt idx="5">
                  <c:v>7.01</c:v>
                </c:pt>
                <c:pt idx="6">
                  <c:v>7</c:v>
                </c:pt>
                <c:pt idx="7">
                  <c:v>6.95</c:v>
                </c:pt>
                <c:pt idx="8">
                  <c:v>6.97</c:v>
                </c:pt>
                <c:pt idx="9">
                  <c:v>6.96</c:v>
                </c:pt>
                <c:pt idx="10">
                  <c:v>7.01</c:v>
                </c:pt>
                <c:pt idx="11">
                  <c:v>6.93</c:v>
                </c:pt>
                <c:pt idx="12">
                  <c:v>7.12</c:v>
                </c:pt>
                <c:pt idx="13">
                  <c:v>7.11</c:v>
                </c:pt>
                <c:pt idx="14">
                  <c:v>7.11</c:v>
                </c:pt>
                <c:pt idx="15">
                  <c:v>7.12</c:v>
                </c:pt>
                <c:pt idx="16">
                  <c:v>7.13</c:v>
                </c:pt>
                <c:pt idx="17">
                  <c:v>7.14</c:v>
                </c:pt>
                <c:pt idx="18">
                  <c:v>7.13</c:v>
                </c:pt>
                <c:pt idx="19">
                  <c:v>7.13</c:v>
                </c:pt>
                <c:pt idx="20">
                  <c:v>7.11</c:v>
                </c:pt>
                <c:pt idx="21">
                  <c:v>7.32</c:v>
                </c:pt>
                <c:pt idx="22">
                  <c:v>7.11</c:v>
                </c:pt>
                <c:pt idx="23">
                  <c:v>7.15</c:v>
                </c:pt>
                <c:pt idx="24">
                  <c:v>7.13</c:v>
                </c:pt>
                <c:pt idx="25">
                  <c:v>7.11</c:v>
                </c:pt>
                <c:pt idx="26">
                  <c:v>7.15</c:v>
                </c:pt>
                <c:pt idx="27">
                  <c:v>7.16</c:v>
                </c:pt>
                <c:pt idx="28">
                  <c:v>7.14</c:v>
                </c:pt>
                <c:pt idx="29">
                  <c:v>7.11</c:v>
                </c:pt>
                <c:pt idx="30">
                  <c:v>7.11</c:v>
                </c:pt>
              </c:numCache>
            </c:numRef>
          </c:xVal>
          <c:yVal>
            <c:numRef>
              <c:f>ferment.!$R$9:$R$39</c:f>
              <c:numCache>
                <c:formatCode>0.0000</c:formatCode>
                <c:ptCount val="31"/>
                <c:pt idx="0">
                  <c:v>2.6009535893897477E-2</c:v>
                </c:pt>
                <c:pt idx="1">
                  <c:v>3.0845825918262307E-2</c:v>
                </c:pt>
                <c:pt idx="2">
                  <c:v>2.452772856095059E-2</c:v>
                </c:pt>
                <c:pt idx="3">
                  <c:v>1.1411645027905658E-2</c:v>
                </c:pt>
                <c:pt idx="4">
                  <c:v>1.4006079822176797E-2</c:v>
                </c:pt>
                <c:pt idx="5">
                  <c:v>1.6397416184315304E-2</c:v>
                </c:pt>
                <c:pt idx="6">
                  <c:v>1.2373886128825265E-2</c:v>
                </c:pt>
                <c:pt idx="7">
                  <c:v>3.138978346097112E-2</c:v>
                </c:pt>
                <c:pt idx="8">
                  <c:v>1.6946279251036696E-2</c:v>
                </c:pt>
                <c:pt idx="9">
                  <c:v>1.8498143490296694E-2</c:v>
                </c:pt>
                <c:pt idx="10">
                  <c:v>2.3670555216777391E-2</c:v>
                </c:pt>
                <c:pt idx="11">
                  <c:v>1.4960269687234106E-2</c:v>
                </c:pt>
                <c:pt idx="12">
                  <c:v>1.0589250826040033E-2</c:v>
                </c:pt>
                <c:pt idx="13">
                  <c:v>2.3874559651827627E-2</c:v>
                </c:pt>
                <c:pt idx="14">
                  <c:v>1.8454483991774257E-2</c:v>
                </c:pt>
                <c:pt idx="15">
                  <c:v>2.1801235332039693E-2</c:v>
                </c:pt>
                <c:pt idx="16">
                  <c:v>2.0756067860361965E-2</c:v>
                </c:pt>
                <c:pt idx="17">
                  <c:v>2.5550149504452516E-2</c:v>
                </c:pt>
                <c:pt idx="18">
                  <c:v>2.036015272595457E-2</c:v>
                </c:pt>
                <c:pt idx="19">
                  <c:v>1.104957014804589E-2</c:v>
                </c:pt>
                <c:pt idx="20">
                  <c:v>2.1273601705143363E-2</c:v>
                </c:pt>
                <c:pt idx="21">
                  <c:v>1.5953453102368738E-2</c:v>
                </c:pt>
                <c:pt idx="22">
                  <c:v>2.4266824370345351E-2</c:v>
                </c:pt>
                <c:pt idx="23">
                  <c:v>1.4110234819426805E-2</c:v>
                </c:pt>
                <c:pt idx="24">
                  <c:v>2.2140198513685854E-2</c:v>
                </c:pt>
                <c:pt idx="25">
                  <c:v>1.8868474511756463E-2</c:v>
                </c:pt>
                <c:pt idx="26">
                  <c:v>1.6083777250634309E-2</c:v>
                </c:pt>
                <c:pt idx="27">
                  <c:v>1.7173955665229119E-2</c:v>
                </c:pt>
                <c:pt idx="28">
                  <c:v>1.4869210730437886E-2</c:v>
                </c:pt>
                <c:pt idx="29">
                  <c:v>1.6870323732234151E-2</c:v>
                </c:pt>
                <c:pt idx="30">
                  <c:v>1.2893937655350997E-2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67-4476-AA2D-4F1A65223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90952"/>
        <c:axId val="496595544"/>
      </c:scatterChart>
      <c:valAx>
        <c:axId val="49659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6595544"/>
        <c:crosses val="autoZero"/>
        <c:crossBetween val="midCat"/>
      </c:valAx>
      <c:valAx>
        <c:axId val="49659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 Growth rate(h-1)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6590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47003499562554"/>
          <c:y val="5.0925925925925923E-2"/>
          <c:w val="0.68295562506741458"/>
          <c:h val="0.79537839020122481"/>
        </c:manualLayout>
      </c:layout>
      <c:scatterChart>
        <c:scatterStyle val="smoothMarker"/>
        <c:varyColors val="0"/>
        <c:ser>
          <c:idx val="0"/>
          <c:order val="0"/>
          <c:tx>
            <c:v>Xv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ferment.!$E$8:$E$56</c:f>
              <c:numCache>
                <c:formatCode>0.00</c:formatCode>
                <c:ptCount val="49"/>
                <c:pt idx="0">
                  <c:v>2.0833333335758653E-2</c:v>
                </c:pt>
                <c:pt idx="1">
                  <c:v>0.98958333333575865</c:v>
                </c:pt>
                <c:pt idx="2">
                  <c:v>1.9513888888905058</c:v>
                </c:pt>
                <c:pt idx="3">
                  <c:v>2.8993055555547471</c:v>
                </c:pt>
                <c:pt idx="4">
                  <c:v>3.8958333333357587</c:v>
                </c:pt>
                <c:pt idx="5">
                  <c:v>5.03125</c:v>
                </c:pt>
                <c:pt idx="6">
                  <c:v>6.21875</c:v>
                </c:pt>
                <c:pt idx="7">
                  <c:v>6.9652777777810115</c:v>
                </c:pt>
                <c:pt idx="8">
                  <c:v>7.9909722222218988</c:v>
                </c:pt>
                <c:pt idx="9">
                  <c:v>8.9166666666642413</c:v>
                </c:pt>
                <c:pt idx="10">
                  <c:v>9.9097222222189885</c:v>
                </c:pt>
                <c:pt idx="11">
                  <c:v>10.895833333335759</c:v>
                </c:pt>
                <c:pt idx="12">
                  <c:v>12.208333333335759</c:v>
                </c:pt>
                <c:pt idx="13">
                  <c:v>13.017361111109494</c:v>
                </c:pt>
                <c:pt idx="14">
                  <c:v>15.048611111109494</c:v>
                </c:pt>
                <c:pt idx="15">
                  <c:v>15.9375</c:v>
                </c:pt>
                <c:pt idx="16">
                  <c:v>16.899305555554747</c:v>
                </c:pt>
                <c:pt idx="17">
                  <c:v>19.0625</c:v>
                </c:pt>
                <c:pt idx="18">
                  <c:v>19.979166666664241</c:v>
                </c:pt>
                <c:pt idx="19">
                  <c:v>21.225694444445253</c:v>
                </c:pt>
                <c:pt idx="20">
                  <c:v>22.145833333335759</c:v>
                </c:pt>
                <c:pt idx="21">
                  <c:v>23.020833333335759</c:v>
                </c:pt>
                <c:pt idx="22">
                  <c:v>23.90625</c:v>
                </c:pt>
                <c:pt idx="23">
                  <c:v>24.930555555554747</c:v>
                </c:pt>
                <c:pt idx="24">
                  <c:v>26.243055555554747</c:v>
                </c:pt>
                <c:pt idx="25">
                  <c:v>27.03125</c:v>
                </c:pt>
                <c:pt idx="26">
                  <c:v>28.145833333335759</c:v>
                </c:pt>
                <c:pt idx="27">
                  <c:v>29.201388888890506</c:v>
                </c:pt>
                <c:pt idx="28">
                  <c:v>30.041666666664241</c:v>
                </c:pt>
                <c:pt idx="29">
                  <c:v>33.152777777781012</c:v>
                </c:pt>
                <c:pt idx="30">
                  <c:v>35.194444444445253</c:v>
                </c:pt>
                <c:pt idx="31">
                  <c:v>36.274305555554747</c:v>
                </c:pt>
                <c:pt idx="32">
                  <c:v>37.902777777781012</c:v>
                </c:pt>
                <c:pt idx="33">
                  <c:v>38.902777777781012</c:v>
                </c:pt>
                <c:pt idx="34">
                  <c:v>41.1875</c:v>
                </c:pt>
                <c:pt idx="35">
                  <c:v>43.263888888890506</c:v>
                </c:pt>
                <c:pt idx="36">
                  <c:v>43.951388888890506</c:v>
                </c:pt>
                <c:pt idx="37">
                  <c:v>44.902777777781012</c:v>
                </c:pt>
                <c:pt idx="38">
                  <c:v>47.173611111109494</c:v>
                </c:pt>
                <c:pt idx="39">
                  <c:v>47.944444444445253</c:v>
                </c:pt>
                <c:pt idx="40">
                  <c:v>48.989583333335759</c:v>
                </c:pt>
                <c:pt idx="41">
                  <c:v>51.225694444445253</c:v>
                </c:pt>
                <c:pt idx="42">
                  <c:v>54.138888888890506</c:v>
                </c:pt>
                <c:pt idx="43">
                  <c:v>55.180555555554747</c:v>
                </c:pt>
                <c:pt idx="44">
                  <c:v>56.048611111109494</c:v>
                </c:pt>
                <c:pt idx="45">
                  <c:v>57.979166666664241</c:v>
                </c:pt>
                <c:pt idx="46">
                  <c:v>59.003472222218988</c:v>
                </c:pt>
                <c:pt idx="47">
                  <c:v>61.961805555554747</c:v>
                </c:pt>
                <c:pt idx="48">
                  <c:v>62.975694444445253</c:v>
                </c:pt>
              </c:numCache>
            </c:numRef>
          </c:xVal>
          <c:yVal>
            <c:numRef>
              <c:f>ferment.!$J$8:$J$56</c:f>
              <c:numCache>
                <c:formatCode>0.00E+00</c:formatCode>
                <c:ptCount val="49"/>
                <c:pt idx="0">
                  <c:v>462500</c:v>
                </c:pt>
                <c:pt idx="1">
                  <c:v>850000</c:v>
                </c:pt>
                <c:pt idx="2">
                  <c:v>1753333.3333333333</c:v>
                </c:pt>
                <c:pt idx="3">
                  <c:v>2136666.6666666665</c:v>
                </c:pt>
                <c:pt idx="4">
                  <c:v>3270000</c:v>
                </c:pt>
                <c:pt idx="5">
                  <c:v>2815000</c:v>
                </c:pt>
                <c:pt idx="6">
                  <c:v>2655000</c:v>
                </c:pt>
                <c:pt idx="7">
                  <c:v>2197500</c:v>
                </c:pt>
                <c:pt idx="8">
                  <c:v>2813333.3333333335</c:v>
                </c:pt>
                <c:pt idx="9">
                  <c:v>2898333.3333333335</c:v>
                </c:pt>
                <c:pt idx="10">
                  <c:v>2880000</c:v>
                </c:pt>
                <c:pt idx="11">
                  <c:v>3210000</c:v>
                </c:pt>
                <c:pt idx="12">
                  <c:v>2870000</c:v>
                </c:pt>
                <c:pt idx="13">
                  <c:v>2380000</c:v>
                </c:pt>
                <c:pt idx="14">
                  <c:v>3353333.3333333335</c:v>
                </c:pt>
                <c:pt idx="15">
                  <c:v>3673333.3333333335</c:v>
                </c:pt>
                <c:pt idx="16">
                  <c:v>4250000</c:v>
                </c:pt>
                <c:pt idx="17">
                  <c:v>5190000</c:v>
                </c:pt>
                <c:pt idx="18">
                  <c:v>6375000</c:v>
                </c:pt>
                <c:pt idx="19">
                  <c:v>7245000</c:v>
                </c:pt>
                <c:pt idx="20">
                  <c:v>6360000</c:v>
                </c:pt>
                <c:pt idx="21">
                  <c:v>6900000</c:v>
                </c:pt>
                <c:pt idx="22">
                  <c:v>6850000</c:v>
                </c:pt>
                <c:pt idx="23">
                  <c:v>7995000</c:v>
                </c:pt>
                <c:pt idx="24">
                  <c:v>7470000</c:v>
                </c:pt>
                <c:pt idx="25">
                  <c:v>8280000</c:v>
                </c:pt>
                <c:pt idx="26">
                  <c:v>8830000</c:v>
                </c:pt>
                <c:pt idx="27">
                  <c:v>8760000</c:v>
                </c:pt>
                <c:pt idx="28">
                  <c:v>8805000</c:v>
                </c:pt>
                <c:pt idx="29">
                  <c:v>8800000</c:v>
                </c:pt>
                <c:pt idx="30">
                  <c:v>9705000</c:v>
                </c:pt>
                <c:pt idx="31">
                  <c:v>9375000</c:v>
                </c:pt>
                <c:pt idx="32">
                  <c:v>7485000</c:v>
                </c:pt>
                <c:pt idx="33">
                  <c:v>6900000</c:v>
                </c:pt>
                <c:pt idx="34">
                  <c:v>5480000</c:v>
                </c:pt>
                <c:pt idx="35">
                  <c:v>5595000</c:v>
                </c:pt>
                <c:pt idx="36">
                  <c:v>5313333.333333333</c:v>
                </c:pt>
                <c:pt idx="37">
                  <c:v>5400000</c:v>
                </c:pt>
                <c:pt idx="38">
                  <c:v>5326666.666666667</c:v>
                </c:pt>
                <c:pt idx="39">
                  <c:v>5613333.333333333</c:v>
                </c:pt>
                <c:pt idx="40">
                  <c:v>5190000</c:v>
                </c:pt>
                <c:pt idx="41">
                  <c:v>5170000</c:v>
                </c:pt>
                <c:pt idx="42">
                  <c:v>6110000</c:v>
                </c:pt>
                <c:pt idx="43">
                  <c:v>5593333.333333333</c:v>
                </c:pt>
                <c:pt idx="44">
                  <c:v>6086666.666666667</c:v>
                </c:pt>
                <c:pt idx="45">
                  <c:v>6752500</c:v>
                </c:pt>
                <c:pt idx="46">
                  <c:v>7325000</c:v>
                </c:pt>
                <c:pt idx="47">
                  <c:v>7940000</c:v>
                </c:pt>
                <c:pt idx="48">
                  <c:v>9210000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CC-4A40-9981-F88115ECF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346480"/>
        <c:axId val="510345824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ferment.!$E$8:$E$56</c:f>
              <c:numCache>
                <c:formatCode>0.00</c:formatCode>
                <c:ptCount val="49"/>
                <c:pt idx="0">
                  <c:v>2.0833333335758653E-2</c:v>
                </c:pt>
                <c:pt idx="1">
                  <c:v>0.98958333333575865</c:v>
                </c:pt>
                <c:pt idx="2">
                  <c:v>1.9513888888905058</c:v>
                </c:pt>
                <c:pt idx="3">
                  <c:v>2.8993055555547471</c:v>
                </c:pt>
                <c:pt idx="4">
                  <c:v>3.8958333333357587</c:v>
                </c:pt>
                <c:pt idx="5">
                  <c:v>5.03125</c:v>
                </c:pt>
                <c:pt idx="6">
                  <c:v>6.21875</c:v>
                </c:pt>
                <c:pt idx="7">
                  <c:v>6.9652777777810115</c:v>
                </c:pt>
                <c:pt idx="8">
                  <c:v>7.9909722222218988</c:v>
                </c:pt>
                <c:pt idx="9">
                  <c:v>8.9166666666642413</c:v>
                </c:pt>
                <c:pt idx="10">
                  <c:v>9.9097222222189885</c:v>
                </c:pt>
                <c:pt idx="11">
                  <c:v>10.895833333335759</c:v>
                </c:pt>
                <c:pt idx="12">
                  <c:v>12.208333333335759</c:v>
                </c:pt>
                <c:pt idx="13">
                  <c:v>13.017361111109494</c:v>
                </c:pt>
                <c:pt idx="14">
                  <c:v>15.048611111109494</c:v>
                </c:pt>
                <c:pt idx="15">
                  <c:v>15.9375</c:v>
                </c:pt>
                <c:pt idx="16">
                  <c:v>16.899305555554747</c:v>
                </c:pt>
                <c:pt idx="17">
                  <c:v>19.0625</c:v>
                </c:pt>
                <c:pt idx="18">
                  <c:v>19.979166666664241</c:v>
                </c:pt>
                <c:pt idx="19">
                  <c:v>21.225694444445253</c:v>
                </c:pt>
                <c:pt idx="20">
                  <c:v>22.145833333335759</c:v>
                </c:pt>
                <c:pt idx="21">
                  <c:v>23.020833333335759</c:v>
                </c:pt>
                <c:pt idx="22">
                  <c:v>23.90625</c:v>
                </c:pt>
                <c:pt idx="23">
                  <c:v>24.930555555554747</c:v>
                </c:pt>
                <c:pt idx="24">
                  <c:v>26.243055555554747</c:v>
                </c:pt>
                <c:pt idx="25">
                  <c:v>27.03125</c:v>
                </c:pt>
                <c:pt idx="26">
                  <c:v>28.145833333335759</c:v>
                </c:pt>
                <c:pt idx="27">
                  <c:v>29.201388888890506</c:v>
                </c:pt>
                <c:pt idx="28">
                  <c:v>30.041666666664241</c:v>
                </c:pt>
                <c:pt idx="29">
                  <c:v>33.152777777781012</c:v>
                </c:pt>
                <c:pt idx="30">
                  <c:v>35.194444444445253</c:v>
                </c:pt>
                <c:pt idx="31">
                  <c:v>36.274305555554747</c:v>
                </c:pt>
                <c:pt idx="32">
                  <c:v>37.902777777781012</c:v>
                </c:pt>
                <c:pt idx="33">
                  <c:v>38.902777777781012</c:v>
                </c:pt>
                <c:pt idx="34">
                  <c:v>41.1875</c:v>
                </c:pt>
                <c:pt idx="35">
                  <c:v>43.263888888890506</c:v>
                </c:pt>
                <c:pt idx="36">
                  <c:v>43.951388888890506</c:v>
                </c:pt>
                <c:pt idx="37">
                  <c:v>44.902777777781012</c:v>
                </c:pt>
                <c:pt idx="38">
                  <c:v>47.173611111109494</c:v>
                </c:pt>
                <c:pt idx="39">
                  <c:v>47.944444444445253</c:v>
                </c:pt>
                <c:pt idx="40">
                  <c:v>48.989583333335759</c:v>
                </c:pt>
                <c:pt idx="41">
                  <c:v>51.225694444445253</c:v>
                </c:pt>
                <c:pt idx="42">
                  <c:v>54.138888888890506</c:v>
                </c:pt>
                <c:pt idx="43">
                  <c:v>55.180555555554747</c:v>
                </c:pt>
                <c:pt idx="44">
                  <c:v>56.048611111109494</c:v>
                </c:pt>
                <c:pt idx="45">
                  <c:v>57.979166666664241</c:v>
                </c:pt>
                <c:pt idx="46">
                  <c:v>59.003472222218988</c:v>
                </c:pt>
                <c:pt idx="47">
                  <c:v>61.961805555554747</c:v>
                </c:pt>
                <c:pt idx="48">
                  <c:v>62.975694444445253</c:v>
                </c:pt>
              </c:numCache>
            </c:numRef>
          </c:xVal>
          <c:yVal>
            <c:numRef>
              <c:f>ferment.!$Q$8:$Q$56</c:f>
              <c:numCache>
                <c:formatCode>0.00</c:formatCode>
                <c:ptCount val="49"/>
                <c:pt idx="0">
                  <c:v>82.5</c:v>
                </c:pt>
                <c:pt idx="1">
                  <c:v>39.9</c:v>
                </c:pt>
                <c:pt idx="2">
                  <c:v>43.6</c:v>
                </c:pt>
                <c:pt idx="3">
                  <c:v>39.799999999999997</c:v>
                </c:pt>
                <c:pt idx="4">
                  <c:v>43.5</c:v>
                </c:pt>
                <c:pt idx="5">
                  <c:v>57</c:v>
                </c:pt>
                <c:pt idx="6">
                  <c:v>57.2</c:v>
                </c:pt>
                <c:pt idx="7">
                  <c:v>63.7</c:v>
                </c:pt>
                <c:pt idx="8">
                  <c:v>61.2</c:v>
                </c:pt>
                <c:pt idx="9">
                  <c:v>52.3</c:v>
                </c:pt>
                <c:pt idx="10">
                  <c:v>51.6</c:v>
                </c:pt>
                <c:pt idx="11">
                  <c:v>49.3</c:v>
                </c:pt>
                <c:pt idx="12">
                  <c:v>67</c:v>
                </c:pt>
                <c:pt idx="13">
                  <c:v>42.7</c:v>
                </c:pt>
                <c:pt idx="14">
                  <c:v>41.4</c:v>
                </c:pt>
                <c:pt idx="15">
                  <c:v>45.4</c:v>
                </c:pt>
                <c:pt idx="16">
                  <c:v>45.5</c:v>
                </c:pt>
                <c:pt idx="17">
                  <c:v>40.9</c:v>
                </c:pt>
                <c:pt idx="18">
                  <c:v>58.6</c:v>
                </c:pt>
                <c:pt idx="19">
                  <c:v>49.5</c:v>
                </c:pt>
                <c:pt idx="20">
                  <c:v>38.1</c:v>
                </c:pt>
                <c:pt idx="21">
                  <c:v>44.9</c:v>
                </c:pt>
                <c:pt idx="22">
                  <c:v>42.5</c:v>
                </c:pt>
                <c:pt idx="23">
                  <c:v>42.9</c:v>
                </c:pt>
                <c:pt idx="24">
                  <c:v>69.099999999999994</c:v>
                </c:pt>
                <c:pt idx="25">
                  <c:v>72.8</c:v>
                </c:pt>
                <c:pt idx="26">
                  <c:v>70.099999999999994</c:v>
                </c:pt>
                <c:pt idx="27">
                  <c:v>63.2</c:v>
                </c:pt>
                <c:pt idx="28">
                  <c:v>72</c:v>
                </c:pt>
                <c:pt idx="29">
                  <c:v>67.3</c:v>
                </c:pt>
                <c:pt idx="30">
                  <c:v>62</c:v>
                </c:pt>
                <c:pt idx="31">
                  <c:v>45.8</c:v>
                </c:pt>
                <c:pt idx="32">
                  <c:v>60</c:v>
                </c:pt>
                <c:pt idx="33">
                  <c:v>51.6</c:v>
                </c:pt>
                <c:pt idx="34">
                  <c:v>39</c:v>
                </c:pt>
                <c:pt idx="35">
                  <c:v>42</c:v>
                </c:pt>
                <c:pt idx="36">
                  <c:v>40</c:v>
                </c:pt>
                <c:pt idx="37">
                  <c:v>39.700000000000003</c:v>
                </c:pt>
                <c:pt idx="38">
                  <c:v>44.7</c:v>
                </c:pt>
                <c:pt idx="39">
                  <c:v>42.7</c:v>
                </c:pt>
                <c:pt idx="40">
                  <c:v>44.4</c:v>
                </c:pt>
                <c:pt idx="41">
                  <c:v>41.8</c:v>
                </c:pt>
                <c:pt idx="42">
                  <c:v>40.200000000000003</c:v>
                </c:pt>
                <c:pt idx="43">
                  <c:v>41.8</c:v>
                </c:pt>
                <c:pt idx="44">
                  <c:v>39.6</c:v>
                </c:pt>
                <c:pt idx="45">
                  <c:v>45</c:v>
                </c:pt>
                <c:pt idx="46">
                  <c:v>39</c:v>
                </c:pt>
                <c:pt idx="47">
                  <c:v>44.2</c:v>
                </c:pt>
                <c:pt idx="48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CC-4A40-9981-F88115ECF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274320"/>
        <c:axId val="510273336"/>
      </c:scatterChart>
      <c:valAx>
        <c:axId val="51034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culture</a:t>
                </a:r>
                <a:r>
                  <a:rPr lang="en-US" baseline="0"/>
                  <a:t> time(d)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0345824"/>
        <c:crosses val="autoZero"/>
        <c:crossBetween val="midCat"/>
      </c:valAx>
      <c:valAx>
        <c:axId val="5103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Viable</a:t>
                </a:r>
                <a:r>
                  <a:rPr lang="en-US" baseline="0"/>
                  <a:t> cell density(cel/mL)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0346480"/>
        <c:crosses val="autoZero"/>
        <c:crossBetween val="midCat"/>
      </c:valAx>
      <c:valAx>
        <c:axId val="5102733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0274320"/>
        <c:crosses val="max"/>
        <c:crossBetween val="midCat"/>
      </c:valAx>
      <c:valAx>
        <c:axId val="51027432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51027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-2L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6817451592135887"/>
          <c:y val="5.0925925925925923E-2"/>
          <c:w val="0.64128806544380867"/>
          <c:h val="0.78489922830111514"/>
        </c:manualLayout>
      </c:layout>
      <c:scatterChart>
        <c:scatterStyle val="smoothMarker"/>
        <c:varyColors val="0"/>
        <c:ser>
          <c:idx val="2"/>
          <c:order val="0"/>
          <c:tx>
            <c:v>u(h-1)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ferment.!$E$8:$E$39</c:f>
              <c:numCache>
                <c:formatCode>0.00</c:formatCode>
                <c:ptCount val="32"/>
                <c:pt idx="0">
                  <c:v>2.0833333335758653E-2</c:v>
                </c:pt>
                <c:pt idx="1">
                  <c:v>0.98958333333575865</c:v>
                </c:pt>
                <c:pt idx="2">
                  <c:v>1.9513888888905058</c:v>
                </c:pt>
                <c:pt idx="3">
                  <c:v>2.8993055555547471</c:v>
                </c:pt>
                <c:pt idx="4">
                  <c:v>3.8958333333357587</c:v>
                </c:pt>
                <c:pt idx="5">
                  <c:v>5.03125</c:v>
                </c:pt>
                <c:pt idx="6">
                  <c:v>6.21875</c:v>
                </c:pt>
                <c:pt idx="7">
                  <c:v>6.9652777777810115</c:v>
                </c:pt>
                <c:pt idx="8">
                  <c:v>7.9909722222218988</c:v>
                </c:pt>
                <c:pt idx="9">
                  <c:v>8.9166666666642413</c:v>
                </c:pt>
                <c:pt idx="10">
                  <c:v>9.9097222222189885</c:v>
                </c:pt>
                <c:pt idx="11">
                  <c:v>10.895833333335759</c:v>
                </c:pt>
                <c:pt idx="12">
                  <c:v>12.208333333335759</c:v>
                </c:pt>
                <c:pt idx="13">
                  <c:v>13.017361111109494</c:v>
                </c:pt>
                <c:pt idx="14">
                  <c:v>15.048611111109494</c:v>
                </c:pt>
                <c:pt idx="15">
                  <c:v>15.9375</c:v>
                </c:pt>
                <c:pt idx="16">
                  <c:v>16.899305555554747</c:v>
                </c:pt>
                <c:pt idx="17">
                  <c:v>19.0625</c:v>
                </c:pt>
                <c:pt idx="18">
                  <c:v>19.979166666664241</c:v>
                </c:pt>
                <c:pt idx="19">
                  <c:v>21.225694444445253</c:v>
                </c:pt>
                <c:pt idx="20">
                  <c:v>22.145833333335759</c:v>
                </c:pt>
                <c:pt idx="21">
                  <c:v>23.020833333335759</c:v>
                </c:pt>
                <c:pt idx="22">
                  <c:v>23.90625</c:v>
                </c:pt>
                <c:pt idx="23">
                  <c:v>24.930555555554747</c:v>
                </c:pt>
                <c:pt idx="24">
                  <c:v>26.243055555554747</c:v>
                </c:pt>
                <c:pt idx="25">
                  <c:v>27.03125</c:v>
                </c:pt>
                <c:pt idx="26">
                  <c:v>28.145833333335759</c:v>
                </c:pt>
                <c:pt idx="27">
                  <c:v>29.201388888890506</c:v>
                </c:pt>
                <c:pt idx="28">
                  <c:v>30.041666666664241</c:v>
                </c:pt>
                <c:pt idx="29">
                  <c:v>33.152777777781012</c:v>
                </c:pt>
                <c:pt idx="30">
                  <c:v>35.194444444445253</c:v>
                </c:pt>
                <c:pt idx="31">
                  <c:v>36.274305555554747</c:v>
                </c:pt>
              </c:numCache>
            </c:numRef>
          </c:xVal>
          <c:yVal>
            <c:numRef>
              <c:f>ferment.!$R$8:$R$39</c:f>
              <c:numCache>
                <c:formatCode>0.0000</c:formatCode>
                <c:ptCount val="32"/>
                <c:pt idx="0" formatCode="General">
                  <c:v>0</c:v>
                </c:pt>
                <c:pt idx="1">
                  <c:v>2.6009535893897477E-2</c:v>
                </c:pt>
                <c:pt idx="2">
                  <c:v>3.0845825918262307E-2</c:v>
                </c:pt>
                <c:pt idx="3">
                  <c:v>2.452772856095059E-2</c:v>
                </c:pt>
                <c:pt idx="4">
                  <c:v>1.1411645027905658E-2</c:v>
                </c:pt>
                <c:pt idx="5">
                  <c:v>1.4006079822176797E-2</c:v>
                </c:pt>
                <c:pt idx="6">
                  <c:v>1.6397416184315304E-2</c:v>
                </c:pt>
                <c:pt idx="7">
                  <c:v>1.2373886128825265E-2</c:v>
                </c:pt>
                <c:pt idx="8">
                  <c:v>3.138978346097112E-2</c:v>
                </c:pt>
                <c:pt idx="9">
                  <c:v>1.6946279251036696E-2</c:v>
                </c:pt>
                <c:pt idx="10">
                  <c:v>1.8498143490296694E-2</c:v>
                </c:pt>
                <c:pt idx="11">
                  <c:v>2.3670555216777391E-2</c:v>
                </c:pt>
                <c:pt idx="12">
                  <c:v>1.4960269687234106E-2</c:v>
                </c:pt>
                <c:pt idx="13">
                  <c:v>1.0589250826040033E-2</c:v>
                </c:pt>
                <c:pt idx="14">
                  <c:v>2.3874559651827627E-2</c:v>
                </c:pt>
                <c:pt idx="15">
                  <c:v>1.8454483991774257E-2</c:v>
                </c:pt>
                <c:pt idx="16">
                  <c:v>2.1801235332039693E-2</c:v>
                </c:pt>
                <c:pt idx="17">
                  <c:v>2.0756067860361965E-2</c:v>
                </c:pt>
                <c:pt idx="18">
                  <c:v>2.5550149504452516E-2</c:v>
                </c:pt>
                <c:pt idx="19">
                  <c:v>2.036015272595457E-2</c:v>
                </c:pt>
                <c:pt idx="20">
                  <c:v>1.104957014804589E-2</c:v>
                </c:pt>
                <c:pt idx="21">
                  <c:v>2.1273601705143363E-2</c:v>
                </c:pt>
                <c:pt idx="22">
                  <c:v>1.5953453102368738E-2</c:v>
                </c:pt>
                <c:pt idx="23">
                  <c:v>2.4266824370345351E-2</c:v>
                </c:pt>
                <c:pt idx="24">
                  <c:v>1.4110234819426805E-2</c:v>
                </c:pt>
                <c:pt idx="25">
                  <c:v>2.2140198513685854E-2</c:v>
                </c:pt>
                <c:pt idx="26">
                  <c:v>1.8868474511756463E-2</c:v>
                </c:pt>
                <c:pt idx="27">
                  <c:v>1.6083777250634309E-2</c:v>
                </c:pt>
                <c:pt idx="28">
                  <c:v>1.7173955665229119E-2</c:v>
                </c:pt>
                <c:pt idx="29">
                  <c:v>1.4869210730437886E-2</c:v>
                </c:pt>
                <c:pt idx="30">
                  <c:v>1.6870323732234151E-2</c:v>
                </c:pt>
                <c:pt idx="31">
                  <c:v>1.2893937655350997E-2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7C-4DB9-A745-A134A8710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346480"/>
        <c:axId val="510345824"/>
      </c:scatterChart>
      <c:scatterChart>
        <c:scatterStyle val="smoothMarker"/>
        <c:varyColors val="0"/>
        <c:ser>
          <c:idx val="3"/>
          <c:order val="1"/>
          <c:tx>
            <c:v>D(h-1)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ferment.!$E$11:$E$39</c:f>
              <c:numCache>
                <c:formatCode>0.00</c:formatCode>
                <c:ptCount val="29"/>
                <c:pt idx="0">
                  <c:v>2.8993055555547471</c:v>
                </c:pt>
                <c:pt idx="1">
                  <c:v>3.8958333333357587</c:v>
                </c:pt>
                <c:pt idx="2">
                  <c:v>5.03125</c:v>
                </c:pt>
                <c:pt idx="3">
                  <c:v>6.21875</c:v>
                </c:pt>
                <c:pt idx="4">
                  <c:v>6.9652777777810115</c:v>
                </c:pt>
                <c:pt idx="5">
                  <c:v>7.9909722222218988</c:v>
                </c:pt>
                <c:pt idx="6">
                  <c:v>8.9166666666642413</c:v>
                </c:pt>
                <c:pt idx="7">
                  <c:v>9.9097222222189885</c:v>
                </c:pt>
                <c:pt idx="8">
                  <c:v>10.895833333335759</c:v>
                </c:pt>
                <c:pt idx="9">
                  <c:v>12.208333333335759</c:v>
                </c:pt>
                <c:pt idx="10">
                  <c:v>13.017361111109494</c:v>
                </c:pt>
                <c:pt idx="11">
                  <c:v>15.048611111109494</c:v>
                </c:pt>
                <c:pt idx="12">
                  <c:v>15.9375</c:v>
                </c:pt>
                <c:pt idx="13">
                  <c:v>16.899305555554747</c:v>
                </c:pt>
                <c:pt idx="14">
                  <c:v>19.0625</c:v>
                </c:pt>
                <c:pt idx="15">
                  <c:v>19.979166666664241</c:v>
                </c:pt>
                <c:pt idx="16">
                  <c:v>21.225694444445253</c:v>
                </c:pt>
                <c:pt idx="17">
                  <c:v>22.145833333335759</c:v>
                </c:pt>
                <c:pt idx="18">
                  <c:v>23.020833333335759</c:v>
                </c:pt>
                <c:pt idx="19">
                  <c:v>23.90625</c:v>
                </c:pt>
                <c:pt idx="20">
                  <c:v>24.930555555554747</c:v>
                </c:pt>
                <c:pt idx="21">
                  <c:v>26.243055555554747</c:v>
                </c:pt>
                <c:pt idx="22">
                  <c:v>27.03125</c:v>
                </c:pt>
                <c:pt idx="23">
                  <c:v>28.145833333335759</c:v>
                </c:pt>
                <c:pt idx="24">
                  <c:v>29.201388888890506</c:v>
                </c:pt>
                <c:pt idx="25">
                  <c:v>30.041666666664241</c:v>
                </c:pt>
                <c:pt idx="26">
                  <c:v>33.152777777781012</c:v>
                </c:pt>
                <c:pt idx="27">
                  <c:v>35.194444444445253</c:v>
                </c:pt>
                <c:pt idx="28">
                  <c:v>36.274305555554747</c:v>
                </c:pt>
              </c:numCache>
            </c:numRef>
          </c:xVal>
          <c:yVal>
            <c:numRef>
              <c:f>ferment.!$AI$11:$AI$39</c:f>
              <c:numCache>
                <c:formatCode>0.00</c:formatCode>
                <c:ptCount val="29"/>
                <c:pt idx="0">
                  <c:v>0.30065934066010991</c:v>
                </c:pt>
                <c:pt idx="1">
                  <c:v>0.4415331010438634</c:v>
                </c:pt>
                <c:pt idx="2">
                  <c:v>0.46238532110190511</c:v>
                </c:pt>
                <c:pt idx="3">
                  <c:v>0.44210526315789467</c:v>
                </c:pt>
                <c:pt idx="4">
                  <c:v>0.43534883720741674</c:v>
                </c:pt>
                <c:pt idx="5">
                  <c:v>0.46310088016409767</c:v>
                </c:pt>
                <c:pt idx="6">
                  <c:v>0.45911477869571599</c:v>
                </c:pt>
                <c:pt idx="7">
                  <c:v>0.45314685314722225</c:v>
                </c:pt>
                <c:pt idx="8">
                  <c:v>0.45633802816639502</c:v>
                </c:pt>
                <c:pt idx="9">
                  <c:v>0.43809523809523787</c:v>
                </c:pt>
                <c:pt idx="10">
                  <c:v>0.40171673819943221</c:v>
                </c:pt>
                <c:pt idx="11">
                  <c:v>0.40615384615384625</c:v>
                </c:pt>
                <c:pt idx="12">
                  <c:v>0.3937499999992834</c:v>
                </c:pt>
                <c:pt idx="13">
                  <c:v>0.38989169675123025</c:v>
                </c:pt>
                <c:pt idx="14">
                  <c:v>0.40449438202232074</c:v>
                </c:pt>
                <c:pt idx="15">
                  <c:v>0.40909090909199147</c:v>
                </c:pt>
                <c:pt idx="16">
                  <c:v>0.40111420612709314</c:v>
                </c:pt>
                <c:pt idx="17">
                  <c:v>0.40754716981060463</c:v>
                </c:pt>
                <c:pt idx="18">
                  <c:v>0.39999999999999958</c:v>
                </c:pt>
                <c:pt idx="19">
                  <c:v>0.39529411764814321</c:v>
                </c:pt>
                <c:pt idx="20">
                  <c:v>0.41491525423761455</c:v>
                </c:pt>
                <c:pt idx="21">
                  <c:v>0.40000000000000024</c:v>
                </c:pt>
                <c:pt idx="22">
                  <c:v>0.41233480176169068</c:v>
                </c:pt>
                <c:pt idx="23">
                  <c:v>0.40373831775613178</c:v>
                </c:pt>
                <c:pt idx="24">
                  <c:v>0.40263157894767576</c:v>
                </c:pt>
                <c:pt idx="25">
                  <c:v>0.38677685950599411</c:v>
                </c:pt>
                <c:pt idx="26">
                  <c:v>0.35357142857078533</c:v>
                </c:pt>
                <c:pt idx="27">
                  <c:v>0.35265306122490903</c:v>
                </c:pt>
                <c:pt idx="28">
                  <c:v>0.35189710610985075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7C-4DB9-A745-A134A8710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03024"/>
        <c:axId val="417903680"/>
      </c:scatterChart>
      <c:valAx>
        <c:axId val="51034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Culture</a:t>
                </a:r>
                <a:r>
                  <a:rPr lang="en-US" baseline="0"/>
                  <a:t> Time(d)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0345824"/>
        <c:crosses val="autoZero"/>
        <c:crossBetween val="midCat"/>
      </c:valAx>
      <c:valAx>
        <c:axId val="5103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Viable</a:t>
                </a:r>
                <a:r>
                  <a:rPr lang="en-US" baseline="0"/>
                  <a:t> cell density(cel/mL)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7295894616946465E-2"/>
              <c:y val="0.23111125251272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0346480"/>
        <c:crosses val="autoZero"/>
        <c:crossBetween val="midCat"/>
      </c:valAx>
      <c:valAx>
        <c:axId val="417903680"/>
        <c:scaling>
          <c:orientation val="minMax"/>
          <c:max val="0.5"/>
          <c:min val="0.2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903024"/>
        <c:crosses val="max"/>
        <c:crossBetween val="midCat"/>
      </c:valAx>
      <c:valAx>
        <c:axId val="41790302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1790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321395105379308"/>
          <c:y val="0.76657011990898083"/>
          <c:w val="0.11225411619312316"/>
          <c:h val="0.224858444770428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ferment.!$DA$7</c:f>
              <c:strCache>
                <c:ptCount val="1"/>
                <c:pt idx="0">
                  <c:v>qS(Lac)(nmol/e6*cel*h)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ferment.!$E$9:$E$70</c:f>
              <c:numCache>
                <c:formatCode>0.00</c:formatCode>
                <c:ptCount val="62"/>
                <c:pt idx="0">
                  <c:v>0.98958333333575865</c:v>
                </c:pt>
                <c:pt idx="1">
                  <c:v>1.9513888888905058</c:v>
                </c:pt>
                <c:pt idx="2">
                  <c:v>2.8993055555547471</c:v>
                </c:pt>
                <c:pt idx="3">
                  <c:v>3.8958333333357587</c:v>
                </c:pt>
                <c:pt idx="4">
                  <c:v>5.03125</c:v>
                </c:pt>
                <c:pt idx="5">
                  <c:v>6.21875</c:v>
                </c:pt>
                <c:pt idx="6">
                  <c:v>6.9652777777810115</c:v>
                </c:pt>
                <c:pt idx="7">
                  <c:v>7.9909722222218988</c:v>
                </c:pt>
                <c:pt idx="8">
                  <c:v>8.9166666666642413</c:v>
                </c:pt>
                <c:pt idx="9">
                  <c:v>9.9097222222189885</c:v>
                </c:pt>
                <c:pt idx="10">
                  <c:v>10.895833333335759</c:v>
                </c:pt>
                <c:pt idx="11">
                  <c:v>12.208333333335759</c:v>
                </c:pt>
                <c:pt idx="12">
                  <c:v>13.017361111109494</c:v>
                </c:pt>
                <c:pt idx="13">
                  <c:v>15.048611111109494</c:v>
                </c:pt>
                <c:pt idx="14">
                  <c:v>15.9375</c:v>
                </c:pt>
                <c:pt idx="15">
                  <c:v>16.899305555554747</c:v>
                </c:pt>
                <c:pt idx="16">
                  <c:v>19.0625</c:v>
                </c:pt>
                <c:pt idx="17">
                  <c:v>19.979166666664241</c:v>
                </c:pt>
                <c:pt idx="18">
                  <c:v>21.225694444445253</c:v>
                </c:pt>
                <c:pt idx="19">
                  <c:v>22.145833333335759</c:v>
                </c:pt>
                <c:pt idx="20">
                  <c:v>23.020833333335759</c:v>
                </c:pt>
                <c:pt idx="21">
                  <c:v>23.90625</c:v>
                </c:pt>
                <c:pt idx="22">
                  <c:v>24.930555555554747</c:v>
                </c:pt>
                <c:pt idx="23">
                  <c:v>26.243055555554747</c:v>
                </c:pt>
                <c:pt idx="24">
                  <c:v>27.03125</c:v>
                </c:pt>
                <c:pt idx="25">
                  <c:v>28.145833333335759</c:v>
                </c:pt>
                <c:pt idx="26">
                  <c:v>29.201388888890506</c:v>
                </c:pt>
                <c:pt idx="27">
                  <c:v>30.041666666664241</c:v>
                </c:pt>
                <c:pt idx="28">
                  <c:v>33.152777777781012</c:v>
                </c:pt>
                <c:pt idx="29">
                  <c:v>35.194444444445253</c:v>
                </c:pt>
                <c:pt idx="30">
                  <c:v>36.274305555554747</c:v>
                </c:pt>
                <c:pt idx="31">
                  <c:v>37.902777777781012</c:v>
                </c:pt>
                <c:pt idx="32">
                  <c:v>38.902777777781012</c:v>
                </c:pt>
                <c:pt idx="33">
                  <c:v>41.1875</c:v>
                </c:pt>
                <c:pt idx="34">
                  <c:v>43.263888888890506</c:v>
                </c:pt>
                <c:pt idx="35">
                  <c:v>43.951388888890506</c:v>
                </c:pt>
                <c:pt idx="36">
                  <c:v>44.902777777781012</c:v>
                </c:pt>
                <c:pt idx="37">
                  <c:v>47.173611111109494</c:v>
                </c:pt>
                <c:pt idx="38">
                  <c:v>47.944444444445253</c:v>
                </c:pt>
                <c:pt idx="39">
                  <c:v>48.989583333335759</c:v>
                </c:pt>
                <c:pt idx="40">
                  <c:v>51.225694444445253</c:v>
                </c:pt>
                <c:pt idx="41">
                  <c:v>54.138888888890506</c:v>
                </c:pt>
                <c:pt idx="42">
                  <c:v>55.180555555554747</c:v>
                </c:pt>
                <c:pt idx="43">
                  <c:v>56.048611111109494</c:v>
                </c:pt>
                <c:pt idx="44">
                  <c:v>57.979166666664241</c:v>
                </c:pt>
                <c:pt idx="45">
                  <c:v>59.003472222218988</c:v>
                </c:pt>
                <c:pt idx="46">
                  <c:v>61.961805555554747</c:v>
                </c:pt>
                <c:pt idx="47">
                  <c:v>62.975694444445253</c:v>
                </c:pt>
                <c:pt idx="48">
                  <c:v>64.034722222218988</c:v>
                </c:pt>
                <c:pt idx="49">
                  <c:v>65.034722222218988</c:v>
                </c:pt>
                <c:pt idx="50">
                  <c:v>67.96875</c:v>
                </c:pt>
                <c:pt idx="51">
                  <c:v>69.048611111109494</c:v>
                </c:pt>
                <c:pt idx="52">
                  <c:v>70.1875</c:v>
                </c:pt>
                <c:pt idx="53">
                  <c:v>71.21875</c:v>
                </c:pt>
                <c:pt idx="54">
                  <c:v>71.951388888890506</c:v>
                </c:pt>
                <c:pt idx="55">
                  <c:v>72.899305555554747</c:v>
                </c:pt>
                <c:pt idx="56">
                  <c:v>77.201388888890506</c:v>
                </c:pt>
                <c:pt idx="57">
                  <c:v>78.201388888890506</c:v>
                </c:pt>
                <c:pt idx="58">
                  <c:v>78.972222222218988</c:v>
                </c:pt>
                <c:pt idx="59">
                  <c:v>81.979166666664241</c:v>
                </c:pt>
                <c:pt idx="60">
                  <c:v>83.197916666664241</c:v>
                </c:pt>
                <c:pt idx="61">
                  <c:v>84.215277777781012</c:v>
                </c:pt>
              </c:numCache>
            </c:numRef>
          </c:xVal>
          <c:yVal>
            <c:numRef>
              <c:f>ferment.!$DA$9:$DA$70</c:f>
              <c:numCache>
                <c:formatCode>0.00</c:formatCode>
                <c:ptCount val="62"/>
                <c:pt idx="0">
                  <c:v>150.01480635382438</c:v>
                </c:pt>
                <c:pt idx="1">
                  <c:v>126.77228785927498</c:v>
                </c:pt>
                <c:pt idx="2">
                  <c:v>155.55379520585572</c:v>
                </c:pt>
                <c:pt idx="3">
                  <c:v>59.839672230104746</c:v>
                </c:pt>
                <c:pt idx="4">
                  <c:v>160.94675639019226</c:v>
                </c:pt>
                <c:pt idx="5">
                  <c:v>167.80743478237142</c:v>
                </c:pt>
                <c:pt idx="6">
                  <c:v>216.5234059975061</c:v>
                </c:pt>
                <c:pt idx="8">
                  <c:v>190.99317962427054</c:v>
                </c:pt>
                <c:pt idx="9">
                  <c:v>186.02548317492952</c:v>
                </c:pt>
                <c:pt idx="11">
                  <c:v>196.19791141264653</c:v>
                </c:pt>
                <c:pt idx="12">
                  <c:v>371.56140247069436</c:v>
                </c:pt>
                <c:pt idx="13">
                  <c:v>237.60129919883494</c:v>
                </c:pt>
                <c:pt idx="14">
                  <c:v>178.55398235191655</c:v>
                </c:pt>
                <c:pt idx="15">
                  <c:v>161.17242618644212</c:v>
                </c:pt>
                <c:pt idx="16">
                  <c:v>92.129840945644773</c:v>
                </c:pt>
                <c:pt idx="17">
                  <c:v>128.41538970719947</c:v>
                </c:pt>
                <c:pt idx="18">
                  <c:v>85.120823180955398</c:v>
                </c:pt>
                <c:pt idx="19">
                  <c:v>77.39148854090206</c:v>
                </c:pt>
                <c:pt idx="20">
                  <c:v>0.92380365740980397</c:v>
                </c:pt>
                <c:pt idx="21">
                  <c:v>0.18120340962387543</c:v>
                </c:pt>
                <c:pt idx="22">
                  <c:v>146.2985714288213</c:v>
                </c:pt>
                <c:pt idx="23">
                  <c:v>37.775748984179756</c:v>
                </c:pt>
                <c:pt idx="25">
                  <c:v>45.693631309413377</c:v>
                </c:pt>
                <c:pt idx="26">
                  <c:v>55.644771137767989</c:v>
                </c:pt>
                <c:pt idx="27">
                  <c:v>1.3673890380985199</c:v>
                </c:pt>
                <c:pt idx="28">
                  <c:v>48.675936485521639</c:v>
                </c:pt>
                <c:pt idx="29">
                  <c:v>45.145214252176558</c:v>
                </c:pt>
                <c:pt idx="30">
                  <c:v>42.825683958614015</c:v>
                </c:pt>
                <c:pt idx="31">
                  <c:v>47.848676462910461</c:v>
                </c:pt>
                <c:pt idx="32">
                  <c:v>39.655416036354787</c:v>
                </c:pt>
                <c:pt idx="33">
                  <c:v>66.417561046203474</c:v>
                </c:pt>
                <c:pt idx="34">
                  <c:v>79.125201524095161</c:v>
                </c:pt>
                <c:pt idx="37">
                  <c:v>102.65470792946773</c:v>
                </c:pt>
                <c:pt idx="38">
                  <c:v>76.951228837587351</c:v>
                </c:pt>
                <c:pt idx="39">
                  <c:v>117.89846546017979</c:v>
                </c:pt>
                <c:pt idx="40">
                  <c:v>115.91074929853752</c:v>
                </c:pt>
                <c:pt idx="41">
                  <c:v>86.239436562006674</c:v>
                </c:pt>
                <c:pt idx="42">
                  <c:v>137.94959440689064</c:v>
                </c:pt>
                <c:pt idx="43">
                  <c:v>88.156993005513598</c:v>
                </c:pt>
                <c:pt idx="44">
                  <c:v>94.725268891943188</c:v>
                </c:pt>
                <c:pt idx="45">
                  <c:v>60.173583603909535</c:v>
                </c:pt>
                <c:pt idx="46">
                  <c:v>57.476067332346389</c:v>
                </c:pt>
                <c:pt idx="47">
                  <c:v>70.058666185037751</c:v>
                </c:pt>
                <c:pt idx="48">
                  <c:v>57.984516524138002</c:v>
                </c:pt>
                <c:pt idx="49">
                  <c:v>61.957329925587672</c:v>
                </c:pt>
                <c:pt idx="50">
                  <c:v>42.817933990869541</c:v>
                </c:pt>
                <c:pt idx="51">
                  <c:v>36.375889966477757</c:v>
                </c:pt>
                <c:pt idx="52">
                  <c:v>57.030991338768189</c:v>
                </c:pt>
                <c:pt idx="53">
                  <c:v>40.527603623434814</c:v>
                </c:pt>
                <c:pt idx="54">
                  <c:v>45.12862396108099</c:v>
                </c:pt>
                <c:pt idx="55">
                  <c:v>38.810875334790374</c:v>
                </c:pt>
                <c:pt idx="56">
                  <c:v>39.041581228918346</c:v>
                </c:pt>
                <c:pt idx="57">
                  <c:v>38.37205494046222</c:v>
                </c:pt>
                <c:pt idx="58">
                  <c:v>22.994224644230137</c:v>
                </c:pt>
                <c:pt idx="59">
                  <c:v>43.370003562273197</c:v>
                </c:pt>
                <c:pt idx="60">
                  <c:v>30.89295706555481</c:v>
                </c:pt>
                <c:pt idx="61">
                  <c:v>53.137042332860062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75-4139-88A9-D842E44A7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05912"/>
        <c:axId val="192010224"/>
      </c:scatterChart>
      <c:scatterChart>
        <c:scatterStyle val="smoothMarker"/>
        <c:varyColors val="0"/>
        <c:ser>
          <c:idx val="1"/>
          <c:order val="1"/>
          <c:tx>
            <c:strRef>
              <c:f>ferment.!$AK$7</c:f>
              <c:strCache>
                <c:ptCount val="1"/>
                <c:pt idx="0">
                  <c:v>CSPR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ferment.!$E$10:$E$71</c:f>
              <c:numCache>
                <c:formatCode>0.00</c:formatCode>
                <c:ptCount val="62"/>
                <c:pt idx="0">
                  <c:v>1.9513888888905058</c:v>
                </c:pt>
                <c:pt idx="1">
                  <c:v>2.8993055555547471</c:v>
                </c:pt>
                <c:pt idx="2">
                  <c:v>3.8958333333357587</c:v>
                </c:pt>
                <c:pt idx="3">
                  <c:v>5.03125</c:v>
                </c:pt>
                <c:pt idx="4">
                  <c:v>6.21875</c:v>
                </c:pt>
                <c:pt idx="5">
                  <c:v>6.9652777777810115</c:v>
                </c:pt>
                <c:pt idx="6">
                  <c:v>7.9909722222218988</c:v>
                </c:pt>
                <c:pt idx="7">
                  <c:v>8.9166666666642413</c:v>
                </c:pt>
                <c:pt idx="8">
                  <c:v>9.9097222222189885</c:v>
                </c:pt>
                <c:pt idx="9">
                  <c:v>10.895833333335759</c:v>
                </c:pt>
                <c:pt idx="10">
                  <c:v>12.208333333335759</c:v>
                </c:pt>
                <c:pt idx="11">
                  <c:v>13.017361111109494</c:v>
                </c:pt>
                <c:pt idx="12">
                  <c:v>15.048611111109494</c:v>
                </c:pt>
                <c:pt idx="13">
                  <c:v>15.9375</c:v>
                </c:pt>
                <c:pt idx="14">
                  <c:v>16.899305555554747</c:v>
                </c:pt>
                <c:pt idx="15">
                  <c:v>19.0625</c:v>
                </c:pt>
                <c:pt idx="16">
                  <c:v>19.979166666664241</c:v>
                </c:pt>
                <c:pt idx="17">
                  <c:v>21.225694444445253</c:v>
                </c:pt>
                <c:pt idx="18">
                  <c:v>22.145833333335759</c:v>
                </c:pt>
                <c:pt idx="19">
                  <c:v>23.020833333335759</c:v>
                </c:pt>
                <c:pt idx="20">
                  <c:v>23.90625</c:v>
                </c:pt>
                <c:pt idx="21">
                  <c:v>24.930555555554747</c:v>
                </c:pt>
                <c:pt idx="22">
                  <c:v>26.243055555554747</c:v>
                </c:pt>
                <c:pt idx="23">
                  <c:v>27.03125</c:v>
                </c:pt>
                <c:pt idx="24">
                  <c:v>28.145833333335759</c:v>
                </c:pt>
                <c:pt idx="25">
                  <c:v>29.201388888890506</c:v>
                </c:pt>
                <c:pt idx="26">
                  <c:v>30.041666666664241</c:v>
                </c:pt>
                <c:pt idx="27">
                  <c:v>33.152777777781012</c:v>
                </c:pt>
                <c:pt idx="28">
                  <c:v>35.194444444445253</c:v>
                </c:pt>
                <c:pt idx="29">
                  <c:v>36.274305555554747</c:v>
                </c:pt>
                <c:pt idx="30">
                  <c:v>37.902777777781012</c:v>
                </c:pt>
                <c:pt idx="31">
                  <c:v>38.902777777781012</c:v>
                </c:pt>
                <c:pt idx="32">
                  <c:v>41.1875</c:v>
                </c:pt>
                <c:pt idx="33">
                  <c:v>43.263888888890506</c:v>
                </c:pt>
                <c:pt idx="34">
                  <c:v>43.951388888890506</c:v>
                </c:pt>
                <c:pt idx="35">
                  <c:v>44.902777777781012</c:v>
                </c:pt>
                <c:pt idx="36">
                  <c:v>47.173611111109494</c:v>
                </c:pt>
                <c:pt idx="37">
                  <c:v>47.944444444445253</c:v>
                </c:pt>
                <c:pt idx="38">
                  <c:v>48.989583333335759</c:v>
                </c:pt>
                <c:pt idx="39">
                  <c:v>51.225694444445253</c:v>
                </c:pt>
                <c:pt idx="40">
                  <c:v>54.138888888890506</c:v>
                </c:pt>
                <c:pt idx="41">
                  <c:v>55.180555555554747</c:v>
                </c:pt>
                <c:pt idx="42">
                  <c:v>56.048611111109494</c:v>
                </c:pt>
                <c:pt idx="43">
                  <c:v>57.979166666664241</c:v>
                </c:pt>
                <c:pt idx="44">
                  <c:v>59.003472222218988</c:v>
                </c:pt>
                <c:pt idx="45">
                  <c:v>61.961805555554747</c:v>
                </c:pt>
                <c:pt idx="46">
                  <c:v>62.975694444445253</c:v>
                </c:pt>
                <c:pt idx="47">
                  <c:v>64.034722222218988</c:v>
                </c:pt>
                <c:pt idx="48">
                  <c:v>65.034722222218988</c:v>
                </c:pt>
                <c:pt idx="49">
                  <c:v>67.96875</c:v>
                </c:pt>
                <c:pt idx="50">
                  <c:v>69.048611111109494</c:v>
                </c:pt>
                <c:pt idx="51">
                  <c:v>70.1875</c:v>
                </c:pt>
                <c:pt idx="52">
                  <c:v>71.21875</c:v>
                </c:pt>
                <c:pt idx="53">
                  <c:v>71.951388888890506</c:v>
                </c:pt>
                <c:pt idx="54">
                  <c:v>72.899305555554747</c:v>
                </c:pt>
                <c:pt idx="55">
                  <c:v>77.201388888890506</c:v>
                </c:pt>
                <c:pt idx="56">
                  <c:v>78.201388888890506</c:v>
                </c:pt>
                <c:pt idx="57">
                  <c:v>78.972222222218988</c:v>
                </c:pt>
                <c:pt idx="58">
                  <c:v>81.979166666664241</c:v>
                </c:pt>
                <c:pt idx="59">
                  <c:v>83.197916666664241</c:v>
                </c:pt>
                <c:pt idx="60">
                  <c:v>84.215277777781012</c:v>
                </c:pt>
                <c:pt idx="61">
                  <c:v>85.267361111109494</c:v>
                </c:pt>
              </c:numCache>
            </c:numRef>
          </c:xVal>
          <c:yVal>
            <c:numRef>
              <c:f>ferment.!$AK$10:$AK$71</c:f>
              <c:numCache>
                <c:formatCode>0.000</c:formatCode>
                <c:ptCount val="62"/>
                <c:pt idx="0">
                  <c:v>0.52974732003220903</c:v>
                </c:pt>
                <c:pt idx="1">
                  <c:v>0.10051014285495094</c:v>
                </c:pt>
                <c:pt idx="2">
                  <c:v>0.13502541316326097</c:v>
                </c:pt>
                <c:pt idx="3">
                  <c:v>0.16425766291364302</c:v>
                </c:pt>
                <c:pt idx="4">
                  <c:v>0.16651798988997915</c:v>
                </c:pt>
                <c:pt idx="5">
                  <c:v>0.19811096118653776</c:v>
                </c:pt>
                <c:pt idx="6">
                  <c:v>0.16460931759387357</c:v>
                </c:pt>
                <c:pt idx="7">
                  <c:v>0.15840647913595721</c:v>
                </c:pt>
                <c:pt idx="8">
                  <c:v>0.15734265734278549</c:v>
                </c:pt>
                <c:pt idx="9">
                  <c:v>0.14216137949108879</c:v>
                </c:pt>
                <c:pt idx="10">
                  <c:v>0.15264642442342782</c:v>
                </c:pt>
                <c:pt idx="11">
                  <c:v>0.1687885454619463</c:v>
                </c:pt>
                <c:pt idx="12">
                  <c:v>0.12111943722281697</c:v>
                </c:pt>
                <c:pt idx="13">
                  <c:v>0.10719147005425138</c:v>
                </c:pt>
                <c:pt idx="14">
                  <c:v>9.1739222764995354E-2</c:v>
                </c:pt>
                <c:pt idx="15">
                  <c:v>7.7937260505264117E-2</c:v>
                </c:pt>
                <c:pt idx="16">
                  <c:v>6.4171122994822194E-2</c:v>
                </c:pt>
                <c:pt idx="17">
                  <c:v>5.5364279658674E-2</c:v>
                </c:pt>
                <c:pt idx="18">
                  <c:v>6.4079743680912682E-2</c:v>
                </c:pt>
                <c:pt idx="19">
                  <c:v>5.7971014492753561E-2</c:v>
                </c:pt>
                <c:pt idx="20">
                  <c:v>5.770717045958295E-2</c:v>
                </c:pt>
                <c:pt idx="21">
                  <c:v>5.1896842306143158E-2</c:v>
                </c:pt>
                <c:pt idx="22">
                  <c:v>5.3547523427041534E-2</c:v>
                </c:pt>
                <c:pt idx="23">
                  <c:v>4.9798889101653469E-2</c:v>
                </c:pt>
                <c:pt idx="24">
                  <c:v>4.5723478794578908E-2</c:v>
                </c:pt>
                <c:pt idx="25">
                  <c:v>4.5962509012291757E-2</c:v>
                </c:pt>
                <c:pt idx="26">
                  <c:v>4.3926957354457029E-2</c:v>
                </c:pt>
                <c:pt idx="27">
                  <c:v>4.017857142849833E-2</c:v>
                </c:pt>
                <c:pt idx="28">
                  <c:v>3.6337255149398145E-2</c:v>
                </c:pt>
                <c:pt idx="29">
                  <c:v>3.7535691318384079E-2</c:v>
                </c:pt>
                <c:pt idx="30">
                  <c:v>4.7173237733345648E-2</c:v>
                </c:pt>
                <c:pt idx="31">
                  <c:v>5.0724637681159368E-2</c:v>
                </c:pt>
                <c:pt idx="32">
                  <c:v>6.3896345927807616E-2</c:v>
                </c:pt>
                <c:pt idx="33">
                  <c:v>6.2406412796852724E-2</c:v>
                </c:pt>
                <c:pt idx="34">
                  <c:v>6.8438462415877727E-2</c:v>
                </c:pt>
                <c:pt idx="35">
                  <c:v>6.3260340632495748E-2</c:v>
                </c:pt>
                <c:pt idx="36">
                  <c:v>6.6137718019224814E-2</c:v>
                </c:pt>
                <c:pt idx="37">
                  <c:v>6.355524170230982E-2</c:v>
                </c:pt>
                <c:pt idx="38">
                  <c:v>7.8351544946396304E-2</c:v>
                </c:pt>
                <c:pt idx="39">
                  <c:v>7.7849994593806551E-2</c:v>
                </c:pt>
                <c:pt idx="40">
                  <c:v>6.6012652425029864E-2</c:v>
                </c:pt>
                <c:pt idx="41">
                  <c:v>7.1227651966792635E-2</c:v>
                </c:pt>
                <c:pt idx="42">
                  <c:v>6.3404162103016498E-2</c:v>
                </c:pt>
                <c:pt idx="43">
                  <c:v>5.9450403394451325E-2</c:v>
                </c:pt>
                <c:pt idx="44">
                  <c:v>5.6643720715032465E-2</c:v>
                </c:pt>
                <c:pt idx="45">
                  <c:v>5.0023060275972787E-2</c:v>
                </c:pt>
                <c:pt idx="46">
                  <c:v>4.2836107268683865E-2</c:v>
                </c:pt>
                <c:pt idx="47">
                  <c:v>5.3723089077826663E-2</c:v>
                </c:pt>
                <c:pt idx="48">
                  <c:v>4.2872454448017377E-2</c:v>
                </c:pt>
                <c:pt idx="49">
                  <c:v>3.7149663523248978E-2</c:v>
                </c:pt>
                <c:pt idx="50">
                  <c:v>3.7506588167095053E-2</c:v>
                </c:pt>
                <c:pt idx="51">
                  <c:v>4.5802390017653058E-2</c:v>
                </c:pt>
                <c:pt idx="52">
                  <c:v>4.0404040404040262E-2</c:v>
                </c:pt>
                <c:pt idx="53">
                  <c:v>4.1983459294416874E-2</c:v>
                </c:pt>
                <c:pt idx="54">
                  <c:v>4.3125479172101133E-2</c:v>
                </c:pt>
                <c:pt idx="55">
                  <c:v>3.7264732621021819E-2</c:v>
                </c:pt>
                <c:pt idx="56">
                  <c:v>3.7313432835821093E-2</c:v>
                </c:pt>
                <c:pt idx="57">
                  <c:v>3.6237354673336983E-2</c:v>
                </c:pt>
                <c:pt idx="58">
                  <c:v>4.3003902205929277E-2</c:v>
                </c:pt>
                <c:pt idx="59">
                  <c:v>4.3785451288685495E-2</c:v>
                </c:pt>
                <c:pt idx="60">
                  <c:v>4.5257928285488094E-2</c:v>
                </c:pt>
                <c:pt idx="61">
                  <c:v>4.1044104410629785E-2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75-4139-88A9-D842E44A7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18368"/>
        <c:axId val="304285504"/>
      </c:scatterChart>
      <c:valAx>
        <c:axId val="19200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010224"/>
        <c:crosses val="autoZero"/>
        <c:crossBetween val="midCat"/>
      </c:valAx>
      <c:valAx>
        <c:axId val="192010224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005912"/>
        <c:crosses val="autoZero"/>
        <c:crossBetween val="midCat"/>
      </c:valAx>
      <c:valAx>
        <c:axId val="304285504"/>
        <c:scaling>
          <c:orientation val="minMax"/>
          <c:max val="0.4"/>
        </c:scaling>
        <c:delete val="0"/>
        <c:axPos val="r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718368"/>
        <c:crosses val="max"/>
        <c:crossBetween val="midCat"/>
      </c:valAx>
      <c:valAx>
        <c:axId val="12571836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428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5601076483401"/>
          <c:y val="6.5639189664065012E-2"/>
          <c:w val="0.77048471288960729"/>
          <c:h val="0.75842894603535049"/>
        </c:manualLayout>
      </c:layout>
      <c:scatterChart>
        <c:scatterStyle val="lineMarker"/>
        <c:varyColors val="0"/>
        <c:ser>
          <c:idx val="2"/>
          <c:order val="0"/>
          <c:tx>
            <c:strRef>
              <c:f>ferment.!$J$6</c:f>
              <c:strCache>
                <c:ptCount val="1"/>
                <c:pt idx="0">
                  <c:v>Xv(Promedio) </c:v>
                </c:pt>
              </c:strCache>
            </c:strRef>
          </c:tx>
          <c:spPr>
            <a:ln w="38100">
              <a:solidFill>
                <a:srgbClr val="0070C0"/>
              </a:solidFill>
            </a:ln>
          </c:spPr>
          <c:marker>
            <c:symbol val="diamond"/>
            <c:size val="9"/>
            <c:spPr>
              <a:solidFill>
                <a:schemeClr val="accent1"/>
              </a:solidFill>
              <a:ln>
                <a:solidFill>
                  <a:srgbClr val="0070C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ferment.!$K$8:$K$71</c:f>
                <c:numCache>
                  <c:formatCode>General</c:formatCode>
                  <c:ptCount val="64"/>
                  <c:pt idx="0">
                    <c:v>17677.66952966369</c:v>
                  </c:pt>
                  <c:pt idx="1">
                    <c:v>96436.507609929555</c:v>
                  </c:pt>
                  <c:pt idx="2">
                    <c:v>180092.568789868</c:v>
                  </c:pt>
                  <c:pt idx="3">
                    <c:v>159478.31618540914</c:v>
                  </c:pt>
                  <c:pt idx="4">
                    <c:v>296984.84809834993</c:v>
                  </c:pt>
                  <c:pt idx="5">
                    <c:v>63639.610306789276</c:v>
                  </c:pt>
                  <c:pt idx="6">
                    <c:v>35355.33905932738</c:v>
                  </c:pt>
                  <c:pt idx="7">
                    <c:v>222738.63607376246</c:v>
                  </c:pt>
                  <c:pt idx="8">
                    <c:v>533041.58687041851</c:v>
                  </c:pt>
                  <c:pt idx="9">
                    <c:v>414014.89506216318</c:v>
                  </c:pt>
                  <c:pt idx="10">
                    <c:v>383014.36004411115</c:v>
                  </c:pt>
                  <c:pt idx="11">
                    <c:v>21213.203435596424</c:v>
                  </c:pt>
                  <c:pt idx="12">
                    <c:v>150249.7920131672</c:v>
                  </c:pt>
                  <c:pt idx="13">
                    <c:v>424264.0687119285</c:v>
                  </c:pt>
                  <c:pt idx="14">
                    <c:v>391066.91669499909</c:v>
                  </c:pt>
                  <c:pt idx="15">
                    <c:v>360185.13757973595</c:v>
                  </c:pt>
                  <c:pt idx="16">
                    <c:v>14142.13562373095</c:v>
                  </c:pt>
                  <c:pt idx="17">
                    <c:v>750000</c:v>
                  </c:pt>
                  <c:pt idx="18">
                    <c:v>21213.203435596424</c:v>
                  </c:pt>
                  <c:pt idx="19">
                    <c:v>275771.64466275356</c:v>
                  </c:pt>
                  <c:pt idx="20">
                    <c:v>593969.69619669986</c:v>
                  </c:pt>
                  <c:pt idx="21">
                    <c:v>254558.44122715711</c:v>
                  </c:pt>
                  <c:pt idx="22">
                    <c:v>645058.13691480551</c:v>
                  </c:pt>
                  <c:pt idx="23">
                    <c:v>106066.01717798212</c:v>
                  </c:pt>
                  <c:pt idx="24">
                    <c:v>169705.62748477139</c:v>
                  </c:pt>
                  <c:pt idx="25">
                    <c:v>1304568.894309534</c:v>
                  </c:pt>
                  <c:pt idx="26">
                    <c:v>283548.93757515651</c:v>
                  </c:pt>
                  <c:pt idx="27">
                    <c:v>1110000</c:v>
                  </c:pt>
                  <c:pt idx="28">
                    <c:v>275771.64466275356</c:v>
                  </c:pt>
                  <c:pt idx="29">
                    <c:v>969484.39904930908</c:v>
                  </c:pt>
                  <c:pt idx="30">
                    <c:v>360624.45840513922</c:v>
                  </c:pt>
                  <c:pt idx="31">
                    <c:v>63639.610306789276</c:v>
                  </c:pt>
                  <c:pt idx="32">
                    <c:v>487903.67901871778</c:v>
                  </c:pt>
                  <c:pt idx="33">
                    <c:v>42426.406871192848</c:v>
                  </c:pt>
                  <c:pt idx="34">
                    <c:v>197989.8987322333</c:v>
                  </c:pt>
                  <c:pt idx="35">
                    <c:v>63639.610306789276</c:v>
                  </c:pt>
                  <c:pt idx="36">
                    <c:v>659191.42389243504</c:v>
                  </c:pt>
                  <c:pt idx="37">
                    <c:v>572363.52085016738</c:v>
                  </c:pt>
                  <c:pt idx="38">
                    <c:v>594754.85145842505</c:v>
                  </c:pt>
                  <c:pt idx="39">
                    <c:v>784941.6114166301</c:v>
                  </c:pt>
                  <c:pt idx="40">
                    <c:v>381837.66184073564</c:v>
                  </c:pt>
                  <c:pt idx="41">
                    <c:v>42426.406871192848</c:v>
                  </c:pt>
                  <c:pt idx="42">
                    <c:v>353553.39059327374</c:v>
                  </c:pt>
                  <c:pt idx="43">
                    <c:v>445570.79497351858</c:v>
                  </c:pt>
                  <c:pt idx="44">
                    <c:v>530785.58131634782</c:v>
                  </c:pt>
                  <c:pt idx="45">
                    <c:v>385373.19574666838</c:v>
                  </c:pt>
                  <c:pt idx="46">
                    <c:v>0</c:v>
                  </c:pt>
                  <c:pt idx="47">
                    <c:v>278747.19729532709</c:v>
                  </c:pt>
                  <c:pt idx="48">
                    <c:v>84852.813742385697</c:v>
                  </c:pt>
                  <c:pt idx="49">
                    <c:v>551543.28932550712</c:v>
                  </c:pt>
                  <c:pt idx="50">
                    <c:v>763675.32368147129</c:v>
                  </c:pt>
                  <c:pt idx="51">
                    <c:v>480312.39834091312</c:v>
                  </c:pt>
                  <c:pt idx="52">
                    <c:v>543077.64945110132</c:v>
                  </c:pt>
                  <c:pt idx="53">
                    <c:v>344867.1241700683</c:v>
                  </c:pt>
                  <c:pt idx="54">
                    <c:v>169705.62748477139</c:v>
                  </c:pt>
                  <c:pt idx="55">
                    <c:v>457966.51988254918</c:v>
                  </c:pt>
                  <c:pt idx="56">
                    <c:v>310698.13860616117</c:v>
                  </c:pt>
                  <c:pt idx="57">
                    <c:v>520000</c:v>
                  </c:pt>
                  <c:pt idx="58">
                    <c:v>169705.62748477139</c:v>
                  </c:pt>
                  <c:pt idx="59">
                    <c:v>28284.2712474619</c:v>
                  </c:pt>
                  <c:pt idx="60">
                    <c:v>56568.5424949238</c:v>
                  </c:pt>
                  <c:pt idx="61">
                    <c:v>861935.80580767919</c:v>
                  </c:pt>
                  <c:pt idx="62">
                    <c:v>1405323.2131197946</c:v>
                  </c:pt>
                  <c:pt idx="63">
                    <c:v>937229.96110879851</c:v>
                  </c:pt>
                </c:numCache>
              </c:numRef>
            </c:plus>
            <c:minus>
              <c:numRef>
                <c:f>ferment.!$K$8:$K$71</c:f>
                <c:numCache>
                  <c:formatCode>General</c:formatCode>
                  <c:ptCount val="64"/>
                  <c:pt idx="0">
                    <c:v>17677.66952966369</c:v>
                  </c:pt>
                  <c:pt idx="1">
                    <c:v>96436.507609929555</c:v>
                  </c:pt>
                  <c:pt idx="2">
                    <c:v>180092.568789868</c:v>
                  </c:pt>
                  <c:pt idx="3">
                    <c:v>159478.31618540914</c:v>
                  </c:pt>
                  <c:pt idx="4">
                    <c:v>296984.84809834993</c:v>
                  </c:pt>
                  <c:pt idx="5">
                    <c:v>63639.610306789276</c:v>
                  </c:pt>
                  <c:pt idx="6">
                    <c:v>35355.33905932738</c:v>
                  </c:pt>
                  <c:pt idx="7">
                    <c:v>222738.63607376246</c:v>
                  </c:pt>
                  <c:pt idx="8">
                    <c:v>533041.58687041851</c:v>
                  </c:pt>
                  <c:pt idx="9">
                    <c:v>414014.89506216318</c:v>
                  </c:pt>
                  <c:pt idx="10">
                    <c:v>383014.36004411115</c:v>
                  </c:pt>
                  <c:pt idx="11">
                    <c:v>21213.203435596424</c:v>
                  </c:pt>
                  <c:pt idx="12">
                    <c:v>150249.7920131672</c:v>
                  </c:pt>
                  <c:pt idx="13">
                    <c:v>424264.0687119285</c:v>
                  </c:pt>
                  <c:pt idx="14">
                    <c:v>391066.91669499909</c:v>
                  </c:pt>
                  <c:pt idx="15">
                    <c:v>360185.13757973595</c:v>
                  </c:pt>
                  <c:pt idx="16">
                    <c:v>14142.13562373095</c:v>
                  </c:pt>
                  <c:pt idx="17">
                    <c:v>750000</c:v>
                  </c:pt>
                  <c:pt idx="18">
                    <c:v>21213.203435596424</c:v>
                  </c:pt>
                  <c:pt idx="19">
                    <c:v>275771.64466275356</c:v>
                  </c:pt>
                  <c:pt idx="20">
                    <c:v>593969.69619669986</c:v>
                  </c:pt>
                  <c:pt idx="21">
                    <c:v>254558.44122715711</c:v>
                  </c:pt>
                  <c:pt idx="22">
                    <c:v>645058.13691480551</c:v>
                  </c:pt>
                  <c:pt idx="23">
                    <c:v>106066.01717798212</c:v>
                  </c:pt>
                  <c:pt idx="24">
                    <c:v>169705.62748477139</c:v>
                  </c:pt>
                  <c:pt idx="25">
                    <c:v>1304568.894309534</c:v>
                  </c:pt>
                  <c:pt idx="26">
                    <c:v>283548.93757515651</c:v>
                  </c:pt>
                  <c:pt idx="27">
                    <c:v>1110000</c:v>
                  </c:pt>
                  <c:pt idx="28">
                    <c:v>275771.64466275356</c:v>
                  </c:pt>
                  <c:pt idx="29">
                    <c:v>969484.39904930908</c:v>
                  </c:pt>
                  <c:pt idx="30">
                    <c:v>360624.45840513922</c:v>
                  </c:pt>
                  <c:pt idx="31">
                    <c:v>63639.610306789276</c:v>
                  </c:pt>
                  <c:pt idx="32">
                    <c:v>487903.67901871778</c:v>
                  </c:pt>
                  <c:pt idx="33">
                    <c:v>42426.406871192848</c:v>
                  </c:pt>
                  <c:pt idx="34">
                    <c:v>197989.8987322333</c:v>
                  </c:pt>
                  <c:pt idx="35">
                    <c:v>63639.610306789276</c:v>
                  </c:pt>
                  <c:pt idx="36">
                    <c:v>659191.42389243504</c:v>
                  </c:pt>
                  <c:pt idx="37">
                    <c:v>572363.52085016738</c:v>
                  </c:pt>
                  <c:pt idx="38">
                    <c:v>594754.85145842505</c:v>
                  </c:pt>
                  <c:pt idx="39">
                    <c:v>784941.6114166301</c:v>
                  </c:pt>
                  <c:pt idx="40">
                    <c:v>381837.66184073564</c:v>
                  </c:pt>
                  <c:pt idx="41">
                    <c:v>42426.406871192848</c:v>
                  </c:pt>
                  <c:pt idx="42">
                    <c:v>353553.39059327374</c:v>
                  </c:pt>
                  <c:pt idx="43">
                    <c:v>445570.79497351858</c:v>
                  </c:pt>
                  <c:pt idx="44">
                    <c:v>530785.58131634782</c:v>
                  </c:pt>
                  <c:pt idx="45">
                    <c:v>385373.19574666838</c:v>
                  </c:pt>
                  <c:pt idx="46">
                    <c:v>0</c:v>
                  </c:pt>
                  <c:pt idx="47">
                    <c:v>278747.19729532709</c:v>
                  </c:pt>
                  <c:pt idx="48">
                    <c:v>84852.813742385697</c:v>
                  </c:pt>
                  <c:pt idx="49">
                    <c:v>551543.28932550712</c:v>
                  </c:pt>
                  <c:pt idx="50">
                    <c:v>763675.32368147129</c:v>
                  </c:pt>
                  <c:pt idx="51">
                    <c:v>480312.39834091312</c:v>
                  </c:pt>
                  <c:pt idx="52">
                    <c:v>543077.64945110132</c:v>
                  </c:pt>
                  <c:pt idx="53">
                    <c:v>344867.1241700683</c:v>
                  </c:pt>
                  <c:pt idx="54">
                    <c:v>169705.62748477139</c:v>
                  </c:pt>
                  <c:pt idx="55">
                    <c:v>457966.51988254918</c:v>
                  </c:pt>
                  <c:pt idx="56">
                    <c:v>310698.13860616117</c:v>
                  </c:pt>
                  <c:pt idx="57">
                    <c:v>520000</c:v>
                  </c:pt>
                  <c:pt idx="58">
                    <c:v>169705.62748477139</c:v>
                  </c:pt>
                  <c:pt idx="59">
                    <c:v>28284.2712474619</c:v>
                  </c:pt>
                  <c:pt idx="60">
                    <c:v>56568.5424949238</c:v>
                  </c:pt>
                  <c:pt idx="61">
                    <c:v>861935.80580767919</c:v>
                  </c:pt>
                  <c:pt idx="62">
                    <c:v>1405323.2131197946</c:v>
                  </c:pt>
                  <c:pt idx="63">
                    <c:v>937229.96110879851</c:v>
                  </c:pt>
                </c:numCache>
              </c:numRef>
            </c:minus>
          </c:errBars>
          <c:xVal>
            <c:numRef>
              <c:f>ferment.!$E$8:$E$71</c:f>
              <c:numCache>
                <c:formatCode>0.00</c:formatCode>
                <c:ptCount val="64"/>
                <c:pt idx="0">
                  <c:v>2.0833333335758653E-2</c:v>
                </c:pt>
                <c:pt idx="1">
                  <c:v>0.98958333333575865</c:v>
                </c:pt>
                <c:pt idx="2">
                  <c:v>1.9513888888905058</c:v>
                </c:pt>
                <c:pt idx="3">
                  <c:v>2.8993055555547471</c:v>
                </c:pt>
                <c:pt idx="4">
                  <c:v>3.8958333333357587</c:v>
                </c:pt>
                <c:pt idx="5">
                  <c:v>5.03125</c:v>
                </c:pt>
                <c:pt idx="6">
                  <c:v>6.21875</c:v>
                </c:pt>
                <c:pt idx="7">
                  <c:v>6.9652777777810115</c:v>
                </c:pt>
                <c:pt idx="8">
                  <c:v>7.9909722222218988</c:v>
                </c:pt>
                <c:pt idx="9">
                  <c:v>8.9166666666642413</c:v>
                </c:pt>
                <c:pt idx="10">
                  <c:v>9.9097222222189885</c:v>
                </c:pt>
                <c:pt idx="11">
                  <c:v>10.895833333335759</c:v>
                </c:pt>
                <c:pt idx="12">
                  <c:v>12.208333333335759</c:v>
                </c:pt>
                <c:pt idx="13">
                  <c:v>13.017361111109494</c:v>
                </c:pt>
                <c:pt idx="14">
                  <c:v>15.048611111109494</c:v>
                </c:pt>
                <c:pt idx="15">
                  <c:v>15.9375</c:v>
                </c:pt>
                <c:pt idx="16">
                  <c:v>16.899305555554747</c:v>
                </c:pt>
                <c:pt idx="17">
                  <c:v>19.0625</c:v>
                </c:pt>
                <c:pt idx="18">
                  <c:v>19.979166666664241</c:v>
                </c:pt>
                <c:pt idx="19">
                  <c:v>21.225694444445253</c:v>
                </c:pt>
                <c:pt idx="20">
                  <c:v>22.145833333335759</c:v>
                </c:pt>
                <c:pt idx="21">
                  <c:v>23.020833333335759</c:v>
                </c:pt>
                <c:pt idx="22">
                  <c:v>23.90625</c:v>
                </c:pt>
                <c:pt idx="23">
                  <c:v>24.930555555554747</c:v>
                </c:pt>
                <c:pt idx="24">
                  <c:v>26.243055555554747</c:v>
                </c:pt>
                <c:pt idx="25">
                  <c:v>27.03125</c:v>
                </c:pt>
                <c:pt idx="26">
                  <c:v>28.145833333335759</c:v>
                </c:pt>
                <c:pt idx="27">
                  <c:v>29.201388888890506</c:v>
                </c:pt>
                <c:pt idx="28">
                  <c:v>30.041666666664241</c:v>
                </c:pt>
                <c:pt idx="29">
                  <c:v>33.152777777781012</c:v>
                </c:pt>
                <c:pt idx="30">
                  <c:v>35.194444444445253</c:v>
                </c:pt>
                <c:pt idx="31">
                  <c:v>36.274305555554747</c:v>
                </c:pt>
                <c:pt idx="32">
                  <c:v>37.902777777781012</c:v>
                </c:pt>
                <c:pt idx="33">
                  <c:v>38.902777777781012</c:v>
                </c:pt>
                <c:pt idx="34">
                  <c:v>41.1875</c:v>
                </c:pt>
                <c:pt idx="35">
                  <c:v>43.263888888890506</c:v>
                </c:pt>
                <c:pt idx="36">
                  <c:v>43.951388888890506</c:v>
                </c:pt>
                <c:pt idx="37">
                  <c:v>44.902777777781012</c:v>
                </c:pt>
                <c:pt idx="38">
                  <c:v>47.173611111109494</c:v>
                </c:pt>
                <c:pt idx="39">
                  <c:v>47.944444444445253</c:v>
                </c:pt>
                <c:pt idx="40">
                  <c:v>48.989583333335759</c:v>
                </c:pt>
                <c:pt idx="41">
                  <c:v>51.225694444445253</c:v>
                </c:pt>
                <c:pt idx="42">
                  <c:v>54.138888888890506</c:v>
                </c:pt>
                <c:pt idx="43">
                  <c:v>55.180555555554747</c:v>
                </c:pt>
                <c:pt idx="44">
                  <c:v>56.048611111109494</c:v>
                </c:pt>
                <c:pt idx="45">
                  <c:v>57.979166666664241</c:v>
                </c:pt>
                <c:pt idx="46">
                  <c:v>59.003472222218988</c:v>
                </c:pt>
                <c:pt idx="47">
                  <c:v>61.961805555554747</c:v>
                </c:pt>
                <c:pt idx="48">
                  <c:v>62.975694444445253</c:v>
                </c:pt>
                <c:pt idx="49">
                  <c:v>64.034722222218988</c:v>
                </c:pt>
                <c:pt idx="50">
                  <c:v>65.034722222218988</c:v>
                </c:pt>
                <c:pt idx="51">
                  <c:v>67.96875</c:v>
                </c:pt>
                <c:pt idx="52">
                  <c:v>69.048611111109494</c:v>
                </c:pt>
                <c:pt idx="53">
                  <c:v>70.1875</c:v>
                </c:pt>
                <c:pt idx="54">
                  <c:v>71.21875</c:v>
                </c:pt>
                <c:pt idx="55">
                  <c:v>71.951388888890506</c:v>
                </c:pt>
                <c:pt idx="56">
                  <c:v>72.899305555554747</c:v>
                </c:pt>
                <c:pt idx="57">
                  <c:v>77.201388888890506</c:v>
                </c:pt>
                <c:pt idx="58">
                  <c:v>78.201388888890506</c:v>
                </c:pt>
                <c:pt idx="59">
                  <c:v>78.972222222218988</c:v>
                </c:pt>
                <c:pt idx="60">
                  <c:v>81.979166666664241</c:v>
                </c:pt>
                <c:pt idx="61">
                  <c:v>83.197916666664241</c:v>
                </c:pt>
                <c:pt idx="62">
                  <c:v>84.215277777781012</c:v>
                </c:pt>
                <c:pt idx="63">
                  <c:v>85.267361111109494</c:v>
                </c:pt>
              </c:numCache>
            </c:numRef>
          </c:xVal>
          <c:yVal>
            <c:numRef>
              <c:f>ferment.!$M$8:$M$71</c:f>
              <c:numCache>
                <c:formatCode>0.00E+00</c:formatCode>
                <c:ptCount val="64"/>
                <c:pt idx="0">
                  <c:v>462500</c:v>
                </c:pt>
                <c:pt idx="1">
                  <c:v>850000</c:v>
                </c:pt>
                <c:pt idx="2">
                  <c:v>1753333.3333333333</c:v>
                </c:pt>
                <c:pt idx="3">
                  <c:v>2991333.333333333</c:v>
                </c:pt>
                <c:pt idx="4">
                  <c:v>3270000</c:v>
                </c:pt>
                <c:pt idx="5">
                  <c:v>2815000</c:v>
                </c:pt>
                <c:pt idx="6">
                  <c:v>2655000</c:v>
                </c:pt>
                <c:pt idx="7">
                  <c:v>2197500</c:v>
                </c:pt>
                <c:pt idx="8">
                  <c:v>2813333.3333333335</c:v>
                </c:pt>
                <c:pt idx="9">
                  <c:v>2898333.3333333335</c:v>
                </c:pt>
                <c:pt idx="10">
                  <c:v>2880000</c:v>
                </c:pt>
                <c:pt idx="11">
                  <c:v>3210000</c:v>
                </c:pt>
                <c:pt idx="12">
                  <c:v>2870000</c:v>
                </c:pt>
                <c:pt idx="13">
                  <c:v>2380000</c:v>
                </c:pt>
                <c:pt idx="14">
                  <c:v>3353333.3333333335</c:v>
                </c:pt>
                <c:pt idx="15">
                  <c:v>3673333.3333333335</c:v>
                </c:pt>
                <c:pt idx="16">
                  <c:v>4250000</c:v>
                </c:pt>
                <c:pt idx="17">
                  <c:v>5190000</c:v>
                </c:pt>
                <c:pt idx="18">
                  <c:v>6375000</c:v>
                </c:pt>
                <c:pt idx="19">
                  <c:v>7245000</c:v>
                </c:pt>
                <c:pt idx="20">
                  <c:v>6360000</c:v>
                </c:pt>
                <c:pt idx="21">
                  <c:v>6900000</c:v>
                </c:pt>
                <c:pt idx="22">
                  <c:v>6850000</c:v>
                </c:pt>
                <c:pt idx="23">
                  <c:v>7995000</c:v>
                </c:pt>
                <c:pt idx="24">
                  <c:v>7470000</c:v>
                </c:pt>
                <c:pt idx="25">
                  <c:v>8280000</c:v>
                </c:pt>
                <c:pt idx="26">
                  <c:v>8830000</c:v>
                </c:pt>
                <c:pt idx="27">
                  <c:v>8760000</c:v>
                </c:pt>
                <c:pt idx="28">
                  <c:v>8805000</c:v>
                </c:pt>
                <c:pt idx="29">
                  <c:v>8800000</c:v>
                </c:pt>
                <c:pt idx="30">
                  <c:v>9705000</c:v>
                </c:pt>
                <c:pt idx="31">
                  <c:v>9375000</c:v>
                </c:pt>
                <c:pt idx="32">
                  <c:v>7485000</c:v>
                </c:pt>
                <c:pt idx="33">
                  <c:v>6900000</c:v>
                </c:pt>
                <c:pt idx="34">
                  <c:v>5480000</c:v>
                </c:pt>
                <c:pt idx="35">
                  <c:v>5595000</c:v>
                </c:pt>
                <c:pt idx="36">
                  <c:v>5313333.333333333</c:v>
                </c:pt>
                <c:pt idx="37">
                  <c:v>5400000</c:v>
                </c:pt>
                <c:pt idx="38">
                  <c:v>5326666.666666667</c:v>
                </c:pt>
                <c:pt idx="39">
                  <c:v>5613333.333333333</c:v>
                </c:pt>
                <c:pt idx="40">
                  <c:v>5190000</c:v>
                </c:pt>
                <c:pt idx="41">
                  <c:v>5170000</c:v>
                </c:pt>
                <c:pt idx="42">
                  <c:v>6110000</c:v>
                </c:pt>
                <c:pt idx="43">
                  <c:v>5593333.333333333</c:v>
                </c:pt>
                <c:pt idx="44">
                  <c:v>6086666.666666667</c:v>
                </c:pt>
                <c:pt idx="45">
                  <c:v>6752500</c:v>
                </c:pt>
                <c:pt idx="46">
                  <c:v>7325000</c:v>
                </c:pt>
                <c:pt idx="47">
                  <c:v>7940000</c:v>
                </c:pt>
                <c:pt idx="48">
                  <c:v>9210000</c:v>
                </c:pt>
                <c:pt idx="49">
                  <c:v>7470000</c:v>
                </c:pt>
                <c:pt idx="50">
                  <c:v>9330000</c:v>
                </c:pt>
                <c:pt idx="51">
                  <c:v>10780000</c:v>
                </c:pt>
                <c:pt idx="52">
                  <c:v>10493333.333333334</c:v>
                </c:pt>
                <c:pt idx="53">
                  <c:v>8626666.666666666</c:v>
                </c:pt>
                <c:pt idx="54">
                  <c:v>9600000</c:v>
                </c:pt>
                <c:pt idx="55">
                  <c:v>9753333.333333334</c:v>
                </c:pt>
                <c:pt idx="56">
                  <c:v>9173333.333333334</c:v>
                </c:pt>
                <c:pt idx="57">
                  <c:v>10760000</c:v>
                </c:pt>
                <c:pt idx="58">
                  <c:v>10720000</c:v>
                </c:pt>
                <c:pt idx="59">
                  <c:v>10740000</c:v>
                </c:pt>
                <c:pt idx="60">
                  <c:v>10440000</c:v>
                </c:pt>
                <c:pt idx="61">
                  <c:v>10306666.666666666</c:v>
                </c:pt>
                <c:pt idx="62">
                  <c:v>9773333.333333334</c:v>
                </c:pt>
                <c:pt idx="63">
                  <c:v>11000000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58-4C6D-B98D-D421F567A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30072"/>
        <c:axId val="390130464"/>
      </c:scatterChart>
      <c:scatterChart>
        <c:scatterStyle val="lineMarker"/>
        <c:varyColors val="0"/>
        <c:ser>
          <c:idx val="1"/>
          <c:order val="1"/>
          <c:tx>
            <c:strRef>
              <c:f>ferment.!$AK$7</c:f>
              <c:strCache>
                <c:ptCount val="1"/>
                <c:pt idx="0">
                  <c:v>CSPR</c:v>
                </c:pt>
              </c:strCache>
            </c:strRef>
          </c:tx>
          <c:marker>
            <c:symbol val="none"/>
          </c:marker>
          <c:xVal>
            <c:numRef>
              <c:f>ferment.!$E$11:$E$71</c:f>
              <c:numCache>
                <c:formatCode>0.00</c:formatCode>
                <c:ptCount val="61"/>
                <c:pt idx="0">
                  <c:v>2.8993055555547471</c:v>
                </c:pt>
                <c:pt idx="1">
                  <c:v>3.8958333333357587</c:v>
                </c:pt>
                <c:pt idx="2">
                  <c:v>5.03125</c:v>
                </c:pt>
                <c:pt idx="3">
                  <c:v>6.21875</c:v>
                </c:pt>
                <c:pt idx="4">
                  <c:v>6.9652777777810115</c:v>
                </c:pt>
                <c:pt idx="5">
                  <c:v>7.9909722222218988</c:v>
                </c:pt>
                <c:pt idx="6">
                  <c:v>8.9166666666642413</c:v>
                </c:pt>
                <c:pt idx="7">
                  <c:v>9.9097222222189885</c:v>
                </c:pt>
                <c:pt idx="8">
                  <c:v>10.895833333335759</c:v>
                </c:pt>
                <c:pt idx="9">
                  <c:v>12.208333333335759</c:v>
                </c:pt>
                <c:pt idx="10">
                  <c:v>13.017361111109494</c:v>
                </c:pt>
                <c:pt idx="11">
                  <c:v>15.048611111109494</c:v>
                </c:pt>
                <c:pt idx="12">
                  <c:v>15.9375</c:v>
                </c:pt>
                <c:pt idx="13">
                  <c:v>16.899305555554747</c:v>
                </c:pt>
                <c:pt idx="14">
                  <c:v>19.0625</c:v>
                </c:pt>
                <c:pt idx="15">
                  <c:v>19.979166666664241</c:v>
                </c:pt>
                <c:pt idx="16">
                  <c:v>21.225694444445253</c:v>
                </c:pt>
                <c:pt idx="17">
                  <c:v>22.145833333335759</c:v>
                </c:pt>
                <c:pt idx="18">
                  <c:v>23.020833333335759</c:v>
                </c:pt>
                <c:pt idx="19">
                  <c:v>23.90625</c:v>
                </c:pt>
                <c:pt idx="20">
                  <c:v>24.930555555554747</c:v>
                </c:pt>
                <c:pt idx="21">
                  <c:v>26.243055555554747</c:v>
                </c:pt>
                <c:pt idx="22">
                  <c:v>27.03125</c:v>
                </c:pt>
                <c:pt idx="23">
                  <c:v>28.145833333335759</c:v>
                </c:pt>
                <c:pt idx="24">
                  <c:v>29.201388888890506</c:v>
                </c:pt>
                <c:pt idx="25">
                  <c:v>30.041666666664241</c:v>
                </c:pt>
                <c:pt idx="26">
                  <c:v>33.152777777781012</c:v>
                </c:pt>
                <c:pt idx="27">
                  <c:v>35.194444444445253</c:v>
                </c:pt>
                <c:pt idx="28">
                  <c:v>36.274305555554747</c:v>
                </c:pt>
                <c:pt idx="29">
                  <c:v>37.902777777781012</c:v>
                </c:pt>
                <c:pt idx="30">
                  <c:v>38.902777777781012</c:v>
                </c:pt>
                <c:pt idx="31">
                  <c:v>41.1875</c:v>
                </c:pt>
                <c:pt idx="32">
                  <c:v>43.263888888890506</c:v>
                </c:pt>
                <c:pt idx="33">
                  <c:v>43.951388888890506</c:v>
                </c:pt>
                <c:pt idx="34">
                  <c:v>44.902777777781012</c:v>
                </c:pt>
                <c:pt idx="35">
                  <c:v>47.173611111109494</c:v>
                </c:pt>
                <c:pt idx="36">
                  <c:v>47.944444444445253</c:v>
                </c:pt>
                <c:pt idx="37">
                  <c:v>48.989583333335759</c:v>
                </c:pt>
                <c:pt idx="38">
                  <c:v>51.225694444445253</c:v>
                </c:pt>
                <c:pt idx="39">
                  <c:v>54.138888888890506</c:v>
                </c:pt>
                <c:pt idx="40">
                  <c:v>55.180555555554747</c:v>
                </c:pt>
                <c:pt idx="41">
                  <c:v>56.048611111109494</c:v>
                </c:pt>
                <c:pt idx="42">
                  <c:v>57.979166666664241</c:v>
                </c:pt>
                <c:pt idx="43">
                  <c:v>59.003472222218988</c:v>
                </c:pt>
                <c:pt idx="44">
                  <c:v>61.961805555554747</c:v>
                </c:pt>
                <c:pt idx="45">
                  <c:v>62.975694444445253</c:v>
                </c:pt>
                <c:pt idx="46">
                  <c:v>64.034722222218988</c:v>
                </c:pt>
                <c:pt idx="47">
                  <c:v>65.034722222218988</c:v>
                </c:pt>
                <c:pt idx="48">
                  <c:v>67.96875</c:v>
                </c:pt>
                <c:pt idx="49">
                  <c:v>69.048611111109494</c:v>
                </c:pt>
                <c:pt idx="50">
                  <c:v>70.1875</c:v>
                </c:pt>
                <c:pt idx="51">
                  <c:v>71.21875</c:v>
                </c:pt>
                <c:pt idx="52">
                  <c:v>71.951388888890506</c:v>
                </c:pt>
                <c:pt idx="53">
                  <c:v>72.899305555554747</c:v>
                </c:pt>
                <c:pt idx="54">
                  <c:v>77.201388888890506</c:v>
                </c:pt>
                <c:pt idx="55">
                  <c:v>78.201388888890506</c:v>
                </c:pt>
                <c:pt idx="56">
                  <c:v>78.972222222218988</c:v>
                </c:pt>
                <c:pt idx="57">
                  <c:v>81.979166666664241</c:v>
                </c:pt>
                <c:pt idx="58">
                  <c:v>83.197916666664241</c:v>
                </c:pt>
                <c:pt idx="59">
                  <c:v>84.215277777781012</c:v>
                </c:pt>
                <c:pt idx="60">
                  <c:v>85.267361111109494</c:v>
                </c:pt>
              </c:numCache>
            </c:numRef>
          </c:xVal>
          <c:yVal>
            <c:numRef>
              <c:f>ferment.!$AK$11:$AK$71</c:f>
              <c:numCache>
                <c:formatCode>0.000</c:formatCode>
                <c:ptCount val="61"/>
                <c:pt idx="0">
                  <c:v>0.10051014285495094</c:v>
                </c:pt>
                <c:pt idx="1">
                  <c:v>0.13502541316326097</c:v>
                </c:pt>
                <c:pt idx="2">
                  <c:v>0.16425766291364302</c:v>
                </c:pt>
                <c:pt idx="3">
                  <c:v>0.16651798988997915</c:v>
                </c:pt>
                <c:pt idx="4">
                  <c:v>0.19811096118653776</c:v>
                </c:pt>
                <c:pt idx="5">
                  <c:v>0.16460931759387357</c:v>
                </c:pt>
                <c:pt idx="6">
                  <c:v>0.15840647913595721</c:v>
                </c:pt>
                <c:pt idx="7">
                  <c:v>0.15734265734278549</c:v>
                </c:pt>
                <c:pt idx="8">
                  <c:v>0.14216137949108879</c:v>
                </c:pt>
                <c:pt idx="9">
                  <c:v>0.15264642442342782</c:v>
                </c:pt>
                <c:pt idx="10">
                  <c:v>0.1687885454619463</c:v>
                </c:pt>
                <c:pt idx="11">
                  <c:v>0.12111943722281697</c:v>
                </c:pt>
                <c:pt idx="12">
                  <c:v>0.10719147005425138</c:v>
                </c:pt>
                <c:pt idx="13">
                  <c:v>9.1739222764995354E-2</c:v>
                </c:pt>
                <c:pt idx="14">
                  <c:v>7.7937260505264117E-2</c:v>
                </c:pt>
                <c:pt idx="15">
                  <c:v>6.4171122994822194E-2</c:v>
                </c:pt>
                <c:pt idx="16">
                  <c:v>5.5364279658674E-2</c:v>
                </c:pt>
                <c:pt idx="17">
                  <c:v>6.4079743680912682E-2</c:v>
                </c:pt>
                <c:pt idx="18">
                  <c:v>5.7971014492753561E-2</c:v>
                </c:pt>
                <c:pt idx="19">
                  <c:v>5.770717045958295E-2</c:v>
                </c:pt>
                <c:pt idx="20">
                  <c:v>5.1896842306143158E-2</c:v>
                </c:pt>
                <c:pt idx="21">
                  <c:v>5.3547523427041534E-2</c:v>
                </c:pt>
                <c:pt idx="22">
                  <c:v>4.9798889101653469E-2</c:v>
                </c:pt>
                <c:pt idx="23">
                  <c:v>4.5723478794578908E-2</c:v>
                </c:pt>
                <c:pt idx="24">
                  <c:v>4.5962509012291757E-2</c:v>
                </c:pt>
                <c:pt idx="25">
                  <c:v>4.3926957354457029E-2</c:v>
                </c:pt>
                <c:pt idx="26">
                  <c:v>4.017857142849833E-2</c:v>
                </c:pt>
                <c:pt idx="27">
                  <c:v>3.6337255149398145E-2</c:v>
                </c:pt>
                <c:pt idx="28">
                  <c:v>3.7535691318384079E-2</c:v>
                </c:pt>
                <c:pt idx="29">
                  <c:v>4.7173237733345648E-2</c:v>
                </c:pt>
                <c:pt idx="30">
                  <c:v>5.0724637681159368E-2</c:v>
                </c:pt>
                <c:pt idx="31">
                  <c:v>6.3896345927807616E-2</c:v>
                </c:pt>
                <c:pt idx="32">
                  <c:v>6.2406412796852724E-2</c:v>
                </c:pt>
                <c:pt idx="33">
                  <c:v>6.8438462415877727E-2</c:v>
                </c:pt>
                <c:pt idx="34">
                  <c:v>6.3260340632495748E-2</c:v>
                </c:pt>
                <c:pt idx="35">
                  <c:v>6.6137718019224814E-2</c:v>
                </c:pt>
                <c:pt idx="36">
                  <c:v>6.355524170230982E-2</c:v>
                </c:pt>
                <c:pt idx="37">
                  <c:v>7.8351544946396304E-2</c:v>
                </c:pt>
                <c:pt idx="38">
                  <c:v>7.7849994593806551E-2</c:v>
                </c:pt>
                <c:pt idx="39">
                  <c:v>6.6012652425029864E-2</c:v>
                </c:pt>
                <c:pt idx="40">
                  <c:v>7.1227651966792635E-2</c:v>
                </c:pt>
                <c:pt idx="41">
                  <c:v>6.3404162103016498E-2</c:v>
                </c:pt>
                <c:pt idx="42">
                  <c:v>5.9450403394451325E-2</c:v>
                </c:pt>
                <c:pt idx="43">
                  <c:v>5.6643720715032465E-2</c:v>
                </c:pt>
                <c:pt idx="44">
                  <c:v>5.0023060275972787E-2</c:v>
                </c:pt>
                <c:pt idx="45">
                  <c:v>4.2836107268683865E-2</c:v>
                </c:pt>
                <c:pt idx="46">
                  <c:v>5.3723089077826663E-2</c:v>
                </c:pt>
                <c:pt idx="47">
                  <c:v>4.2872454448017377E-2</c:v>
                </c:pt>
                <c:pt idx="48">
                  <c:v>3.7149663523248978E-2</c:v>
                </c:pt>
                <c:pt idx="49">
                  <c:v>3.7506588167095053E-2</c:v>
                </c:pt>
                <c:pt idx="50">
                  <c:v>4.5802390017653058E-2</c:v>
                </c:pt>
                <c:pt idx="51">
                  <c:v>4.0404040404040262E-2</c:v>
                </c:pt>
                <c:pt idx="52">
                  <c:v>4.1983459294416874E-2</c:v>
                </c:pt>
                <c:pt idx="53">
                  <c:v>4.3125479172101133E-2</c:v>
                </c:pt>
                <c:pt idx="54">
                  <c:v>3.7264732621021819E-2</c:v>
                </c:pt>
                <c:pt idx="55">
                  <c:v>3.7313432835821093E-2</c:v>
                </c:pt>
                <c:pt idx="56">
                  <c:v>3.6237354673336983E-2</c:v>
                </c:pt>
                <c:pt idx="57">
                  <c:v>4.3003902205929277E-2</c:v>
                </c:pt>
                <c:pt idx="58">
                  <c:v>4.3785451288685495E-2</c:v>
                </c:pt>
                <c:pt idx="59">
                  <c:v>4.5257928285488094E-2</c:v>
                </c:pt>
                <c:pt idx="60">
                  <c:v>4.1044104410629785E-2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58-4C6D-B98D-D421F567A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31248"/>
        <c:axId val="390130856"/>
      </c:scatterChart>
      <c:valAx>
        <c:axId val="390130072"/>
        <c:scaling>
          <c:orientation val="minMax"/>
          <c:min val="0"/>
        </c:scaling>
        <c:delete val="0"/>
        <c:axPos val="b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Culture</a:t>
                </a:r>
                <a:r>
                  <a:rPr lang="en-US" baseline="0"/>
                  <a:t> time (d)</a:t>
                </a:r>
                <a:endParaRPr lang="en-US"/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lang="es-ES" sz="1200"/>
            </a:pPr>
            <a:endParaRPr lang="es-ES"/>
          </a:p>
        </c:txPr>
        <c:crossAx val="390130464"/>
        <c:crosses val="autoZero"/>
        <c:crossBetween val="midCat"/>
        <c:minorUnit val="2"/>
      </c:valAx>
      <c:valAx>
        <c:axId val="390130464"/>
        <c:scaling>
          <c:orientation val="minMax"/>
          <c:max val="130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Viable</a:t>
                </a:r>
                <a:r>
                  <a:rPr lang="en-US" baseline="0"/>
                  <a:t> cell density (cel/mL)</a:t>
                </a:r>
                <a:endParaRPr lang="en-US"/>
              </a:p>
            </c:rich>
          </c:tx>
          <c:overlay val="0"/>
        </c:title>
        <c:numFmt formatCode="0.0E+00" sourceLinked="0"/>
        <c:majorTickMark val="none"/>
        <c:minorTickMark val="none"/>
        <c:tickLblPos val="nextTo"/>
        <c:txPr>
          <a:bodyPr/>
          <a:lstStyle/>
          <a:p>
            <a:pPr>
              <a:defRPr lang="es-ES" sz="1200"/>
            </a:pPr>
            <a:endParaRPr lang="es-ES"/>
          </a:p>
        </c:txPr>
        <c:crossAx val="390130072"/>
        <c:crosses val="autoZero"/>
        <c:crossBetween val="midCat"/>
      </c:valAx>
      <c:valAx>
        <c:axId val="3901308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CSPR(nL/cel/d)</a:t>
                </a:r>
                <a:endParaRPr lang="en-US"/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crossAx val="390131248"/>
        <c:crosses val="max"/>
        <c:crossBetween val="midCat"/>
      </c:valAx>
      <c:valAx>
        <c:axId val="39013124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one"/>
        <c:crossAx val="390130856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0.28976862824408123"/>
          <c:y val="0.89695754207610867"/>
          <c:w val="0.49379954454488695"/>
          <c:h val="0.1026483154270792"/>
        </c:manualLayout>
      </c:layout>
      <c:overlay val="0"/>
      <c:txPr>
        <a:bodyPr/>
        <a:lstStyle/>
        <a:p>
          <a:pPr>
            <a:defRPr lang="es-ES" sz="12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963100151081808E-2"/>
          <c:y val="2.0920054095635944E-2"/>
          <c:w val="0.87451104212240816"/>
          <c:h val="0.89779576991329124"/>
        </c:manualLayout>
      </c:layout>
      <c:scatterChart>
        <c:scatterStyle val="lineMarker"/>
        <c:varyColors val="0"/>
        <c:ser>
          <c:idx val="0"/>
          <c:order val="0"/>
          <c:tx>
            <c:v>velocidad de crecimiento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Graficcos!$O$4:$O$41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</c:numCache>
            </c:numRef>
          </c:xVal>
          <c:yVal>
            <c:numRef>
              <c:f>Graficcos!$Q$4:$Q$41</c:f>
              <c:numCache>
                <c:formatCode>0.0000</c:formatCode>
                <c:ptCount val="38"/>
                <c:pt idx="0">
                  <c:v>0.27387948066973578</c:v>
                </c:pt>
                <c:pt idx="1">
                  <c:v>0.33614591573224312</c:v>
                </c:pt>
                <c:pt idx="2">
                  <c:v>0.3935379884235673</c:v>
                </c:pt>
                <c:pt idx="3">
                  <c:v>0.29697326709180638</c:v>
                </c:pt>
                <c:pt idx="4">
                  <c:v>0.75335480306330682</c:v>
                </c:pt>
                <c:pt idx="5">
                  <c:v>0.40671070202488069</c:v>
                </c:pt>
                <c:pt idx="7">
                  <c:v>0.44395544376712065</c:v>
                </c:pt>
                <c:pt idx="8">
                  <c:v>0.56809332520265743</c:v>
                </c:pt>
                <c:pt idx="9">
                  <c:v>0.35904647249361854</c:v>
                </c:pt>
                <c:pt idx="10">
                  <c:v>0.58240378488828837</c:v>
                </c:pt>
                <c:pt idx="11">
                  <c:v>0.33864563566624334</c:v>
                </c:pt>
                <c:pt idx="12">
                  <c:v>0.53136476432846047</c:v>
                </c:pt>
                <c:pt idx="13">
                  <c:v>0.45284338828215509</c:v>
                </c:pt>
                <c:pt idx="14">
                  <c:v>0.38601065401522339</c:v>
                </c:pt>
                <c:pt idx="15">
                  <c:v>0.41217493596549887</c:v>
                </c:pt>
                <c:pt idx="16">
                  <c:v>0.35686105753050928</c:v>
                </c:pt>
                <c:pt idx="17">
                  <c:v>0.25668660118203895</c:v>
                </c:pt>
                <c:pt idx="18">
                  <c:v>0.3479722781216209</c:v>
                </c:pt>
                <c:pt idx="20">
                  <c:v>0.26559768187781496</c:v>
                </c:pt>
                <c:pt idx="21">
                  <c:v>0.35867422730051873</c:v>
                </c:pt>
                <c:pt idx="22">
                  <c:v>0.34196736541037426</c:v>
                </c:pt>
                <c:pt idx="23">
                  <c:v>0.43310796682164215</c:v>
                </c:pt>
                <c:pt idx="24">
                  <c:v>0.61565287958505444</c:v>
                </c:pt>
                <c:pt idx="25">
                  <c:v>0.43720228233345426</c:v>
                </c:pt>
                <c:pt idx="26">
                  <c:v>0.36507319068856875</c:v>
                </c:pt>
                <c:pt idx="27">
                  <c:v>0.22538640624308159</c:v>
                </c:pt>
                <c:pt idx="28">
                  <c:v>0.49139267435337136</c:v>
                </c:pt>
                <c:pt idx="29">
                  <c:v>0.43592956752710554</c:v>
                </c:pt>
                <c:pt idx="30">
                  <c:v>0.33003953558065874</c:v>
                </c:pt>
                <c:pt idx="31">
                  <c:v>0.44478446485868278</c:v>
                </c:pt>
                <c:pt idx="32">
                  <c:v>0.37430075669242058</c:v>
                </c:pt>
                <c:pt idx="33">
                  <c:v>0.40078262914812912</c:v>
                </c:pt>
                <c:pt idx="34">
                  <c:v>0.43752303853520635</c:v>
                </c:pt>
                <c:pt idx="35">
                  <c:v>0.44343745878151342</c:v>
                </c:pt>
                <c:pt idx="36">
                  <c:v>0.38558220588218012</c:v>
                </c:pt>
                <c:pt idx="37">
                  <c:v>0.56381172343927022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9A-45A6-BE22-113721676023}"/>
            </c:ext>
          </c:extLst>
        </c:ser>
        <c:ser>
          <c:idx val="1"/>
          <c:order val="1"/>
          <c:tx>
            <c:v>velocidad de dilucion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Graficcos!$O$4:$O$41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</c:numCache>
            </c:numRef>
          </c:xVal>
          <c:yVal>
            <c:numRef>
              <c:f>Graficcos!$P$4:$P$41</c:f>
              <c:numCache>
                <c:formatCode>General</c:formatCode>
                <c:ptCount val="38"/>
                <c:pt idx="0">
                  <c:v>0.45</c:v>
                </c:pt>
                <c:pt idx="1">
                  <c:v>0.45</c:v>
                </c:pt>
                <c:pt idx="2">
                  <c:v>0.45</c:v>
                </c:pt>
                <c:pt idx="3">
                  <c:v>0.45</c:v>
                </c:pt>
                <c:pt idx="4">
                  <c:v>0.45</c:v>
                </c:pt>
                <c:pt idx="5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0.35</c:v>
                </c:pt>
                <c:pt idx="18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0.45</c:v>
                </c:pt>
                <c:pt idx="35">
                  <c:v>0.45</c:v>
                </c:pt>
                <c:pt idx="36">
                  <c:v>0.45</c:v>
                </c:pt>
                <c:pt idx="37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9A-45A6-BE22-113721676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002112"/>
        <c:axId val="415000472"/>
      </c:scatterChart>
      <c:valAx>
        <c:axId val="41500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5000472"/>
        <c:crosses val="autoZero"/>
        <c:crossBetween val="midCat"/>
      </c:valAx>
      <c:valAx>
        <c:axId val="41500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500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5601076483401"/>
          <c:y val="6.5639189664065012E-2"/>
          <c:w val="0.77048471288960729"/>
          <c:h val="0.75842894603535049"/>
        </c:manualLayout>
      </c:layout>
      <c:scatterChart>
        <c:scatterStyle val="lineMarker"/>
        <c:varyColors val="0"/>
        <c:ser>
          <c:idx val="2"/>
          <c:order val="0"/>
          <c:tx>
            <c:strRef>
              <c:f>ferment.!$J$6</c:f>
              <c:strCache>
                <c:ptCount val="1"/>
                <c:pt idx="0">
                  <c:v>Xv(Promedio)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ferment.!$K$8:$K$71</c:f>
                <c:numCache>
                  <c:formatCode>General</c:formatCode>
                  <c:ptCount val="64"/>
                  <c:pt idx="0">
                    <c:v>17677.66952966369</c:v>
                  </c:pt>
                  <c:pt idx="1">
                    <c:v>96436.507609929555</c:v>
                  </c:pt>
                  <c:pt idx="2">
                    <c:v>180092.568789868</c:v>
                  </c:pt>
                  <c:pt idx="3">
                    <c:v>159478.31618540914</c:v>
                  </c:pt>
                  <c:pt idx="4">
                    <c:v>296984.84809834993</c:v>
                  </c:pt>
                  <c:pt idx="5">
                    <c:v>63639.610306789276</c:v>
                  </c:pt>
                  <c:pt idx="6">
                    <c:v>35355.33905932738</c:v>
                  </c:pt>
                  <c:pt idx="7">
                    <c:v>222738.63607376246</c:v>
                  </c:pt>
                  <c:pt idx="8">
                    <c:v>533041.58687041851</c:v>
                  </c:pt>
                  <c:pt idx="9">
                    <c:v>414014.89506216318</c:v>
                  </c:pt>
                  <c:pt idx="10">
                    <c:v>383014.36004411115</c:v>
                  </c:pt>
                  <c:pt idx="11">
                    <c:v>21213.203435596424</c:v>
                  </c:pt>
                  <c:pt idx="12">
                    <c:v>150249.7920131672</c:v>
                  </c:pt>
                  <c:pt idx="13">
                    <c:v>424264.0687119285</c:v>
                  </c:pt>
                  <c:pt idx="14">
                    <c:v>391066.91669499909</c:v>
                  </c:pt>
                  <c:pt idx="15">
                    <c:v>360185.13757973595</c:v>
                  </c:pt>
                  <c:pt idx="16">
                    <c:v>14142.13562373095</c:v>
                  </c:pt>
                  <c:pt idx="17">
                    <c:v>750000</c:v>
                  </c:pt>
                  <c:pt idx="18">
                    <c:v>21213.203435596424</c:v>
                  </c:pt>
                  <c:pt idx="19">
                    <c:v>275771.64466275356</c:v>
                  </c:pt>
                  <c:pt idx="20">
                    <c:v>593969.69619669986</c:v>
                  </c:pt>
                  <c:pt idx="21">
                    <c:v>254558.44122715711</c:v>
                  </c:pt>
                  <c:pt idx="22">
                    <c:v>645058.13691480551</c:v>
                  </c:pt>
                  <c:pt idx="23">
                    <c:v>106066.01717798212</c:v>
                  </c:pt>
                  <c:pt idx="24">
                    <c:v>169705.62748477139</c:v>
                  </c:pt>
                  <c:pt idx="25">
                    <c:v>1304568.894309534</c:v>
                  </c:pt>
                  <c:pt idx="26">
                    <c:v>283548.93757515651</c:v>
                  </c:pt>
                  <c:pt idx="27">
                    <c:v>1110000</c:v>
                  </c:pt>
                  <c:pt idx="28">
                    <c:v>275771.64466275356</c:v>
                  </c:pt>
                  <c:pt idx="29">
                    <c:v>969484.39904930908</c:v>
                  </c:pt>
                  <c:pt idx="30">
                    <c:v>360624.45840513922</c:v>
                  </c:pt>
                  <c:pt idx="31">
                    <c:v>63639.610306789276</c:v>
                  </c:pt>
                  <c:pt idx="32">
                    <c:v>487903.67901871778</c:v>
                  </c:pt>
                  <c:pt idx="33">
                    <c:v>42426.406871192848</c:v>
                  </c:pt>
                  <c:pt idx="34">
                    <c:v>197989.8987322333</c:v>
                  </c:pt>
                  <c:pt idx="35">
                    <c:v>63639.610306789276</c:v>
                  </c:pt>
                  <c:pt idx="36">
                    <c:v>659191.42389243504</c:v>
                  </c:pt>
                  <c:pt idx="37">
                    <c:v>572363.52085016738</c:v>
                  </c:pt>
                  <c:pt idx="38">
                    <c:v>594754.85145842505</c:v>
                  </c:pt>
                  <c:pt idx="39">
                    <c:v>784941.6114166301</c:v>
                  </c:pt>
                  <c:pt idx="40">
                    <c:v>381837.66184073564</c:v>
                  </c:pt>
                  <c:pt idx="41">
                    <c:v>42426.406871192848</c:v>
                  </c:pt>
                  <c:pt idx="42">
                    <c:v>353553.39059327374</c:v>
                  </c:pt>
                  <c:pt idx="43">
                    <c:v>445570.79497351858</c:v>
                  </c:pt>
                  <c:pt idx="44">
                    <c:v>530785.58131634782</c:v>
                  </c:pt>
                  <c:pt idx="45">
                    <c:v>385373.19574666838</c:v>
                  </c:pt>
                  <c:pt idx="46">
                    <c:v>0</c:v>
                  </c:pt>
                  <c:pt idx="47">
                    <c:v>278747.19729532709</c:v>
                  </c:pt>
                  <c:pt idx="48">
                    <c:v>84852.813742385697</c:v>
                  </c:pt>
                  <c:pt idx="49">
                    <c:v>551543.28932550712</c:v>
                  </c:pt>
                  <c:pt idx="50">
                    <c:v>763675.32368147129</c:v>
                  </c:pt>
                  <c:pt idx="51">
                    <c:v>480312.39834091312</c:v>
                  </c:pt>
                  <c:pt idx="52">
                    <c:v>543077.64945110132</c:v>
                  </c:pt>
                  <c:pt idx="53">
                    <c:v>344867.1241700683</c:v>
                  </c:pt>
                  <c:pt idx="54">
                    <c:v>169705.62748477139</c:v>
                  </c:pt>
                  <c:pt idx="55">
                    <c:v>457966.51988254918</c:v>
                  </c:pt>
                  <c:pt idx="56">
                    <c:v>310698.13860616117</c:v>
                  </c:pt>
                  <c:pt idx="57">
                    <c:v>520000</c:v>
                  </c:pt>
                  <c:pt idx="58">
                    <c:v>169705.62748477139</c:v>
                  </c:pt>
                  <c:pt idx="59">
                    <c:v>28284.2712474619</c:v>
                  </c:pt>
                  <c:pt idx="60">
                    <c:v>56568.5424949238</c:v>
                  </c:pt>
                  <c:pt idx="61">
                    <c:v>861935.80580767919</c:v>
                  </c:pt>
                  <c:pt idx="62">
                    <c:v>1405323.2131197946</c:v>
                  </c:pt>
                  <c:pt idx="63">
                    <c:v>937229.96110879851</c:v>
                  </c:pt>
                </c:numCache>
              </c:numRef>
            </c:plus>
            <c:minus>
              <c:numRef>
                <c:f>ferment.!$K$8:$K$71</c:f>
                <c:numCache>
                  <c:formatCode>General</c:formatCode>
                  <c:ptCount val="64"/>
                  <c:pt idx="0">
                    <c:v>17677.66952966369</c:v>
                  </c:pt>
                  <c:pt idx="1">
                    <c:v>96436.507609929555</c:v>
                  </c:pt>
                  <c:pt idx="2">
                    <c:v>180092.568789868</c:v>
                  </c:pt>
                  <c:pt idx="3">
                    <c:v>159478.31618540914</c:v>
                  </c:pt>
                  <c:pt idx="4">
                    <c:v>296984.84809834993</c:v>
                  </c:pt>
                  <c:pt idx="5">
                    <c:v>63639.610306789276</c:v>
                  </c:pt>
                  <c:pt idx="6">
                    <c:v>35355.33905932738</c:v>
                  </c:pt>
                  <c:pt idx="7">
                    <c:v>222738.63607376246</c:v>
                  </c:pt>
                  <c:pt idx="8">
                    <c:v>533041.58687041851</c:v>
                  </c:pt>
                  <c:pt idx="9">
                    <c:v>414014.89506216318</c:v>
                  </c:pt>
                  <c:pt idx="10">
                    <c:v>383014.36004411115</c:v>
                  </c:pt>
                  <c:pt idx="11">
                    <c:v>21213.203435596424</c:v>
                  </c:pt>
                  <c:pt idx="12">
                    <c:v>150249.7920131672</c:v>
                  </c:pt>
                  <c:pt idx="13">
                    <c:v>424264.0687119285</c:v>
                  </c:pt>
                  <c:pt idx="14">
                    <c:v>391066.91669499909</c:v>
                  </c:pt>
                  <c:pt idx="15">
                    <c:v>360185.13757973595</c:v>
                  </c:pt>
                  <c:pt idx="16">
                    <c:v>14142.13562373095</c:v>
                  </c:pt>
                  <c:pt idx="17">
                    <c:v>750000</c:v>
                  </c:pt>
                  <c:pt idx="18">
                    <c:v>21213.203435596424</c:v>
                  </c:pt>
                  <c:pt idx="19">
                    <c:v>275771.64466275356</c:v>
                  </c:pt>
                  <c:pt idx="20">
                    <c:v>593969.69619669986</c:v>
                  </c:pt>
                  <c:pt idx="21">
                    <c:v>254558.44122715711</c:v>
                  </c:pt>
                  <c:pt idx="22">
                    <c:v>645058.13691480551</c:v>
                  </c:pt>
                  <c:pt idx="23">
                    <c:v>106066.01717798212</c:v>
                  </c:pt>
                  <c:pt idx="24">
                    <c:v>169705.62748477139</c:v>
                  </c:pt>
                  <c:pt idx="25">
                    <c:v>1304568.894309534</c:v>
                  </c:pt>
                  <c:pt idx="26">
                    <c:v>283548.93757515651</c:v>
                  </c:pt>
                  <c:pt idx="27">
                    <c:v>1110000</c:v>
                  </c:pt>
                  <c:pt idx="28">
                    <c:v>275771.64466275356</c:v>
                  </c:pt>
                  <c:pt idx="29">
                    <c:v>969484.39904930908</c:v>
                  </c:pt>
                  <c:pt idx="30">
                    <c:v>360624.45840513922</c:v>
                  </c:pt>
                  <c:pt idx="31">
                    <c:v>63639.610306789276</c:v>
                  </c:pt>
                  <c:pt idx="32">
                    <c:v>487903.67901871778</c:v>
                  </c:pt>
                  <c:pt idx="33">
                    <c:v>42426.406871192848</c:v>
                  </c:pt>
                  <c:pt idx="34">
                    <c:v>197989.8987322333</c:v>
                  </c:pt>
                  <c:pt idx="35">
                    <c:v>63639.610306789276</c:v>
                  </c:pt>
                  <c:pt idx="36">
                    <c:v>659191.42389243504</c:v>
                  </c:pt>
                  <c:pt idx="37">
                    <c:v>572363.52085016738</c:v>
                  </c:pt>
                  <c:pt idx="38">
                    <c:v>594754.85145842505</c:v>
                  </c:pt>
                  <c:pt idx="39">
                    <c:v>784941.6114166301</c:v>
                  </c:pt>
                  <c:pt idx="40">
                    <c:v>381837.66184073564</c:v>
                  </c:pt>
                  <c:pt idx="41">
                    <c:v>42426.406871192848</c:v>
                  </c:pt>
                  <c:pt idx="42">
                    <c:v>353553.39059327374</c:v>
                  </c:pt>
                  <c:pt idx="43">
                    <c:v>445570.79497351858</c:v>
                  </c:pt>
                  <c:pt idx="44">
                    <c:v>530785.58131634782</c:v>
                  </c:pt>
                  <c:pt idx="45">
                    <c:v>385373.19574666838</c:v>
                  </c:pt>
                  <c:pt idx="46">
                    <c:v>0</c:v>
                  </c:pt>
                  <c:pt idx="47">
                    <c:v>278747.19729532709</c:v>
                  </c:pt>
                  <c:pt idx="48">
                    <c:v>84852.813742385697</c:v>
                  </c:pt>
                  <c:pt idx="49">
                    <c:v>551543.28932550712</c:v>
                  </c:pt>
                  <c:pt idx="50">
                    <c:v>763675.32368147129</c:v>
                  </c:pt>
                  <c:pt idx="51">
                    <c:v>480312.39834091312</c:v>
                  </c:pt>
                  <c:pt idx="52">
                    <c:v>543077.64945110132</c:v>
                  </c:pt>
                  <c:pt idx="53">
                    <c:v>344867.1241700683</c:v>
                  </c:pt>
                  <c:pt idx="54">
                    <c:v>169705.62748477139</c:v>
                  </c:pt>
                  <c:pt idx="55">
                    <c:v>457966.51988254918</c:v>
                  </c:pt>
                  <c:pt idx="56">
                    <c:v>310698.13860616117</c:v>
                  </c:pt>
                  <c:pt idx="57">
                    <c:v>520000</c:v>
                  </c:pt>
                  <c:pt idx="58">
                    <c:v>169705.62748477139</c:v>
                  </c:pt>
                  <c:pt idx="59">
                    <c:v>28284.2712474619</c:v>
                  </c:pt>
                  <c:pt idx="60">
                    <c:v>56568.5424949238</c:v>
                  </c:pt>
                  <c:pt idx="61">
                    <c:v>861935.80580767919</c:v>
                  </c:pt>
                  <c:pt idx="62">
                    <c:v>1405323.2131197946</c:v>
                  </c:pt>
                  <c:pt idx="63">
                    <c:v>937229.96110879851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ferment.!$E$8:$E$71</c:f>
              <c:numCache>
                <c:formatCode>0.00</c:formatCode>
                <c:ptCount val="64"/>
                <c:pt idx="0">
                  <c:v>2.0833333335758653E-2</c:v>
                </c:pt>
                <c:pt idx="1">
                  <c:v>0.98958333333575865</c:v>
                </c:pt>
                <c:pt idx="2">
                  <c:v>1.9513888888905058</c:v>
                </c:pt>
                <c:pt idx="3">
                  <c:v>2.8993055555547471</c:v>
                </c:pt>
                <c:pt idx="4">
                  <c:v>3.8958333333357587</c:v>
                </c:pt>
                <c:pt idx="5">
                  <c:v>5.03125</c:v>
                </c:pt>
                <c:pt idx="6">
                  <c:v>6.21875</c:v>
                </c:pt>
                <c:pt idx="7">
                  <c:v>6.9652777777810115</c:v>
                </c:pt>
                <c:pt idx="8">
                  <c:v>7.9909722222218988</c:v>
                </c:pt>
                <c:pt idx="9">
                  <c:v>8.9166666666642413</c:v>
                </c:pt>
                <c:pt idx="10">
                  <c:v>9.9097222222189885</c:v>
                </c:pt>
                <c:pt idx="11">
                  <c:v>10.895833333335759</c:v>
                </c:pt>
                <c:pt idx="12">
                  <c:v>12.208333333335759</c:v>
                </c:pt>
                <c:pt idx="13">
                  <c:v>13.017361111109494</c:v>
                </c:pt>
                <c:pt idx="14">
                  <c:v>15.048611111109494</c:v>
                </c:pt>
                <c:pt idx="15">
                  <c:v>15.9375</c:v>
                </c:pt>
                <c:pt idx="16">
                  <c:v>16.899305555554747</c:v>
                </c:pt>
                <c:pt idx="17">
                  <c:v>19.0625</c:v>
                </c:pt>
                <c:pt idx="18">
                  <c:v>19.979166666664241</c:v>
                </c:pt>
                <c:pt idx="19">
                  <c:v>21.225694444445253</c:v>
                </c:pt>
                <c:pt idx="20">
                  <c:v>22.145833333335759</c:v>
                </c:pt>
                <c:pt idx="21">
                  <c:v>23.020833333335759</c:v>
                </c:pt>
                <c:pt idx="22">
                  <c:v>23.90625</c:v>
                </c:pt>
                <c:pt idx="23">
                  <c:v>24.930555555554747</c:v>
                </c:pt>
                <c:pt idx="24">
                  <c:v>26.243055555554747</c:v>
                </c:pt>
                <c:pt idx="25">
                  <c:v>27.03125</c:v>
                </c:pt>
                <c:pt idx="26">
                  <c:v>28.145833333335759</c:v>
                </c:pt>
                <c:pt idx="27">
                  <c:v>29.201388888890506</c:v>
                </c:pt>
                <c:pt idx="28">
                  <c:v>30.041666666664241</c:v>
                </c:pt>
                <c:pt idx="29">
                  <c:v>33.152777777781012</c:v>
                </c:pt>
                <c:pt idx="30">
                  <c:v>35.194444444445253</c:v>
                </c:pt>
                <c:pt idx="31">
                  <c:v>36.274305555554747</c:v>
                </c:pt>
                <c:pt idx="32">
                  <c:v>37.902777777781012</c:v>
                </c:pt>
                <c:pt idx="33">
                  <c:v>38.902777777781012</c:v>
                </c:pt>
                <c:pt idx="34">
                  <c:v>41.1875</c:v>
                </c:pt>
                <c:pt idx="35">
                  <c:v>43.263888888890506</c:v>
                </c:pt>
                <c:pt idx="36">
                  <c:v>43.951388888890506</c:v>
                </c:pt>
                <c:pt idx="37">
                  <c:v>44.902777777781012</c:v>
                </c:pt>
                <c:pt idx="38">
                  <c:v>47.173611111109494</c:v>
                </c:pt>
                <c:pt idx="39">
                  <c:v>47.944444444445253</c:v>
                </c:pt>
                <c:pt idx="40">
                  <c:v>48.989583333335759</c:v>
                </c:pt>
                <c:pt idx="41">
                  <c:v>51.225694444445253</c:v>
                </c:pt>
                <c:pt idx="42">
                  <c:v>54.138888888890506</c:v>
                </c:pt>
                <c:pt idx="43">
                  <c:v>55.180555555554747</c:v>
                </c:pt>
                <c:pt idx="44">
                  <c:v>56.048611111109494</c:v>
                </c:pt>
                <c:pt idx="45">
                  <c:v>57.979166666664241</c:v>
                </c:pt>
                <c:pt idx="46">
                  <c:v>59.003472222218988</c:v>
                </c:pt>
                <c:pt idx="47">
                  <c:v>61.961805555554747</c:v>
                </c:pt>
                <c:pt idx="48">
                  <c:v>62.975694444445253</c:v>
                </c:pt>
                <c:pt idx="49">
                  <c:v>64.034722222218988</c:v>
                </c:pt>
                <c:pt idx="50">
                  <c:v>65.034722222218988</c:v>
                </c:pt>
                <c:pt idx="51">
                  <c:v>67.96875</c:v>
                </c:pt>
                <c:pt idx="52">
                  <c:v>69.048611111109494</c:v>
                </c:pt>
                <c:pt idx="53">
                  <c:v>70.1875</c:v>
                </c:pt>
                <c:pt idx="54">
                  <c:v>71.21875</c:v>
                </c:pt>
                <c:pt idx="55">
                  <c:v>71.951388888890506</c:v>
                </c:pt>
                <c:pt idx="56">
                  <c:v>72.899305555554747</c:v>
                </c:pt>
                <c:pt idx="57">
                  <c:v>77.201388888890506</c:v>
                </c:pt>
                <c:pt idx="58">
                  <c:v>78.201388888890506</c:v>
                </c:pt>
                <c:pt idx="59">
                  <c:v>78.972222222218988</c:v>
                </c:pt>
                <c:pt idx="60">
                  <c:v>81.979166666664241</c:v>
                </c:pt>
                <c:pt idx="61">
                  <c:v>83.197916666664241</c:v>
                </c:pt>
                <c:pt idx="62">
                  <c:v>84.215277777781012</c:v>
                </c:pt>
                <c:pt idx="63">
                  <c:v>85.267361111109494</c:v>
                </c:pt>
              </c:numCache>
            </c:numRef>
          </c:xVal>
          <c:yVal>
            <c:numRef>
              <c:f>ferment.!$M$8:$M$71</c:f>
              <c:numCache>
                <c:formatCode>0.00E+00</c:formatCode>
                <c:ptCount val="64"/>
                <c:pt idx="0">
                  <c:v>462500</c:v>
                </c:pt>
                <c:pt idx="1">
                  <c:v>850000</c:v>
                </c:pt>
                <c:pt idx="2">
                  <c:v>1753333.3333333333</c:v>
                </c:pt>
                <c:pt idx="3">
                  <c:v>2991333.333333333</c:v>
                </c:pt>
                <c:pt idx="4">
                  <c:v>3270000</c:v>
                </c:pt>
                <c:pt idx="5">
                  <c:v>2815000</c:v>
                </c:pt>
                <c:pt idx="6">
                  <c:v>2655000</c:v>
                </c:pt>
                <c:pt idx="7">
                  <c:v>2197500</c:v>
                </c:pt>
                <c:pt idx="8">
                  <c:v>2813333.3333333335</c:v>
                </c:pt>
                <c:pt idx="9">
                  <c:v>2898333.3333333335</c:v>
                </c:pt>
                <c:pt idx="10">
                  <c:v>2880000</c:v>
                </c:pt>
                <c:pt idx="11">
                  <c:v>3210000</c:v>
                </c:pt>
                <c:pt idx="12">
                  <c:v>2870000</c:v>
                </c:pt>
                <c:pt idx="13">
                  <c:v>2380000</c:v>
                </c:pt>
                <c:pt idx="14">
                  <c:v>3353333.3333333335</c:v>
                </c:pt>
                <c:pt idx="15">
                  <c:v>3673333.3333333335</c:v>
                </c:pt>
                <c:pt idx="16">
                  <c:v>4250000</c:v>
                </c:pt>
                <c:pt idx="17">
                  <c:v>5190000</c:v>
                </c:pt>
                <c:pt idx="18">
                  <c:v>6375000</c:v>
                </c:pt>
                <c:pt idx="19">
                  <c:v>7245000</c:v>
                </c:pt>
                <c:pt idx="20">
                  <c:v>6360000</c:v>
                </c:pt>
                <c:pt idx="21">
                  <c:v>6900000</c:v>
                </c:pt>
                <c:pt idx="22">
                  <c:v>6850000</c:v>
                </c:pt>
                <c:pt idx="23">
                  <c:v>7995000</c:v>
                </c:pt>
                <c:pt idx="24">
                  <c:v>7470000</c:v>
                </c:pt>
                <c:pt idx="25">
                  <c:v>8280000</c:v>
                </c:pt>
                <c:pt idx="26">
                  <c:v>8830000</c:v>
                </c:pt>
                <c:pt idx="27">
                  <c:v>8760000</c:v>
                </c:pt>
                <c:pt idx="28">
                  <c:v>8805000</c:v>
                </c:pt>
                <c:pt idx="29">
                  <c:v>8800000</c:v>
                </c:pt>
                <c:pt idx="30">
                  <c:v>9705000</c:v>
                </c:pt>
                <c:pt idx="31">
                  <c:v>9375000</c:v>
                </c:pt>
                <c:pt idx="32">
                  <c:v>7485000</c:v>
                </c:pt>
                <c:pt idx="33">
                  <c:v>6900000</c:v>
                </c:pt>
                <c:pt idx="34">
                  <c:v>5480000</c:v>
                </c:pt>
                <c:pt idx="35">
                  <c:v>5595000</c:v>
                </c:pt>
                <c:pt idx="36">
                  <c:v>5313333.333333333</c:v>
                </c:pt>
                <c:pt idx="37">
                  <c:v>5400000</c:v>
                </c:pt>
                <c:pt idx="38">
                  <c:v>5326666.666666667</c:v>
                </c:pt>
                <c:pt idx="39">
                  <c:v>5613333.333333333</c:v>
                </c:pt>
                <c:pt idx="40">
                  <c:v>5190000</c:v>
                </c:pt>
                <c:pt idx="41">
                  <c:v>5170000</c:v>
                </c:pt>
                <c:pt idx="42">
                  <c:v>6110000</c:v>
                </c:pt>
                <c:pt idx="43">
                  <c:v>5593333.333333333</c:v>
                </c:pt>
                <c:pt idx="44">
                  <c:v>6086666.666666667</c:v>
                </c:pt>
                <c:pt idx="45">
                  <c:v>6752500</c:v>
                </c:pt>
                <c:pt idx="46">
                  <c:v>7325000</c:v>
                </c:pt>
                <c:pt idx="47">
                  <c:v>7940000</c:v>
                </c:pt>
                <c:pt idx="48">
                  <c:v>9210000</c:v>
                </c:pt>
                <c:pt idx="49">
                  <c:v>7470000</c:v>
                </c:pt>
                <c:pt idx="50">
                  <c:v>9330000</c:v>
                </c:pt>
                <c:pt idx="51">
                  <c:v>10780000</c:v>
                </c:pt>
                <c:pt idx="52">
                  <c:v>10493333.333333334</c:v>
                </c:pt>
                <c:pt idx="53">
                  <c:v>8626666.666666666</c:v>
                </c:pt>
                <c:pt idx="54">
                  <c:v>9600000</c:v>
                </c:pt>
                <c:pt idx="55">
                  <c:v>9753333.333333334</c:v>
                </c:pt>
                <c:pt idx="56">
                  <c:v>9173333.333333334</c:v>
                </c:pt>
                <c:pt idx="57">
                  <c:v>10760000</c:v>
                </c:pt>
                <c:pt idx="58">
                  <c:v>10720000</c:v>
                </c:pt>
                <c:pt idx="59">
                  <c:v>10740000</c:v>
                </c:pt>
                <c:pt idx="60">
                  <c:v>10440000</c:v>
                </c:pt>
                <c:pt idx="61">
                  <c:v>10306666.666666666</c:v>
                </c:pt>
                <c:pt idx="62">
                  <c:v>9773333.333333334</c:v>
                </c:pt>
                <c:pt idx="63">
                  <c:v>11000000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4-458E-83B4-41D645366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30072"/>
        <c:axId val="390130464"/>
      </c:scatterChart>
      <c:scatterChart>
        <c:scatterStyle val="lineMarker"/>
        <c:varyColors val="0"/>
        <c:ser>
          <c:idx val="1"/>
          <c:order val="1"/>
          <c:tx>
            <c:strRef>
              <c:f>ferment.!$CK$7</c:f>
              <c:strCache>
                <c:ptCount val="1"/>
                <c:pt idx="0">
                  <c:v>Gluc (mmol/L)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AB34-458E-83B4-41D645366363}"/>
              </c:ext>
            </c:extLst>
          </c:dPt>
          <c:xVal>
            <c:numRef>
              <c:f>ferment.!$E$8:$E$70</c:f>
              <c:numCache>
                <c:formatCode>0.00</c:formatCode>
                <c:ptCount val="63"/>
                <c:pt idx="0">
                  <c:v>2.0833333335758653E-2</c:v>
                </c:pt>
                <c:pt idx="1">
                  <c:v>0.98958333333575865</c:v>
                </c:pt>
                <c:pt idx="2">
                  <c:v>1.9513888888905058</c:v>
                </c:pt>
                <c:pt idx="3">
                  <c:v>2.8993055555547471</c:v>
                </c:pt>
                <c:pt idx="4">
                  <c:v>3.8958333333357587</c:v>
                </c:pt>
                <c:pt idx="5">
                  <c:v>5.03125</c:v>
                </c:pt>
                <c:pt idx="6">
                  <c:v>6.21875</c:v>
                </c:pt>
                <c:pt idx="7">
                  <c:v>6.9652777777810115</c:v>
                </c:pt>
                <c:pt idx="8">
                  <c:v>7.9909722222218988</c:v>
                </c:pt>
                <c:pt idx="9">
                  <c:v>8.9166666666642413</c:v>
                </c:pt>
                <c:pt idx="10">
                  <c:v>9.9097222222189885</c:v>
                </c:pt>
                <c:pt idx="11">
                  <c:v>10.895833333335759</c:v>
                </c:pt>
                <c:pt idx="12">
                  <c:v>12.208333333335759</c:v>
                </c:pt>
                <c:pt idx="13">
                  <c:v>13.017361111109494</c:v>
                </c:pt>
                <c:pt idx="14">
                  <c:v>15.048611111109494</c:v>
                </c:pt>
                <c:pt idx="15">
                  <c:v>15.9375</c:v>
                </c:pt>
                <c:pt idx="16">
                  <c:v>16.899305555554747</c:v>
                </c:pt>
                <c:pt idx="17">
                  <c:v>19.0625</c:v>
                </c:pt>
                <c:pt idx="18">
                  <c:v>19.979166666664241</c:v>
                </c:pt>
                <c:pt idx="19">
                  <c:v>21.225694444445253</c:v>
                </c:pt>
                <c:pt idx="20">
                  <c:v>22.145833333335759</c:v>
                </c:pt>
                <c:pt idx="21">
                  <c:v>23.020833333335759</c:v>
                </c:pt>
                <c:pt idx="22">
                  <c:v>23.90625</c:v>
                </c:pt>
                <c:pt idx="23">
                  <c:v>24.930555555554747</c:v>
                </c:pt>
                <c:pt idx="24">
                  <c:v>26.243055555554747</c:v>
                </c:pt>
                <c:pt idx="25">
                  <c:v>27.03125</c:v>
                </c:pt>
                <c:pt idx="26">
                  <c:v>28.145833333335759</c:v>
                </c:pt>
                <c:pt idx="27">
                  <c:v>29.201388888890506</c:v>
                </c:pt>
                <c:pt idx="28">
                  <c:v>30.041666666664241</c:v>
                </c:pt>
                <c:pt idx="29">
                  <c:v>33.152777777781012</c:v>
                </c:pt>
                <c:pt idx="30">
                  <c:v>35.194444444445253</c:v>
                </c:pt>
                <c:pt idx="31">
                  <c:v>36.274305555554747</c:v>
                </c:pt>
                <c:pt idx="32">
                  <c:v>37.902777777781012</c:v>
                </c:pt>
                <c:pt idx="33">
                  <c:v>38.902777777781012</c:v>
                </c:pt>
                <c:pt idx="34">
                  <c:v>41.1875</c:v>
                </c:pt>
                <c:pt idx="35">
                  <c:v>43.263888888890506</c:v>
                </c:pt>
                <c:pt idx="36">
                  <c:v>43.951388888890506</c:v>
                </c:pt>
                <c:pt idx="37">
                  <c:v>44.902777777781012</c:v>
                </c:pt>
                <c:pt idx="38">
                  <c:v>47.173611111109494</c:v>
                </c:pt>
                <c:pt idx="39">
                  <c:v>47.944444444445253</c:v>
                </c:pt>
                <c:pt idx="40">
                  <c:v>48.989583333335759</c:v>
                </c:pt>
                <c:pt idx="41">
                  <c:v>51.225694444445253</c:v>
                </c:pt>
                <c:pt idx="42">
                  <c:v>54.138888888890506</c:v>
                </c:pt>
                <c:pt idx="43">
                  <c:v>55.180555555554747</c:v>
                </c:pt>
                <c:pt idx="44">
                  <c:v>56.048611111109494</c:v>
                </c:pt>
                <c:pt idx="45">
                  <c:v>57.979166666664241</c:v>
                </c:pt>
                <c:pt idx="46">
                  <c:v>59.003472222218988</c:v>
                </c:pt>
                <c:pt idx="47">
                  <c:v>61.961805555554747</c:v>
                </c:pt>
                <c:pt idx="48">
                  <c:v>62.975694444445253</c:v>
                </c:pt>
                <c:pt idx="49">
                  <c:v>64.034722222218988</c:v>
                </c:pt>
                <c:pt idx="50">
                  <c:v>65.034722222218988</c:v>
                </c:pt>
                <c:pt idx="51">
                  <c:v>67.96875</c:v>
                </c:pt>
                <c:pt idx="52">
                  <c:v>69.048611111109494</c:v>
                </c:pt>
                <c:pt idx="53">
                  <c:v>70.1875</c:v>
                </c:pt>
                <c:pt idx="54">
                  <c:v>71.21875</c:v>
                </c:pt>
                <c:pt idx="55">
                  <c:v>71.951388888890506</c:v>
                </c:pt>
                <c:pt idx="56">
                  <c:v>72.899305555554747</c:v>
                </c:pt>
                <c:pt idx="57">
                  <c:v>77.201388888890506</c:v>
                </c:pt>
                <c:pt idx="58">
                  <c:v>78.201388888890506</c:v>
                </c:pt>
                <c:pt idx="59">
                  <c:v>78.972222222218988</c:v>
                </c:pt>
                <c:pt idx="60">
                  <c:v>81.979166666664241</c:v>
                </c:pt>
                <c:pt idx="61">
                  <c:v>83.197916666664241</c:v>
                </c:pt>
                <c:pt idx="62">
                  <c:v>84.215277777781012</c:v>
                </c:pt>
              </c:numCache>
            </c:numRef>
          </c:xVal>
          <c:yVal>
            <c:numRef>
              <c:f>ferment.!$CK$8:$CK$70</c:f>
              <c:numCache>
                <c:formatCode>0.00</c:formatCode>
                <c:ptCount val="63"/>
                <c:pt idx="0">
                  <c:v>20.652556288799097</c:v>
                </c:pt>
                <c:pt idx="1">
                  <c:v>17.810778340981585</c:v>
                </c:pt>
                <c:pt idx="2">
                  <c:v>16.273279905897855</c:v>
                </c:pt>
                <c:pt idx="3">
                  <c:v>18.342880549639567</c:v>
                </c:pt>
                <c:pt idx="4">
                  <c:v>12.978615282700952</c:v>
                </c:pt>
                <c:pt idx="5">
                  <c:v>13.790774335766169</c:v>
                </c:pt>
                <c:pt idx="6">
                  <c:v>12.476162353956546</c:v>
                </c:pt>
                <c:pt idx="7">
                  <c:v>14.038070953479084</c:v>
                </c:pt>
                <c:pt idx="8">
                  <c:v>14.55940733673896</c:v>
                </c:pt>
                <c:pt idx="9">
                  <c:v>12.748949485485507</c:v>
                </c:pt>
                <c:pt idx="10">
                  <c:v>10.938491634232056</c:v>
                </c:pt>
                <c:pt idx="11">
                  <c:v>10.312705873988726</c:v>
                </c:pt>
                <c:pt idx="12">
                  <c:v>9.2053544685717252</c:v>
                </c:pt>
                <c:pt idx="13">
                  <c:v>1.9914164758410779</c:v>
                </c:pt>
                <c:pt idx="14">
                  <c:v>0.67161581715217067</c:v>
                </c:pt>
                <c:pt idx="15">
                  <c:v>0.46177550495447856</c:v>
                </c:pt>
                <c:pt idx="16">
                  <c:v>0.45098787950424213</c:v>
                </c:pt>
                <c:pt idx="17">
                  <c:v>0.44557999308862317</c:v>
                </c:pt>
                <c:pt idx="18">
                  <c:v>0.43779242507250293</c:v>
                </c:pt>
                <c:pt idx="19">
                  <c:v>0.15764067298597095</c:v>
                </c:pt>
                <c:pt idx="20">
                  <c:v>0.11918111169207667</c:v>
                </c:pt>
                <c:pt idx="21">
                  <c:v>0.38696970284496329</c:v>
                </c:pt>
                <c:pt idx="22">
                  <c:v>5.4208852162008627</c:v>
                </c:pt>
                <c:pt idx="23">
                  <c:v>0.21247622941960481</c:v>
                </c:pt>
                <c:pt idx="25">
                  <c:v>0.1902286150395332</c:v>
                </c:pt>
                <c:pt idx="26">
                  <c:v>0.20483143852134267</c:v>
                </c:pt>
                <c:pt idx="27">
                  <c:v>0.21333685920729742</c:v>
                </c:pt>
                <c:pt idx="28">
                  <c:v>0.23687260353080783</c:v>
                </c:pt>
                <c:pt idx="29">
                  <c:v>0.22639705508335203</c:v>
                </c:pt>
                <c:pt idx="30">
                  <c:v>0.14778716276778647</c:v>
                </c:pt>
                <c:pt idx="31">
                  <c:v>0.37076376322453558</c:v>
                </c:pt>
                <c:pt idx="32">
                  <c:v>0.18360374165822801</c:v>
                </c:pt>
                <c:pt idx="33">
                  <c:v>0.22541208565690019</c:v>
                </c:pt>
                <c:pt idx="34">
                  <c:v>0.29005492637495311</c:v>
                </c:pt>
                <c:pt idx="35">
                  <c:v>0.3546977670930061</c:v>
                </c:pt>
                <c:pt idx="36">
                  <c:v>0.21665647442464839</c:v>
                </c:pt>
                <c:pt idx="37">
                  <c:v>0.63256807004964566</c:v>
                </c:pt>
                <c:pt idx="38">
                  <c:v>0.17240172630889972</c:v>
                </c:pt>
                <c:pt idx="39">
                  <c:v>0.56873562832325664</c:v>
                </c:pt>
                <c:pt idx="40">
                  <c:v>0.48509396660934595</c:v>
                </c:pt>
                <c:pt idx="41">
                  <c:v>0.44108211716803758</c:v>
                </c:pt>
                <c:pt idx="42">
                  <c:v>6.3784913456753651</c:v>
                </c:pt>
                <c:pt idx="43">
                  <c:v>0.73298836668763412</c:v>
                </c:pt>
                <c:pt idx="44">
                  <c:v>0.49455054208283139</c:v>
                </c:pt>
                <c:pt idx="45">
                  <c:v>0.25964674395334331</c:v>
                </c:pt>
                <c:pt idx="46">
                  <c:v>0.25254886233519636</c:v>
                </c:pt>
                <c:pt idx="47">
                  <c:v>0.24545098071704946</c:v>
                </c:pt>
                <c:pt idx="48">
                  <c:v>0.38638582415235156</c:v>
                </c:pt>
                <c:pt idx="49">
                  <c:v>0.40154660806721981</c:v>
                </c:pt>
                <c:pt idx="50">
                  <c:v>0.22309168357423942</c:v>
                </c:pt>
                <c:pt idx="51">
                  <c:v>0.12621837254134202</c:v>
                </c:pt>
                <c:pt idx="52">
                  <c:v>0.14587495438222522</c:v>
                </c:pt>
                <c:pt idx="53">
                  <c:v>3.3292495558145077E-2</c:v>
                </c:pt>
                <c:pt idx="54">
                  <c:v>0.17523660206551506</c:v>
                </c:pt>
                <c:pt idx="55">
                  <c:v>0.16853280267224754</c:v>
                </c:pt>
                <c:pt idx="56">
                  <c:v>0.22926695449391143</c:v>
                </c:pt>
                <c:pt idx="57">
                  <c:v>0.13345017146413257</c:v>
                </c:pt>
                <c:pt idx="58">
                  <c:v>7.6313330497887175E-2</c:v>
                </c:pt>
                <c:pt idx="59">
                  <c:v>0.15830464892384841</c:v>
                </c:pt>
                <c:pt idx="60">
                  <c:v>0.36070404038151127</c:v>
                </c:pt>
                <c:pt idx="61">
                  <c:v>0.19844413659203322</c:v>
                </c:pt>
                <c:pt idx="62">
                  <c:v>0.12396986907082309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34-458E-83B4-41D645366363}"/>
            </c:ext>
          </c:extLst>
        </c:ser>
        <c:ser>
          <c:idx val="0"/>
          <c:order val="2"/>
          <c:tx>
            <c:strRef>
              <c:f>ferment.!$CW$7</c:f>
              <c:strCache>
                <c:ptCount val="1"/>
                <c:pt idx="0">
                  <c:v>Lact (mmol/L)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ferment.!$E$8:$E$70</c:f>
              <c:numCache>
                <c:formatCode>0.00</c:formatCode>
                <c:ptCount val="63"/>
                <c:pt idx="0">
                  <c:v>2.0833333335758653E-2</c:v>
                </c:pt>
                <c:pt idx="1">
                  <c:v>0.98958333333575865</c:v>
                </c:pt>
                <c:pt idx="2">
                  <c:v>1.9513888888905058</c:v>
                </c:pt>
                <c:pt idx="3">
                  <c:v>2.8993055555547471</c:v>
                </c:pt>
                <c:pt idx="4">
                  <c:v>3.8958333333357587</c:v>
                </c:pt>
                <c:pt idx="5">
                  <c:v>5.03125</c:v>
                </c:pt>
                <c:pt idx="6">
                  <c:v>6.21875</c:v>
                </c:pt>
                <c:pt idx="7">
                  <c:v>6.9652777777810115</c:v>
                </c:pt>
                <c:pt idx="8">
                  <c:v>7.9909722222218988</c:v>
                </c:pt>
                <c:pt idx="9">
                  <c:v>8.9166666666642413</c:v>
                </c:pt>
                <c:pt idx="10">
                  <c:v>9.9097222222189885</c:v>
                </c:pt>
                <c:pt idx="11">
                  <c:v>10.895833333335759</c:v>
                </c:pt>
                <c:pt idx="12">
                  <c:v>12.208333333335759</c:v>
                </c:pt>
                <c:pt idx="13">
                  <c:v>13.017361111109494</c:v>
                </c:pt>
                <c:pt idx="14">
                  <c:v>15.048611111109494</c:v>
                </c:pt>
                <c:pt idx="15">
                  <c:v>15.9375</c:v>
                </c:pt>
                <c:pt idx="16">
                  <c:v>16.899305555554747</c:v>
                </c:pt>
                <c:pt idx="17">
                  <c:v>19.0625</c:v>
                </c:pt>
                <c:pt idx="18">
                  <c:v>19.979166666664241</c:v>
                </c:pt>
                <c:pt idx="19">
                  <c:v>21.225694444445253</c:v>
                </c:pt>
                <c:pt idx="20">
                  <c:v>22.145833333335759</c:v>
                </c:pt>
                <c:pt idx="21">
                  <c:v>23.020833333335759</c:v>
                </c:pt>
                <c:pt idx="22">
                  <c:v>23.90625</c:v>
                </c:pt>
                <c:pt idx="23">
                  <c:v>24.930555555554747</c:v>
                </c:pt>
                <c:pt idx="24">
                  <c:v>26.243055555554747</c:v>
                </c:pt>
                <c:pt idx="25">
                  <c:v>27.03125</c:v>
                </c:pt>
                <c:pt idx="26">
                  <c:v>28.145833333335759</c:v>
                </c:pt>
                <c:pt idx="27">
                  <c:v>29.201388888890506</c:v>
                </c:pt>
                <c:pt idx="28">
                  <c:v>30.041666666664241</c:v>
                </c:pt>
                <c:pt idx="29">
                  <c:v>33.152777777781012</c:v>
                </c:pt>
                <c:pt idx="30">
                  <c:v>35.194444444445253</c:v>
                </c:pt>
                <c:pt idx="31">
                  <c:v>36.274305555554747</c:v>
                </c:pt>
                <c:pt idx="32">
                  <c:v>37.902777777781012</c:v>
                </c:pt>
                <c:pt idx="33">
                  <c:v>38.902777777781012</c:v>
                </c:pt>
                <c:pt idx="34">
                  <c:v>41.1875</c:v>
                </c:pt>
                <c:pt idx="35">
                  <c:v>43.263888888890506</c:v>
                </c:pt>
                <c:pt idx="36">
                  <c:v>43.951388888890506</c:v>
                </c:pt>
                <c:pt idx="37">
                  <c:v>44.902777777781012</c:v>
                </c:pt>
                <c:pt idx="38">
                  <c:v>47.173611111109494</c:v>
                </c:pt>
                <c:pt idx="39">
                  <c:v>47.944444444445253</c:v>
                </c:pt>
                <c:pt idx="40">
                  <c:v>48.989583333335759</c:v>
                </c:pt>
                <c:pt idx="41">
                  <c:v>51.225694444445253</c:v>
                </c:pt>
                <c:pt idx="42">
                  <c:v>54.138888888890506</c:v>
                </c:pt>
                <c:pt idx="43">
                  <c:v>55.180555555554747</c:v>
                </c:pt>
                <c:pt idx="44">
                  <c:v>56.048611111109494</c:v>
                </c:pt>
                <c:pt idx="45">
                  <c:v>57.979166666664241</c:v>
                </c:pt>
                <c:pt idx="46">
                  <c:v>59.003472222218988</c:v>
                </c:pt>
                <c:pt idx="47">
                  <c:v>61.961805555554747</c:v>
                </c:pt>
                <c:pt idx="48">
                  <c:v>62.975694444445253</c:v>
                </c:pt>
                <c:pt idx="49">
                  <c:v>64.034722222218988</c:v>
                </c:pt>
                <c:pt idx="50">
                  <c:v>65.034722222218988</c:v>
                </c:pt>
                <c:pt idx="51">
                  <c:v>67.96875</c:v>
                </c:pt>
                <c:pt idx="52">
                  <c:v>69.048611111109494</c:v>
                </c:pt>
                <c:pt idx="53">
                  <c:v>70.1875</c:v>
                </c:pt>
                <c:pt idx="54">
                  <c:v>71.21875</c:v>
                </c:pt>
                <c:pt idx="55">
                  <c:v>71.951388888890506</c:v>
                </c:pt>
                <c:pt idx="56">
                  <c:v>72.899305555554747</c:v>
                </c:pt>
                <c:pt idx="57">
                  <c:v>77.201388888890506</c:v>
                </c:pt>
                <c:pt idx="58">
                  <c:v>78.201388888890506</c:v>
                </c:pt>
                <c:pt idx="59">
                  <c:v>78.972222222218988</c:v>
                </c:pt>
                <c:pt idx="60">
                  <c:v>81.979166666664241</c:v>
                </c:pt>
                <c:pt idx="61">
                  <c:v>83.197916666664241</c:v>
                </c:pt>
                <c:pt idx="62">
                  <c:v>84.215277777781012</c:v>
                </c:pt>
              </c:numCache>
            </c:numRef>
          </c:xVal>
          <c:yVal>
            <c:numRef>
              <c:f>ferment.!$CW$8:$CW$70</c:f>
              <c:numCache>
                <c:formatCode>0.00</c:formatCode>
                <c:ptCount val="63"/>
                <c:pt idx="0">
                  <c:v>4.5998230700885614</c:v>
                </c:pt>
                <c:pt idx="1">
                  <c:v>6.8887208576590222</c:v>
                </c:pt>
                <c:pt idx="2">
                  <c:v>10.697823140796372</c:v>
                </c:pt>
                <c:pt idx="3">
                  <c:v>14.053780602914999</c:v>
                </c:pt>
                <c:pt idx="4">
                  <c:v>12.15644775097746</c:v>
                </c:pt>
                <c:pt idx="5">
                  <c:v>17.670632881948503</c:v>
                </c:pt>
                <c:pt idx="6">
                  <c:v>20.682979622285877</c:v>
                </c:pt>
                <c:pt idx="7">
                  <c:v>22.997277897618197</c:v>
                </c:pt>
                <c:pt idx="8">
                  <c:v>28.668590615796813</c:v>
                </c:pt>
                <c:pt idx="9">
                  <c:v>28.614002429950453</c:v>
                </c:pt>
                <c:pt idx="10">
                  <c:v>28.559414244104097</c:v>
                </c:pt>
                <c:pt idx="11">
                  <c:v>33.681978788049697</c:v>
                </c:pt>
                <c:pt idx="12">
                  <c:v>33.232094666687729</c:v>
                </c:pt>
                <c:pt idx="13">
                  <c:v>40.232171626180254</c:v>
                </c:pt>
                <c:pt idx="14">
                  <c:v>40.241545057287134</c:v>
                </c:pt>
                <c:pt idx="15">
                  <c:v>39.644335355639242</c:v>
                </c:pt>
                <c:pt idx="16">
                  <c:v>39.536837570984012</c:v>
                </c:pt>
                <c:pt idx="17">
                  <c:v>31.176056735963389</c:v>
                </c:pt>
                <c:pt idx="18">
                  <c:v>35.087924125918661</c:v>
                </c:pt>
                <c:pt idx="19">
                  <c:v>34.926256962558384</c:v>
                </c:pt>
                <c:pt idx="20">
                  <c:v>33.687139620845841</c:v>
                </c:pt>
                <c:pt idx="21">
                  <c:v>23.762137336526806</c:v>
                </c:pt>
                <c:pt idx="22">
                  <c:v>16.706583819795107</c:v>
                </c:pt>
                <c:pt idx="23">
                  <c:v>32.867220295105632</c:v>
                </c:pt>
                <c:pt idx="24">
                  <c:v>26.487727371703564</c:v>
                </c:pt>
                <c:pt idx="25">
                  <c:v>30.739340357189672</c:v>
                </c:pt>
                <c:pt idx="26">
                  <c:v>27.983514245621681</c:v>
                </c:pt>
                <c:pt idx="27">
                  <c:v>28.400035829322256</c:v>
                </c:pt>
                <c:pt idx="28">
                  <c:v>20.668570672948576</c:v>
                </c:pt>
                <c:pt idx="29">
                  <c:v>26.64082471684889</c:v>
                </c:pt>
                <c:pt idx="30">
                  <c:v>27.586563578899909</c:v>
                </c:pt>
                <c:pt idx="31">
                  <c:v>27.67525439431985</c:v>
                </c:pt>
                <c:pt idx="32">
                  <c:v>27.559954805373408</c:v>
                </c:pt>
                <c:pt idx="33">
                  <c:v>25.176409047343519</c:v>
                </c:pt>
                <c:pt idx="34">
                  <c:v>26.892273787672529</c:v>
                </c:pt>
                <c:pt idx="35">
                  <c:v>28.60813852800154</c:v>
                </c:pt>
                <c:pt idx="36">
                  <c:v>36.036465463453254</c:v>
                </c:pt>
                <c:pt idx="37">
                  <c:v>23.766834287673472</c:v>
                </c:pt>
                <c:pt idx="38">
                  <c:v>31.618744851073767</c:v>
                </c:pt>
                <c:pt idx="39">
                  <c:v>30.820436954984896</c:v>
                </c:pt>
                <c:pt idx="40">
                  <c:v>33.192057781034521</c:v>
                </c:pt>
                <c:pt idx="41">
                  <c:v>34.812446445662417</c:v>
                </c:pt>
                <c:pt idx="42">
                  <c:v>30.467358222577158</c:v>
                </c:pt>
                <c:pt idx="43">
                  <c:v>36.709115919768237</c:v>
                </c:pt>
                <c:pt idx="44">
                  <c:v>35.36283210752422</c:v>
                </c:pt>
                <c:pt idx="45">
                  <c:v>35.917033820903079</c:v>
                </c:pt>
                <c:pt idx="46">
                  <c:v>31.914933266466118</c:v>
                </c:pt>
                <c:pt idx="47">
                  <c:v>27.912832712029157</c:v>
                </c:pt>
                <c:pt idx="48">
                  <c:v>30.790492242810757</c:v>
                </c:pt>
                <c:pt idx="49">
                  <c:v>30.135076726903751</c:v>
                </c:pt>
                <c:pt idx="50">
                  <c:v>30.498882578767841</c:v>
                </c:pt>
                <c:pt idx="51">
                  <c:v>27.022098397395002</c:v>
                </c:pt>
                <c:pt idx="52">
                  <c:v>25.820645712527732</c:v>
                </c:pt>
                <c:pt idx="53">
                  <c:v>28.500880547476836</c:v>
                </c:pt>
                <c:pt idx="54">
                  <c:v>26.618256727721121</c:v>
                </c:pt>
                <c:pt idx="55">
                  <c:v>26.351361596048406</c:v>
                </c:pt>
                <c:pt idx="56">
                  <c:v>25.066195359992491</c:v>
                </c:pt>
                <c:pt idx="57">
                  <c:v>23.421565837396152</c:v>
                </c:pt>
                <c:pt idx="58">
                  <c:v>23.856694626142012</c:v>
                </c:pt>
                <c:pt idx="59">
                  <c:v>21.602312169734674</c:v>
                </c:pt>
                <c:pt idx="60">
                  <c:v>23.979737210520724</c:v>
                </c:pt>
                <c:pt idx="61">
                  <c:v>20.987333733692665</c:v>
                </c:pt>
                <c:pt idx="62">
                  <c:v>23.9113267956212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3E-49EE-9FC8-EFE111A3E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31248"/>
        <c:axId val="390130856"/>
      </c:scatterChart>
      <c:valAx>
        <c:axId val="3901300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Culture time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0130464"/>
        <c:crosses val="autoZero"/>
        <c:crossBetween val="midCat"/>
        <c:minorUnit val="2"/>
      </c:valAx>
      <c:valAx>
        <c:axId val="390130464"/>
        <c:scaling>
          <c:orientation val="minMax"/>
          <c:max val="13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Viable cell density (cel/mL)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0130072"/>
        <c:crosses val="autoZero"/>
        <c:crossBetween val="midCat"/>
      </c:valAx>
      <c:valAx>
        <c:axId val="3901308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C(metabolitos)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0131248"/>
        <c:crosses val="max"/>
        <c:crossBetween val="midCat"/>
      </c:valAx>
      <c:valAx>
        <c:axId val="39013124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0130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5601076483401"/>
          <c:y val="6.5639189664065012E-2"/>
          <c:w val="0.77048471288960729"/>
          <c:h val="0.75842894603535049"/>
        </c:manualLayout>
      </c:layout>
      <c:scatterChart>
        <c:scatterStyle val="lineMarker"/>
        <c:varyColors val="0"/>
        <c:ser>
          <c:idx val="2"/>
          <c:order val="0"/>
          <c:tx>
            <c:strRef>
              <c:f>ferment.!$J$6</c:f>
              <c:strCache>
                <c:ptCount val="1"/>
                <c:pt idx="0">
                  <c:v>Xv(Promedio) </c:v>
                </c:pt>
              </c:strCache>
            </c:strRef>
          </c:tx>
          <c:spPr>
            <a:ln w="38100">
              <a:solidFill>
                <a:srgbClr val="0070C0"/>
              </a:solidFill>
            </a:ln>
          </c:spPr>
          <c:marker>
            <c:symbol val="diamond"/>
            <c:size val="9"/>
            <c:spPr>
              <a:solidFill>
                <a:schemeClr val="accent1"/>
              </a:solidFill>
              <a:ln>
                <a:solidFill>
                  <a:srgbClr val="0070C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ferment.!$K$8:$K$71</c:f>
                <c:numCache>
                  <c:formatCode>General</c:formatCode>
                  <c:ptCount val="64"/>
                  <c:pt idx="0">
                    <c:v>17677.66952966369</c:v>
                  </c:pt>
                  <c:pt idx="1">
                    <c:v>96436.507609929555</c:v>
                  </c:pt>
                  <c:pt idx="2">
                    <c:v>180092.568789868</c:v>
                  </c:pt>
                  <c:pt idx="3">
                    <c:v>159478.31618540914</c:v>
                  </c:pt>
                  <c:pt idx="4">
                    <c:v>296984.84809834993</c:v>
                  </c:pt>
                  <c:pt idx="5">
                    <c:v>63639.610306789276</c:v>
                  </c:pt>
                  <c:pt idx="6">
                    <c:v>35355.33905932738</c:v>
                  </c:pt>
                  <c:pt idx="7">
                    <c:v>222738.63607376246</c:v>
                  </c:pt>
                  <c:pt idx="8">
                    <c:v>533041.58687041851</c:v>
                  </c:pt>
                  <c:pt idx="9">
                    <c:v>414014.89506216318</c:v>
                  </c:pt>
                  <c:pt idx="10">
                    <c:v>383014.36004411115</c:v>
                  </c:pt>
                  <c:pt idx="11">
                    <c:v>21213.203435596424</c:v>
                  </c:pt>
                  <c:pt idx="12">
                    <c:v>150249.7920131672</c:v>
                  </c:pt>
                  <c:pt idx="13">
                    <c:v>424264.0687119285</c:v>
                  </c:pt>
                  <c:pt idx="14">
                    <c:v>391066.91669499909</c:v>
                  </c:pt>
                  <c:pt idx="15">
                    <c:v>360185.13757973595</c:v>
                  </c:pt>
                  <c:pt idx="16">
                    <c:v>14142.13562373095</c:v>
                  </c:pt>
                  <c:pt idx="17">
                    <c:v>750000</c:v>
                  </c:pt>
                  <c:pt idx="18">
                    <c:v>21213.203435596424</c:v>
                  </c:pt>
                  <c:pt idx="19">
                    <c:v>275771.64466275356</c:v>
                  </c:pt>
                  <c:pt idx="20">
                    <c:v>593969.69619669986</c:v>
                  </c:pt>
                  <c:pt idx="21">
                    <c:v>254558.44122715711</c:v>
                  </c:pt>
                  <c:pt idx="22">
                    <c:v>645058.13691480551</c:v>
                  </c:pt>
                  <c:pt idx="23">
                    <c:v>106066.01717798212</c:v>
                  </c:pt>
                  <c:pt idx="24">
                    <c:v>169705.62748477139</c:v>
                  </c:pt>
                  <c:pt idx="25">
                    <c:v>1304568.894309534</c:v>
                  </c:pt>
                  <c:pt idx="26">
                    <c:v>283548.93757515651</c:v>
                  </c:pt>
                  <c:pt idx="27">
                    <c:v>1110000</c:v>
                  </c:pt>
                  <c:pt idx="28">
                    <c:v>275771.64466275356</c:v>
                  </c:pt>
                  <c:pt idx="29">
                    <c:v>969484.39904930908</c:v>
                  </c:pt>
                  <c:pt idx="30">
                    <c:v>360624.45840513922</c:v>
                  </c:pt>
                  <c:pt idx="31">
                    <c:v>63639.610306789276</c:v>
                  </c:pt>
                  <c:pt idx="32">
                    <c:v>487903.67901871778</c:v>
                  </c:pt>
                  <c:pt idx="33">
                    <c:v>42426.406871192848</c:v>
                  </c:pt>
                  <c:pt idx="34">
                    <c:v>197989.8987322333</c:v>
                  </c:pt>
                  <c:pt idx="35">
                    <c:v>63639.610306789276</c:v>
                  </c:pt>
                  <c:pt idx="36">
                    <c:v>659191.42389243504</c:v>
                  </c:pt>
                  <c:pt idx="37">
                    <c:v>572363.52085016738</c:v>
                  </c:pt>
                  <c:pt idx="38">
                    <c:v>594754.85145842505</c:v>
                  </c:pt>
                  <c:pt idx="39">
                    <c:v>784941.6114166301</c:v>
                  </c:pt>
                  <c:pt idx="40">
                    <c:v>381837.66184073564</c:v>
                  </c:pt>
                  <c:pt idx="41">
                    <c:v>42426.406871192848</c:v>
                  </c:pt>
                  <c:pt idx="42">
                    <c:v>353553.39059327374</c:v>
                  </c:pt>
                  <c:pt idx="43">
                    <c:v>445570.79497351858</c:v>
                  </c:pt>
                  <c:pt idx="44">
                    <c:v>530785.58131634782</c:v>
                  </c:pt>
                  <c:pt idx="45">
                    <c:v>385373.19574666838</c:v>
                  </c:pt>
                  <c:pt idx="46">
                    <c:v>0</c:v>
                  </c:pt>
                  <c:pt idx="47">
                    <c:v>278747.19729532709</c:v>
                  </c:pt>
                  <c:pt idx="48">
                    <c:v>84852.813742385697</c:v>
                  </c:pt>
                  <c:pt idx="49">
                    <c:v>551543.28932550712</c:v>
                  </c:pt>
                  <c:pt idx="50">
                    <c:v>763675.32368147129</c:v>
                  </c:pt>
                  <c:pt idx="51">
                    <c:v>480312.39834091312</c:v>
                  </c:pt>
                  <c:pt idx="52">
                    <c:v>543077.64945110132</c:v>
                  </c:pt>
                  <c:pt idx="53">
                    <c:v>344867.1241700683</c:v>
                  </c:pt>
                  <c:pt idx="54">
                    <c:v>169705.62748477139</c:v>
                  </c:pt>
                  <c:pt idx="55">
                    <c:v>457966.51988254918</c:v>
                  </c:pt>
                  <c:pt idx="56">
                    <c:v>310698.13860616117</c:v>
                  </c:pt>
                  <c:pt idx="57">
                    <c:v>520000</c:v>
                  </c:pt>
                  <c:pt idx="58">
                    <c:v>169705.62748477139</c:v>
                  </c:pt>
                  <c:pt idx="59">
                    <c:v>28284.2712474619</c:v>
                  </c:pt>
                  <c:pt idx="60">
                    <c:v>56568.5424949238</c:v>
                  </c:pt>
                  <c:pt idx="61">
                    <c:v>861935.80580767919</c:v>
                  </c:pt>
                  <c:pt idx="62">
                    <c:v>1405323.2131197946</c:v>
                  </c:pt>
                  <c:pt idx="63">
                    <c:v>937229.96110879851</c:v>
                  </c:pt>
                </c:numCache>
              </c:numRef>
            </c:plus>
            <c:minus>
              <c:numRef>
                <c:f>ferment.!$K$8:$K$71</c:f>
                <c:numCache>
                  <c:formatCode>General</c:formatCode>
                  <c:ptCount val="64"/>
                  <c:pt idx="0">
                    <c:v>17677.66952966369</c:v>
                  </c:pt>
                  <c:pt idx="1">
                    <c:v>96436.507609929555</c:v>
                  </c:pt>
                  <c:pt idx="2">
                    <c:v>180092.568789868</c:v>
                  </c:pt>
                  <c:pt idx="3">
                    <c:v>159478.31618540914</c:v>
                  </c:pt>
                  <c:pt idx="4">
                    <c:v>296984.84809834993</c:v>
                  </c:pt>
                  <c:pt idx="5">
                    <c:v>63639.610306789276</c:v>
                  </c:pt>
                  <c:pt idx="6">
                    <c:v>35355.33905932738</c:v>
                  </c:pt>
                  <c:pt idx="7">
                    <c:v>222738.63607376246</c:v>
                  </c:pt>
                  <c:pt idx="8">
                    <c:v>533041.58687041851</c:v>
                  </c:pt>
                  <c:pt idx="9">
                    <c:v>414014.89506216318</c:v>
                  </c:pt>
                  <c:pt idx="10">
                    <c:v>383014.36004411115</c:v>
                  </c:pt>
                  <c:pt idx="11">
                    <c:v>21213.203435596424</c:v>
                  </c:pt>
                  <c:pt idx="12">
                    <c:v>150249.7920131672</c:v>
                  </c:pt>
                  <c:pt idx="13">
                    <c:v>424264.0687119285</c:v>
                  </c:pt>
                  <c:pt idx="14">
                    <c:v>391066.91669499909</c:v>
                  </c:pt>
                  <c:pt idx="15">
                    <c:v>360185.13757973595</c:v>
                  </c:pt>
                  <c:pt idx="16">
                    <c:v>14142.13562373095</c:v>
                  </c:pt>
                  <c:pt idx="17">
                    <c:v>750000</c:v>
                  </c:pt>
                  <c:pt idx="18">
                    <c:v>21213.203435596424</c:v>
                  </c:pt>
                  <c:pt idx="19">
                    <c:v>275771.64466275356</c:v>
                  </c:pt>
                  <c:pt idx="20">
                    <c:v>593969.69619669986</c:v>
                  </c:pt>
                  <c:pt idx="21">
                    <c:v>254558.44122715711</c:v>
                  </c:pt>
                  <c:pt idx="22">
                    <c:v>645058.13691480551</c:v>
                  </c:pt>
                  <c:pt idx="23">
                    <c:v>106066.01717798212</c:v>
                  </c:pt>
                  <c:pt idx="24">
                    <c:v>169705.62748477139</c:v>
                  </c:pt>
                  <c:pt idx="25">
                    <c:v>1304568.894309534</c:v>
                  </c:pt>
                  <c:pt idx="26">
                    <c:v>283548.93757515651</c:v>
                  </c:pt>
                  <c:pt idx="27">
                    <c:v>1110000</c:v>
                  </c:pt>
                  <c:pt idx="28">
                    <c:v>275771.64466275356</c:v>
                  </c:pt>
                  <c:pt idx="29">
                    <c:v>969484.39904930908</c:v>
                  </c:pt>
                  <c:pt idx="30">
                    <c:v>360624.45840513922</c:v>
                  </c:pt>
                  <c:pt idx="31">
                    <c:v>63639.610306789276</c:v>
                  </c:pt>
                  <c:pt idx="32">
                    <c:v>487903.67901871778</c:v>
                  </c:pt>
                  <c:pt idx="33">
                    <c:v>42426.406871192848</c:v>
                  </c:pt>
                  <c:pt idx="34">
                    <c:v>197989.8987322333</c:v>
                  </c:pt>
                  <c:pt idx="35">
                    <c:v>63639.610306789276</c:v>
                  </c:pt>
                  <c:pt idx="36">
                    <c:v>659191.42389243504</c:v>
                  </c:pt>
                  <c:pt idx="37">
                    <c:v>572363.52085016738</c:v>
                  </c:pt>
                  <c:pt idx="38">
                    <c:v>594754.85145842505</c:v>
                  </c:pt>
                  <c:pt idx="39">
                    <c:v>784941.6114166301</c:v>
                  </c:pt>
                  <c:pt idx="40">
                    <c:v>381837.66184073564</c:v>
                  </c:pt>
                  <c:pt idx="41">
                    <c:v>42426.406871192848</c:v>
                  </c:pt>
                  <c:pt idx="42">
                    <c:v>353553.39059327374</c:v>
                  </c:pt>
                  <c:pt idx="43">
                    <c:v>445570.79497351858</c:v>
                  </c:pt>
                  <c:pt idx="44">
                    <c:v>530785.58131634782</c:v>
                  </c:pt>
                  <c:pt idx="45">
                    <c:v>385373.19574666838</c:v>
                  </c:pt>
                  <c:pt idx="46">
                    <c:v>0</c:v>
                  </c:pt>
                  <c:pt idx="47">
                    <c:v>278747.19729532709</c:v>
                  </c:pt>
                  <c:pt idx="48">
                    <c:v>84852.813742385697</c:v>
                  </c:pt>
                  <c:pt idx="49">
                    <c:v>551543.28932550712</c:v>
                  </c:pt>
                  <c:pt idx="50">
                    <c:v>763675.32368147129</c:v>
                  </c:pt>
                  <c:pt idx="51">
                    <c:v>480312.39834091312</c:v>
                  </c:pt>
                  <c:pt idx="52">
                    <c:v>543077.64945110132</c:v>
                  </c:pt>
                  <c:pt idx="53">
                    <c:v>344867.1241700683</c:v>
                  </c:pt>
                  <c:pt idx="54">
                    <c:v>169705.62748477139</c:v>
                  </c:pt>
                  <c:pt idx="55">
                    <c:v>457966.51988254918</c:v>
                  </c:pt>
                  <c:pt idx="56">
                    <c:v>310698.13860616117</c:v>
                  </c:pt>
                  <c:pt idx="57">
                    <c:v>520000</c:v>
                  </c:pt>
                  <c:pt idx="58">
                    <c:v>169705.62748477139</c:v>
                  </c:pt>
                  <c:pt idx="59">
                    <c:v>28284.2712474619</c:v>
                  </c:pt>
                  <c:pt idx="60">
                    <c:v>56568.5424949238</c:v>
                  </c:pt>
                  <c:pt idx="61">
                    <c:v>861935.80580767919</c:v>
                  </c:pt>
                  <c:pt idx="62">
                    <c:v>1405323.2131197946</c:v>
                  </c:pt>
                  <c:pt idx="63">
                    <c:v>937229.96110879851</c:v>
                  </c:pt>
                </c:numCache>
              </c:numRef>
            </c:minus>
          </c:errBars>
          <c:xVal>
            <c:numRef>
              <c:f>ferment.!$E$8:$E$71</c:f>
              <c:numCache>
                <c:formatCode>0.00</c:formatCode>
                <c:ptCount val="64"/>
                <c:pt idx="0">
                  <c:v>2.0833333335758653E-2</c:v>
                </c:pt>
                <c:pt idx="1">
                  <c:v>0.98958333333575865</c:v>
                </c:pt>
                <c:pt idx="2">
                  <c:v>1.9513888888905058</c:v>
                </c:pt>
                <c:pt idx="3">
                  <c:v>2.8993055555547471</c:v>
                </c:pt>
                <c:pt idx="4">
                  <c:v>3.8958333333357587</c:v>
                </c:pt>
                <c:pt idx="5">
                  <c:v>5.03125</c:v>
                </c:pt>
                <c:pt idx="6">
                  <c:v>6.21875</c:v>
                </c:pt>
                <c:pt idx="7">
                  <c:v>6.9652777777810115</c:v>
                </c:pt>
                <c:pt idx="8">
                  <c:v>7.9909722222218988</c:v>
                </c:pt>
                <c:pt idx="9">
                  <c:v>8.9166666666642413</c:v>
                </c:pt>
                <c:pt idx="10">
                  <c:v>9.9097222222189885</c:v>
                </c:pt>
                <c:pt idx="11">
                  <c:v>10.895833333335759</c:v>
                </c:pt>
                <c:pt idx="12">
                  <c:v>12.208333333335759</c:v>
                </c:pt>
                <c:pt idx="13">
                  <c:v>13.017361111109494</c:v>
                </c:pt>
                <c:pt idx="14">
                  <c:v>15.048611111109494</c:v>
                </c:pt>
                <c:pt idx="15">
                  <c:v>15.9375</c:v>
                </c:pt>
                <c:pt idx="16">
                  <c:v>16.899305555554747</c:v>
                </c:pt>
                <c:pt idx="17">
                  <c:v>19.0625</c:v>
                </c:pt>
                <c:pt idx="18">
                  <c:v>19.979166666664241</c:v>
                </c:pt>
                <c:pt idx="19">
                  <c:v>21.225694444445253</c:v>
                </c:pt>
                <c:pt idx="20">
                  <c:v>22.145833333335759</c:v>
                </c:pt>
                <c:pt idx="21">
                  <c:v>23.020833333335759</c:v>
                </c:pt>
                <c:pt idx="22">
                  <c:v>23.90625</c:v>
                </c:pt>
                <c:pt idx="23">
                  <c:v>24.930555555554747</c:v>
                </c:pt>
                <c:pt idx="24">
                  <c:v>26.243055555554747</c:v>
                </c:pt>
                <c:pt idx="25">
                  <c:v>27.03125</c:v>
                </c:pt>
                <c:pt idx="26">
                  <c:v>28.145833333335759</c:v>
                </c:pt>
                <c:pt idx="27">
                  <c:v>29.201388888890506</c:v>
                </c:pt>
                <c:pt idx="28">
                  <c:v>30.041666666664241</c:v>
                </c:pt>
                <c:pt idx="29">
                  <c:v>33.152777777781012</c:v>
                </c:pt>
                <c:pt idx="30">
                  <c:v>35.194444444445253</c:v>
                </c:pt>
                <c:pt idx="31">
                  <c:v>36.274305555554747</c:v>
                </c:pt>
                <c:pt idx="32">
                  <c:v>37.902777777781012</c:v>
                </c:pt>
                <c:pt idx="33">
                  <c:v>38.902777777781012</c:v>
                </c:pt>
                <c:pt idx="34">
                  <c:v>41.1875</c:v>
                </c:pt>
                <c:pt idx="35">
                  <c:v>43.263888888890506</c:v>
                </c:pt>
                <c:pt idx="36">
                  <c:v>43.951388888890506</c:v>
                </c:pt>
                <c:pt idx="37">
                  <c:v>44.902777777781012</c:v>
                </c:pt>
                <c:pt idx="38">
                  <c:v>47.173611111109494</c:v>
                </c:pt>
                <c:pt idx="39">
                  <c:v>47.944444444445253</c:v>
                </c:pt>
                <c:pt idx="40">
                  <c:v>48.989583333335759</c:v>
                </c:pt>
                <c:pt idx="41">
                  <c:v>51.225694444445253</c:v>
                </c:pt>
                <c:pt idx="42">
                  <c:v>54.138888888890506</c:v>
                </c:pt>
                <c:pt idx="43">
                  <c:v>55.180555555554747</c:v>
                </c:pt>
                <c:pt idx="44">
                  <c:v>56.048611111109494</c:v>
                </c:pt>
                <c:pt idx="45">
                  <c:v>57.979166666664241</c:v>
                </c:pt>
                <c:pt idx="46">
                  <c:v>59.003472222218988</c:v>
                </c:pt>
                <c:pt idx="47">
                  <c:v>61.961805555554747</c:v>
                </c:pt>
                <c:pt idx="48">
                  <c:v>62.975694444445253</c:v>
                </c:pt>
                <c:pt idx="49">
                  <c:v>64.034722222218988</c:v>
                </c:pt>
                <c:pt idx="50">
                  <c:v>65.034722222218988</c:v>
                </c:pt>
                <c:pt idx="51">
                  <c:v>67.96875</c:v>
                </c:pt>
                <c:pt idx="52">
                  <c:v>69.048611111109494</c:v>
                </c:pt>
                <c:pt idx="53">
                  <c:v>70.1875</c:v>
                </c:pt>
                <c:pt idx="54">
                  <c:v>71.21875</c:v>
                </c:pt>
                <c:pt idx="55">
                  <c:v>71.951388888890506</c:v>
                </c:pt>
                <c:pt idx="56">
                  <c:v>72.899305555554747</c:v>
                </c:pt>
                <c:pt idx="57">
                  <c:v>77.201388888890506</c:v>
                </c:pt>
                <c:pt idx="58">
                  <c:v>78.201388888890506</c:v>
                </c:pt>
                <c:pt idx="59">
                  <c:v>78.972222222218988</c:v>
                </c:pt>
                <c:pt idx="60">
                  <c:v>81.979166666664241</c:v>
                </c:pt>
                <c:pt idx="61">
                  <c:v>83.197916666664241</c:v>
                </c:pt>
                <c:pt idx="62">
                  <c:v>84.215277777781012</c:v>
                </c:pt>
                <c:pt idx="63">
                  <c:v>85.267361111109494</c:v>
                </c:pt>
              </c:numCache>
            </c:numRef>
          </c:xVal>
          <c:yVal>
            <c:numRef>
              <c:f>ferment.!$M$8:$M$71</c:f>
              <c:numCache>
                <c:formatCode>0.00E+00</c:formatCode>
                <c:ptCount val="64"/>
                <c:pt idx="0">
                  <c:v>462500</c:v>
                </c:pt>
                <c:pt idx="1">
                  <c:v>850000</c:v>
                </c:pt>
                <c:pt idx="2">
                  <c:v>1753333.3333333333</c:v>
                </c:pt>
                <c:pt idx="3">
                  <c:v>2991333.333333333</c:v>
                </c:pt>
                <c:pt idx="4">
                  <c:v>3270000</c:v>
                </c:pt>
                <c:pt idx="5">
                  <c:v>2815000</c:v>
                </c:pt>
                <c:pt idx="6">
                  <c:v>2655000</c:v>
                </c:pt>
                <c:pt idx="7">
                  <c:v>2197500</c:v>
                </c:pt>
                <c:pt idx="8">
                  <c:v>2813333.3333333335</c:v>
                </c:pt>
                <c:pt idx="9">
                  <c:v>2898333.3333333335</c:v>
                </c:pt>
                <c:pt idx="10">
                  <c:v>2880000</c:v>
                </c:pt>
                <c:pt idx="11">
                  <c:v>3210000</c:v>
                </c:pt>
                <c:pt idx="12">
                  <c:v>2870000</c:v>
                </c:pt>
                <c:pt idx="13">
                  <c:v>2380000</c:v>
                </c:pt>
                <c:pt idx="14">
                  <c:v>3353333.3333333335</c:v>
                </c:pt>
                <c:pt idx="15">
                  <c:v>3673333.3333333335</c:v>
                </c:pt>
                <c:pt idx="16">
                  <c:v>4250000</c:v>
                </c:pt>
                <c:pt idx="17">
                  <c:v>5190000</c:v>
                </c:pt>
                <c:pt idx="18">
                  <c:v>6375000</c:v>
                </c:pt>
                <c:pt idx="19">
                  <c:v>7245000</c:v>
                </c:pt>
                <c:pt idx="20">
                  <c:v>6360000</c:v>
                </c:pt>
                <c:pt idx="21">
                  <c:v>6900000</c:v>
                </c:pt>
                <c:pt idx="22">
                  <c:v>6850000</c:v>
                </c:pt>
                <c:pt idx="23">
                  <c:v>7995000</c:v>
                </c:pt>
                <c:pt idx="24">
                  <c:v>7470000</c:v>
                </c:pt>
                <c:pt idx="25">
                  <c:v>8280000</c:v>
                </c:pt>
                <c:pt idx="26">
                  <c:v>8830000</c:v>
                </c:pt>
                <c:pt idx="27">
                  <c:v>8760000</c:v>
                </c:pt>
                <c:pt idx="28">
                  <c:v>8805000</c:v>
                </c:pt>
                <c:pt idx="29">
                  <c:v>8800000</c:v>
                </c:pt>
                <c:pt idx="30">
                  <c:v>9705000</c:v>
                </c:pt>
                <c:pt idx="31">
                  <c:v>9375000</c:v>
                </c:pt>
                <c:pt idx="32">
                  <c:v>7485000</c:v>
                </c:pt>
                <c:pt idx="33">
                  <c:v>6900000</c:v>
                </c:pt>
                <c:pt idx="34">
                  <c:v>5480000</c:v>
                </c:pt>
                <c:pt idx="35">
                  <c:v>5595000</c:v>
                </c:pt>
                <c:pt idx="36">
                  <c:v>5313333.333333333</c:v>
                </c:pt>
                <c:pt idx="37">
                  <c:v>5400000</c:v>
                </c:pt>
                <c:pt idx="38">
                  <c:v>5326666.666666667</c:v>
                </c:pt>
                <c:pt idx="39">
                  <c:v>5613333.333333333</c:v>
                </c:pt>
                <c:pt idx="40">
                  <c:v>5190000</c:v>
                </c:pt>
                <c:pt idx="41">
                  <c:v>5170000</c:v>
                </c:pt>
                <c:pt idx="42">
                  <c:v>6110000</c:v>
                </c:pt>
                <c:pt idx="43">
                  <c:v>5593333.333333333</c:v>
                </c:pt>
                <c:pt idx="44">
                  <c:v>6086666.666666667</c:v>
                </c:pt>
                <c:pt idx="45">
                  <c:v>6752500</c:v>
                </c:pt>
                <c:pt idx="46">
                  <c:v>7325000</c:v>
                </c:pt>
                <c:pt idx="47">
                  <c:v>7940000</c:v>
                </c:pt>
                <c:pt idx="48">
                  <c:v>9210000</c:v>
                </c:pt>
                <c:pt idx="49">
                  <c:v>7470000</c:v>
                </c:pt>
                <c:pt idx="50">
                  <c:v>9330000</c:v>
                </c:pt>
                <c:pt idx="51">
                  <c:v>10780000</c:v>
                </c:pt>
                <c:pt idx="52">
                  <c:v>10493333.333333334</c:v>
                </c:pt>
                <c:pt idx="53">
                  <c:v>8626666.666666666</c:v>
                </c:pt>
                <c:pt idx="54">
                  <c:v>9600000</c:v>
                </c:pt>
                <c:pt idx="55">
                  <c:v>9753333.333333334</c:v>
                </c:pt>
                <c:pt idx="56">
                  <c:v>9173333.333333334</c:v>
                </c:pt>
                <c:pt idx="57">
                  <c:v>10760000</c:v>
                </c:pt>
                <c:pt idx="58">
                  <c:v>10720000</c:v>
                </c:pt>
                <c:pt idx="59">
                  <c:v>10740000</c:v>
                </c:pt>
                <c:pt idx="60">
                  <c:v>10440000</c:v>
                </c:pt>
                <c:pt idx="61">
                  <c:v>10306666.666666666</c:v>
                </c:pt>
                <c:pt idx="62">
                  <c:v>9773333.333333334</c:v>
                </c:pt>
                <c:pt idx="63">
                  <c:v>11000000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F-4A8A-BC20-E2E9D52A3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30072"/>
        <c:axId val="390130464"/>
      </c:scatterChart>
      <c:scatterChart>
        <c:scatterStyle val="lineMarker"/>
        <c:varyColors val="0"/>
        <c:ser>
          <c:idx val="1"/>
          <c:order val="1"/>
          <c:tx>
            <c:v>C-Her1</c:v>
          </c:tx>
          <c:marker>
            <c:symbol val="none"/>
          </c:marker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1-E8FF-4A8A-BC20-E2E9D52A346A}"/>
              </c:ext>
            </c:extLst>
          </c:dPt>
          <c:xVal>
            <c:numRef>
              <c:f>ferment.!$E$10:$E$71</c:f>
              <c:numCache>
                <c:formatCode>0.00</c:formatCode>
                <c:ptCount val="62"/>
                <c:pt idx="0">
                  <c:v>1.9513888888905058</c:v>
                </c:pt>
                <c:pt idx="1">
                  <c:v>2.8993055555547471</c:v>
                </c:pt>
                <c:pt idx="2">
                  <c:v>3.8958333333357587</c:v>
                </c:pt>
                <c:pt idx="3">
                  <c:v>5.03125</c:v>
                </c:pt>
                <c:pt idx="4">
                  <c:v>6.21875</c:v>
                </c:pt>
                <c:pt idx="5">
                  <c:v>6.9652777777810115</c:v>
                </c:pt>
                <c:pt idx="6">
                  <c:v>7.9909722222218988</c:v>
                </c:pt>
                <c:pt idx="7">
                  <c:v>8.9166666666642413</c:v>
                </c:pt>
                <c:pt idx="8">
                  <c:v>9.9097222222189885</c:v>
                </c:pt>
                <c:pt idx="9">
                  <c:v>10.895833333335759</c:v>
                </c:pt>
                <c:pt idx="10">
                  <c:v>12.208333333335759</c:v>
                </c:pt>
                <c:pt idx="11">
                  <c:v>13.017361111109494</c:v>
                </c:pt>
                <c:pt idx="12">
                  <c:v>15.048611111109494</c:v>
                </c:pt>
                <c:pt idx="13">
                  <c:v>15.9375</c:v>
                </c:pt>
                <c:pt idx="14">
                  <c:v>16.899305555554747</c:v>
                </c:pt>
                <c:pt idx="15">
                  <c:v>19.0625</c:v>
                </c:pt>
                <c:pt idx="16">
                  <c:v>19.979166666664241</c:v>
                </c:pt>
                <c:pt idx="17">
                  <c:v>21.225694444445253</c:v>
                </c:pt>
                <c:pt idx="18">
                  <c:v>22.145833333335759</c:v>
                </c:pt>
                <c:pt idx="19">
                  <c:v>23.020833333335759</c:v>
                </c:pt>
                <c:pt idx="20">
                  <c:v>23.90625</c:v>
                </c:pt>
                <c:pt idx="21">
                  <c:v>24.930555555554747</c:v>
                </c:pt>
                <c:pt idx="22">
                  <c:v>26.243055555554747</c:v>
                </c:pt>
                <c:pt idx="23">
                  <c:v>27.03125</c:v>
                </c:pt>
                <c:pt idx="24">
                  <c:v>28.145833333335759</c:v>
                </c:pt>
                <c:pt idx="25">
                  <c:v>29.201388888890506</c:v>
                </c:pt>
                <c:pt idx="26">
                  <c:v>30.041666666664241</c:v>
                </c:pt>
                <c:pt idx="27">
                  <c:v>33.152777777781012</c:v>
                </c:pt>
                <c:pt idx="28">
                  <c:v>35.194444444445253</c:v>
                </c:pt>
                <c:pt idx="29">
                  <c:v>36.274305555554747</c:v>
                </c:pt>
                <c:pt idx="30">
                  <c:v>37.902777777781012</c:v>
                </c:pt>
                <c:pt idx="31">
                  <c:v>38.902777777781012</c:v>
                </c:pt>
                <c:pt idx="32">
                  <c:v>41.1875</c:v>
                </c:pt>
                <c:pt idx="33">
                  <c:v>43.263888888890506</c:v>
                </c:pt>
                <c:pt idx="34">
                  <c:v>43.951388888890506</c:v>
                </c:pt>
                <c:pt idx="35">
                  <c:v>44.902777777781012</c:v>
                </c:pt>
                <c:pt idx="36">
                  <c:v>47.173611111109494</c:v>
                </c:pt>
                <c:pt idx="37">
                  <c:v>47.944444444445253</c:v>
                </c:pt>
                <c:pt idx="38">
                  <c:v>48.989583333335759</c:v>
                </c:pt>
                <c:pt idx="39">
                  <c:v>51.225694444445253</c:v>
                </c:pt>
                <c:pt idx="40">
                  <c:v>54.138888888890506</c:v>
                </c:pt>
                <c:pt idx="41">
                  <c:v>55.180555555554747</c:v>
                </c:pt>
                <c:pt idx="42">
                  <c:v>56.048611111109494</c:v>
                </c:pt>
                <c:pt idx="43">
                  <c:v>57.979166666664241</c:v>
                </c:pt>
                <c:pt idx="44">
                  <c:v>59.003472222218988</c:v>
                </c:pt>
                <c:pt idx="45">
                  <c:v>61.961805555554747</c:v>
                </c:pt>
                <c:pt idx="46">
                  <c:v>62.975694444445253</c:v>
                </c:pt>
                <c:pt idx="47">
                  <c:v>64.034722222218988</c:v>
                </c:pt>
                <c:pt idx="48">
                  <c:v>65.034722222218988</c:v>
                </c:pt>
                <c:pt idx="49">
                  <c:v>67.96875</c:v>
                </c:pt>
                <c:pt idx="50">
                  <c:v>69.048611111109494</c:v>
                </c:pt>
                <c:pt idx="51">
                  <c:v>70.1875</c:v>
                </c:pt>
                <c:pt idx="52">
                  <c:v>71.21875</c:v>
                </c:pt>
                <c:pt idx="53">
                  <c:v>71.951388888890506</c:v>
                </c:pt>
                <c:pt idx="54">
                  <c:v>72.899305555554747</c:v>
                </c:pt>
                <c:pt idx="55">
                  <c:v>77.201388888890506</c:v>
                </c:pt>
                <c:pt idx="56">
                  <c:v>78.201388888890506</c:v>
                </c:pt>
                <c:pt idx="57">
                  <c:v>78.972222222218988</c:v>
                </c:pt>
                <c:pt idx="58">
                  <c:v>81.979166666664241</c:v>
                </c:pt>
                <c:pt idx="59">
                  <c:v>83.197916666664241</c:v>
                </c:pt>
                <c:pt idx="60">
                  <c:v>84.215277777781012</c:v>
                </c:pt>
                <c:pt idx="61">
                  <c:v>85.267361111109494</c:v>
                </c:pt>
              </c:numCache>
            </c:numRef>
          </c:xVal>
          <c:yVal>
            <c:numRef>
              <c:f>ferment.!$BR$10:$BR$71</c:f>
              <c:numCache>
                <c:formatCode>0.00</c:formatCode>
                <c:ptCount val="62"/>
                <c:pt idx="0">
                  <c:v>11.36</c:v>
                </c:pt>
                <c:pt idx="1">
                  <c:v>12.864999999999998</c:v>
                </c:pt>
                <c:pt idx="2">
                  <c:v>14.37</c:v>
                </c:pt>
                <c:pt idx="3">
                  <c:v>14.37</c:v>
                </c:pt>
                <c:pt idx="4">
                  <c:v>14.321497333333333</c:v>
                </c:pt>
                <c:pt idx="5">
                  <c:v>14.272994666666666</c:v>
                </c:pt>
                <c:pt idx="6">
                  <c:v>15.134007333333333</c:v>
                </c:pt>
                <c:pt idx="7">
                  <c:v>16.650417666666666</c:v>
                </c:pt>
                <c:pt idx="8">
                  <c:v>16.873167333333331</c:v>
                </c:pt>
                <c:pt idx="9">
                  <c:v>16.04214</c:v>
                </c:pt>
                <c:pt idx="10">
                  <c:v>6.8107706666666674</c:v>
                </c:pt>
                <c:pt idx="11">
                  <c:v>9.5695516666666656</c:v>
                </c:pt>
                <c:pt idx="12">
                  <c:v>1.27647</c:v>
                </c:pt>
                <c:pt idx="13">
                  <c:v>1.2389881666666667</c:v>
                </c:pt>
                <c:pt idx="14">
                  <c:v>1.2015063333333336</c:v>
                </c:pt>
                <c:pt idx="15">
                  <c:v>0.92943833333333337</c:v>
                </c:pt>
                <c:pt idx="16">
                  <c:v>2.6502060000000003</c:v>
                </c:pt>
                <c:pt idx="17">
                  <c:v>3.0100790000000002</c:v>
                </c:pt>
                <c:pt idx="18">
                  <c:v>3.1354280000000001</c:v>
                </c:pt>
                <c:pt idx="19">
                  <c:v>3.260777</c:v>
                </c:pt>
                <c:pt idx="20">
                  <c:v>3.4426134999999998</c:v>
                </c:pt>
                <c:pt idx="21">
                  <c:v>1.8440715000000001</c:v>
                </c:pt>
                <c:pt idx="22">
                  <c:v>11.835697</c:v>
                </c:pt>
                <c:pt idx="23">
                  <c:v>11.144857333333333</c:v>
                </c:pt>
                <c:pt idx="24">
                  <c:v>11.295039666666666</c:v>
                </c:pt>
                <c:pt idx="25">
                  <c:v>9.9447149999999986</c:v>
                </c:pt>
                <c:pt idx="26">
                  <c:v>11.456551333333335</c:v>
                </c:pt>
                <c:pt idx="27">
                  <c:v>12.147391000000001</c:v>
                </c:pt>
                <c:pt idx="28">
                  <c:v>19.826721666666664</c:v>
                </c:pt>
                <c:pt idx="29">
                  <c:v>24.852828666666667</c:v>
                </c:pt>
                <c:pt idx="30">
                  <c:v>31.510918666666665</c:v>
                </c:pt>
                <c:pt idx="31">
                  <c:v>32.181733666666666</c:v>
                </c:pt>
                <c:pt idx="32">
                  <c:v>23.869045</c:v>
                </c:pt>
                <c:pt idx="33">
                  <c:v>18.779384999999998</c:v>
                </c:pt>
                <c:pt idx="34">
                  <c:v>17.926008333333336</c:v>
                </c:pt>
                <c:pt idx="35">
                  <c:v>14.529501666666668</c:v>
                </c:pt>
                <c:pt idx="36">
                  <c:v>12.065904999999999</c:v>
                </c:pt>
                <c:pt idx="37">
                  <c:v>7.1696749999999998</c:v>
                </c:pt>
                <c:pt idx="38">
                  <c:v>8.906055666666667</c:v>
                </c:pt>
                <c:pt idx="39">
                  <c:v>9.7148689999999984</c:v>
                </c:pt>
                <c:pt idx="40">
                  <c:v>12.122367666666667</c:v>
                </c:pt>
                <c:pt idx="41">
                  <c:v>9.643835666666666</c:v>
                </c:pt>
                <c:pt idx="42">
                  <c:v>10.908601000000001</c:v>
                </c:pt>
                <c:pt idx="43">
                  <c:v>9.0263880000000007</c:v>
                </c:pt>
                <c:pt idx="44">
                  <c:v>8.4703158333333342</c:v>
                </c:pt>
                <c:pt idx="45">
                  <c:v>7.9142436666666667</c:v>
                </c:pt>
                <c:pt idx="46">
                  <c:v>9.1411747083333328</c:v>
                </c:pt>
                <c:pt idx="47">
                  <c:v>10.36810575</c:v>
                </c:pt>
                <c:pt idx="48">
                  <c:v>12.599769750000002</c:v>
                </c:pt>
                <c:pt idx="49">
                  <c:v>14.159212500000001</c:v>
                </c:pt>
                <c:pt idx="50">
                  <c:v>20.081594000000003</c:v>
                </c:pt>
                <c:pt idx="51">
                  <c:v>13.036695666666667</c:v>
                </c:pt>
                <c:pt idx="52">
                  <c:v>15.158479</c:v>
                </c:pt>
                <c:pt idx="53">
                  <c:v>17.259742333333332</c:v>
                </c:pt>
                <c:pt idx="54">
                  <c:v>16.504600999999997</c:v>
                </c:pt>
                <c:pt idx="55">
                  <c:v>19.931465333333339</c:v>
                </c:pt>
                <c:pt idx="56">
                  <c:v>18.224189000000003</c:v>
                </c:pt>
                <c:pt idx="57">
                  <c:v>26.363529</c:v>
                </c:pt>
                <c:pt idx="58">
                  <c:v>23.275247333333333</c:v>
                </c:pt>
                <c:pt idx="59">
                  <c:v>25.001357333333335</c:v>
                </c:pt>
                <c:pt idx="60">
                  <c:v>23.510940666666666</c:v>
                </c:pt>
                <c:pt idx="61">
                  <c:v>24.419055333333333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FF-4A8A-BC20-E2E9D52A3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31248"/>
        <c:axId val="390130856"/>
      </c:scatterChart>
      <c:valAx>
        <c:axId val="390130072"/>
        <c:scaling>
          <c:orientation val="minMax"/>
          <c:min val="0"/>
        </c:scaling>
        <c:delete val="0"/>
        <c:axPos val="b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Culture</a:t>
                </a:r>
                <a:r>
                  <a:rPr lang="en-US" baseline="0"/>
                  <a:t> time (d)</a:t>
                </a:r>
                <a:endParaRPr lang="en-US"/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lang="es-ES" sz="1200"/>
            </a:pPr>
            <a:endParaRPr lang="es-ES"/>
          </a:p>
        </c:txPr>
        <c:crossAx val="390130464"/>
        <c:crosses val="autoZero"/>
        <c:crossBetween val="midCat"/>
        <c:minorUnit val="2"/>
      </c:valAx>
      <c:valAx>
        <c:axId val="390130464"/>
        <c:scaling>
          <c:orientation val="minMax"/>
          <c:max val="130000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Viable</a:t>
                </a:r>
                <a:r>
                  <a:rPr lang="en-US" baseline="0"/>
                  <a:t> cell density (cel/mL)</a:t>
                </a:r>
                <a:endParaRPr lang="en-US"/>
              </a:p>
            </c:rich>
          </c:tx>
          <c:overlay val="0"/>
        </c:title>
        <c:numFmt formatCode="0.0E+00" sourceLinked="0"/>
        <c:majorTickMark val="none"/>
        <c:minorTickMark val="none"/>
        <c:tickLblPos val="nextTo"/>
        <c:txPr>
          <a:bodyPr/>
          <a:lstStyle/>
          <a:p>
            <a:pPr>
              <a:defRPr lang="es-ES" sz="1200"/>
            </a:pPr>
            <a:endParaRPr lang="es-ES"/>
          </a:p>
        </c:txPr>
        <c:crossAx val="390130072"/>
        <c:crosses val="autoZero"/>
        <c:crossBetween val="midCat"/>
      </c:valAx>
      <c:valAx>
        <c:axId val="3901308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C(Her1) mg/L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crossAx val="390131248"/>
        <c:crosses val="max"/>
        <c:crossBetween val="midCat"/>
      </c:valAx>
      <c:valAx>
        <c:axId val="39013124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one"/>
        <c:crossAx val="390130856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0.28976862824408123"/>
          <c:y val="0.89695754207610867"/>
          <c:w val="0.49379954454488695"/>
          <c:h val="0.1026483154270792"/>
        </c:manualLayout>
      </c:layout>
      <c:overlay val="0"/>
      <c:txPr>
        <a:bodyPr/>
        <a:lstStyle/>
        <a:p>
          <a:pPr>
            <a:defRPr lang="es-ES" sz="12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(Graficcos!$U$4,Graficcos!$U$14,Graficcos!$U$21,Graficcos!$U$28,Graficcos!$U$38)</c:f>
                <c:numCache>
                  <c:formatCode>General</c:formatCode>
                  <c:ptCount val="5"/>
                  <c:pt idx="0">
                    <c:v>311408.40210443002</c:v>
                  </c:pt>
                  <c:pt idx="1">
                    <c:v>529000.63011934748</c:v>
                  </c:pt>
                  <c:pt idx="2">
                    <c:v>130274.99404749191</c:v>
                  </c:pt>
                  <c:pt idx="3">
                    <c:v>798226.50642255391</c:v>
                  </c:pt>
                  <c:pt idx="4">
                    <c:v>503793.02040362486</c:v>
                  </c:pt>
                </c:numCache>
              </c:numRef>
            </c:plus>
            <c:minus>
              <c:numRef>
                <c:f>(Graficcos!$U$4,Graficcos!$U$14,Graficcos!$U$21,Graficcos!$U$28,Graficcos!$U$38)</c:f>
                <c:numCache>
                  <c:formatCode>General</c:formatCode>
                  <c:ptCount val="5"/>
                  <c:pt idx="0">
                    <c:v>311408.40210443002</c:v>
                  </c:pt>
                  <c:pt idx="1">
                    <c:v>529000.63011934748</c:v>
                  </c:pt>
                  <c:pt idx="2">
                    <c:v>130274.99404749191</c:v>
                  </c:pt>
                  <c:pt idx="3">
                    <c:v>798226.50642255391</c:v>
                  </c:pt>
                  <c:pt idx="4">
                    <c:v>503793.02040362486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(Graficcos!$P$4,Graficcos!$P$14,Graficcos!$P$21,Graficcos!$P$28,Graficcos!$P$38)</c:f>
              <c:numCache>
                <c:formatCode>General</c:formatCode>
                <c:ptCount val="5"/>
                <c:pt idx="0">
                  <c:v>0.45</c:v>
                </c:pt>
                <c:pt idx="1">
                  <c:v>0.4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</c:numCache>
            </c:numRef>
          </c:xVal>
          <c:yVal>
            <c:numRef>
              <c:f>(Graficcos!$T$4,Graficcos!$T$14,Graficcos!$T$21,Graficcos!$T$28,Graficcos!$T$38)</c:f>
              <c:numCache>
                <c:formatCode>General</c:formatCode>
                <c:ptCount val="5"/>
                <c:pt idx="0">
                  <c:v>2845462.9629629632</c:v>
                </c:pt>
                <c:pt idx="1">
                  <c:v>8420000</c:v>
                </c:pt>
                <c:pt idx="2">
                  <c:v>5454722.222222222</c:v>
                </c:pt>
                <c:pt idx="3">
                  <c:v>9997666.6666666679</c:v>
                </c:pt>
                <c:pt idx="4">
                  <c:v>10380000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B8-4050-9DA5-CE7F2B5E2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08960"/>
        <c:axId val="395604368"/>
      </c:scatterChart>
      <c:valAx>
        <c:axId val="395608960"/>
        <c:scaling>
          <c:orientation val="minMax"/>
          <c:max val="0.5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 (d-1)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5604368"/>
        <c:crosses val="autoZero"/>
        <c:crossBetween val="midCat"/>
      </c:valAx>
      <c:valAx>
        <c:axId val="395604368"/>
        <c:scaling>
          <c:orientation val="minMax"/>
          <c:min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Xv (cel/mL)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5608960"/>
        <c:crosses val="autoZero"/>
        <c:crossBetween val="midCat"/>
        <c:majorUnit val="2000000"/>
        <c:minorUnit val="10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5601076483401"/>
          <c:y val="6.5639189664065012E-2"/>
          <c:w val="0.77048471288960729"/>
          <c:h val="0.75842894603535049"/>
        </c:manualLayout>
      </c:layout>
      <c:scatterChart>
        <c:scatterStyle val="lineMarker"/>
        <c:varyColors val="0"/>
        <c:ser>
          <c:idx val="2"/>
          <c:order val="0"/>
          <c:tx>
            <c:strRef>
              <c:f>ferment.!$J$6</c:f>
              <c:strCache>
                <c:ptCount val="1"/>
                <c:pt idx="0">
                  <c:v>Xv(Promedio) </c:v>
                </c:pt>
              </c:strCache>
            </c:strRef>
          </c:tx>
          <c:spPr>
            <a:ln w="38100">
              <a:solidFill>
                <a:srgbClr val="0070C0"/>
              </a:solidFill>
            </a:ln>
          </c:spPr>
          <c:marker>
            <c:symbol val="diamond"/>
            <c:size val="9"/>
            <c:spPr>
              <a:solidFill>
                <a:schemeClr val="accent1"/>
              </a:solidFill>
              <a:ln>
                <a:solidFill>
                  <a:srgbClr val="0070C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ferment.!$K$8:$K$71</c:f>
                <c:numCache>
                  <c:formatCode>General</c:formatCode>
                  <c:ptCount val="64"/>
                  <c:pt idx="0">
                    <c:v>17677.66952966369</c:v>
                  </c:pt>
                  <c:pt idx="1">
                    <c:v>96436.507609929555</c:v>
                  </c:pt>
                  <c:pt idx="2">
                    <c:v>180092.568789868</c:v>
                  </c:pt>
                  <c:pt idx="3">
                    <c:v>159478.31618540914</c:v>
                  </c:pt>
                  <c:pt idx="4">
                    <c:v>296984.84809834993</c:v>
                  </c:pt>
                  <c:pt idx="5">
                    <c:v>63639.610306789276</c:v>
                  </c:pt>
                  <c:pt idx="6">
                    <c:v>35355.33905932738</c:v>
                  </c:pt>
                  <c:pt idx="7">
                    <c:v>222738.63607376246</c:v>
                  </c:pt>
                  <c:pt idx="8">
                    <c:v>533041.58687041851</c:v>
                  </c:pt>
                  <c:pt idx="9">
                    <c:v>414014.89506216318</c:v>
                  </c:pt>
                  <c:pt idx="10">
                    <c:v>383014.36004411115</c:v>
                  </c:pt>
                  <c:pt idx="11">
                    <c:v>21213.203435596424</c:v>
                  </c:pt>
                  <c:pt idx="12">
                    <c:v>150249.7920131672</c:v>
                  </c:pt>
                  <c:pt idx="13">
                    <c:v>424264.0687119285</c:v>
                  </c:pt>
                  <c:pt idx="14">
                    <c:v>391066.91669499909</c:v>
                  </c:pt>
                  <c:pt idx="15">
                    <c:v>360185.13757973595</c:v>
                  </c:pt>
                  <c:pt idx="16">
                    <c:v>14142.13562373095</c:v>
                  </c:pt>
                  <c:pt idx="17">
                    <c:v>750000</c:v>
                  </c:pt>
                  <c:pt idx="18">
                    <c:v>21213.203435596424</c:v>
                  </c:pt>
                  <c:pt idx="19">
                    <c:v>275771.64466275356</c:v>
                  </c:pt>
                  <c:pt idx="20">
                    <c:v>593969.69619669986</c:v>
                  </c:pt>
                  <c:pt idx="21">
                    <c:v>254558.44122715711</c:v>
                  </c:pt>
                  <c:pt idx="22">
                    <c:v>645058.13691480551</c:v>
                  </c:pt>
                  <c:pt idx="23">
                    <c:v>106066.01717798212</c:v>
                  </c:pt>
                  <c:pt idx="24">
                    <c:v>169705.62748477139</c:v>
                  </c:pt>
                  <c:pt idx="25">
                    <c:v>1304568.894309534</c:v>
                  </c:pt>
                  <c:pt idx="26">
                    <c:v>283548.93757515651</c:v>
                  </c:pt>
                  <c:pt idx="27">
                    <c:v>1110000</c:v>
                  </c:pt>
                  <c:pt idx="28">
                    <c:v>275771.64466275356</c:v>
                  </c:pt>
                  <c:pt idx="29">
                    <c:v>969484.39904930908</c:v>
                  </c:pt>
                  <c:pt idx="30">
                    <c:v>360624.45840513922</c:v>
                  </c:pt>
                  <c:pt idx="31">
                    <c:v>63639.610306789276</c:v>
                  </c:pt>
                  <c:pt idx="32">
                    <c:v>487903.67901871778</c:v>
                  </c:pt>
                  <c:pt idx="33">
                    <c:v>42426.406871192848</c:v>
                  </c:pt>
                  <c:pt idx="34">
                    <c:v>197989.8987322333</c:v>
                  </c:pt>
                  <c:pt idx="35">
                    <c:v>63639.610306789276</c:v>
                  </c:pt>
                  <c:pt idx="36">
                    <c:v>659191.42389243504</c:v>
                  </c:pt>
                  <c:pt idx="37">
                    <c:v>572363.52085016738</c:v>
                  </c:pt>
                  <c:pt idx="38">
                    <c:v>594754.85145842505</c:v>
                  </c:pt>
                  <c:pt idx="39">
                    <c:v>784941.6114166301</c:v>
                  </c:pt>
                  <c:pt idx="40">
                    <c:v>381837.66184073564</c:v>
                  </c:pt>
                  <c:pt idx="41">
                    <c:v>42426.406871192848</c:v>
                  </c:pt>
                  <c:pt idx="42">
                    <c:v>353553.39059327374</c:v>
                  </c:pt>
                  <c:pt idx="43">
                    <c:v>445570.79497351858</c:v>
                  </c:pt>
                  <c:pt idx="44">
                    <c:v>530785.58131634782</c:v>
                  </c:pt>
                  <c:pt idx="45">
                    <c:v>385373.19574666838</c:v>
                  </c:pt>
                  <c:pt idx="46">
                    <c:v>0</c:v>
                  </c:pt>
                  <c:pt idx="47">
                    <c:v>278747.19729532709</c:v>
                  </c:pt>
                  <c:pt idx="48">
                    <c:v>84852.813742385697</c:v>
                  </c:pt>
                  <c:pt idx="49">
                    <c:v>551543.28932550712</c:v>
                  </c:pt>
                  <c:pt idx="50">
                    <c:v>763675.32368147129</c:v>
                  </c:pt>
                  <c:pt idx="51">
                    <c:v>480312.39834091312</c:v>
                  </c:pt>
                  <c:pt idx="52">
                    <c:v>543077.64945110132</c:v>
                  </c:pt>
                  <c:pt idx="53">
                    <c:v>344867.1241700683</c:v>
                  </c:pt>
                  <c:pt idx="54">
                    <c:v>169705.62748477139</c:v>
                  </c:pt>
                  <c:pt idx="55">
                    <c:v>457966.51988254918</c:v>
                  </c:pt>
                  <c:pt idx="56">
                    <c:v>310698.13860616117</c:v>
                  </c:pt>
                  <c:pt idx="57">
                    <c:v>520000</c:v>
                  </c:pt>
                  <c:pt idx="58">
                    <c:v>169705.62748477139</c:v>
                  </c:pt>
                  <c:pt idx="59">
                    <c:v>28284.2712474619</c:v>
                  </c:pt>
                  <c:pt idx="60">
                    <c:v>56568.5424949238</c:v>
                  </c:pt>
                  <c:pt idx="61">
                    <c:v>861935.80580767919</c:v>
                  </c:pt>
                  <c:pt idx="62">
                    <c:v>1405323.2131197946</c:v>
                  </c:pt>
                  <c:pt idx="63">
                    <c:v>937229.96110879851</c:v>
                  </c:pt>
                </c:numCache>
              </c:numRef>
            </c:plus>
            <c:minus>
              <c:numRef>
                <c:f>ferment.!$K$8:$K$71</c:f>
                <c:numCache>
                  <c:formatCode>General</c:formatCode>
                  <c:ptCount val="64"/>
                  <c:pt idx="0">
                    <c:v>17677.66952966369</c:v>
                  </c:pt>
                  <c:pt idx="1">
                    <c:v>96436.507609929555</c:v>
                  </c:pt>
                  <c:pt idx="2">
                    <c:v>180092.568789868</c:v>
                  </c:pt>
                  <c:pt idx="3">
                    <c:v>159478.31618540914</c:v>
                  </c:pt>
                  <c:pt idx="4">
                    <c:v>296984.84809834993</c:v>
                  </c:pt>
                  <c:pt idx="5">
                    <c:v>63639.610306789276</c:v>
                  </c:pt>
                  <c:pt idx="6">
                    <c:v>35355.33905932738</c:v>
                  </c:pt>
                  <c:pt idx="7">
                    <c:v>222738.63607376246</c:v>
                  </c:pt>
                  <c:pt idx="8">
                    <c:v>533041.58687041851</c:v>
                  </c:pt>
                  <c:pt idx="9">
                    <c:v>414014.89506216318</c:v>
                  </c:pt>
                  <c:pt idx="10">
                    <c:v>383014.36004411115</c:v>
                  </c:pt>
                  <c:pt idx="11">
                    <c:v>21213.203435596424</c:v>
                  </c:pt>
                  <c:pt idx="12">
                    <c:v>150249.7920131672</c:v>
                  </c:pt>
                  <c:pt idx="13">
                    <c:v>424264.0687119285</c:v>
                  </c:pt>
                  <c:pt idx="14">
                    <c:v>391066.91669499909</c:v>
                  </c:pt>
                  <c:pt idx="15">
                    <c:v>360185.13757973595</c:v>
                  </c:pt>
                  <c:pt idx="16">
                    <c:v>14142.13562373095</c:v>
                  </c:pt>
                  <c:pt idx="17">
                    <c:v>750000</c:v>
                  </c:pt>
                  <c:pt idx="18">
                    <c:v>21213.203435596424</c:v>
                  </c:pt>
                  <c:pt idx="19">
                    <c:v>275771.64466275356</c:v>
                  </c:pt>
                  <c:pt idx="20">
                    <c:v>593969.69619669986</c:v>
                  </c:pt>
                  <c:pt idx="21">
                    <c:v>254558.44122715711</c:v>
                  </c:pt>
                  <c:pt idx="22">
                    <c:v>645058.13691480551</c:v>
                  </c:pt>
                  <c:pt idx="23">
                    <c:v>106066.01717798212</c:v>
                  </c:pt>
                  <c:pt idx="24">
                    <c:v>169705.62748477139</c:v>
                  </c:pt>
                  <c:pt idx="25">
                    <c:v>1304568.894309534</c:v>
                  </c:pt>
                  <c:pt idx="26">
                    <c:v>283548.93757515651</c:v>
                  </c:pt>
                  <c:pt idx="27">
                    <c:v>1110000</c:v>
                  </c:pt>
                  <c:pt idx="28">
                    <c:v>275771.64466275356</c:v>
                  </c:pt>
                  <c:pt idx="29">
                    <c:v>969484.39904930908</c:v>
                  </c:pt>
                  <c:pt idx="30">
                    <c:v>360624.45840513922</c:v>
                  </c:pt>
                  <c:pt idx="31">
                    <c:v>63639.610306789276</c:v>
                  </c:pt>
                  <c:pt idx="32">
                    <c:v>487903.67901871778</c:v>
                  </c:pt>
                  <c:pt idx="33">
                    <c:v>42426.406871192848</c:v>
                  </c:pt>
                  <c:pt idx="34">
                    <c:v>197989.8987322333</c:v>
                  </c:pt>
                  <c:pt idx="35">
                    <c:v>63639.610306789276</c:v>
                  </c:pt>
                  <c:pt idx="36">
                    <c:v>659191.42389243504</c:v>
                  </c:pt>
                  <c:pt idx="37">
                    <c:v>572363.52085016738</c:v>
                  </c:pt>
                  <c:pt idx="38">
                    <c:v>594754.85145842505</c:v>
                  </c:pt>
                  <c:pt idx="39">
                    <c:v>784941.6114166301</c:v>
                  </c:pt>
                  <c:pt idx="40">
                    <c:v>381837.66184073564</c:v>
                  </c:pt>
                  <c:pt idx="41">
                    <c:v>42426.406871192848</c:v>
                  </c:pt>
                  <c:pt idx="42">
                    <c:v>353553.39059327374</c:v>
                  </c:pt>
                  <c:pt idx="43">
                    <c:v>445570.79497351858</c:v>
                  </c:pt>
                  <c:pt idx="44">
                    <c:v>530785.58131634782</c:v>
                  </c:pt>
                  <c:pt idx="45">
                    <c:v>385373.19574666838</c:v>
                  </c:pt>
                  <c:pt idx="46">
                    <c:v>0</c:v>
                  </c:pt>
                  <c:pt idx="47">
                    <c:v>278747.19729532709</c:v>
                  </c:pt>
                  <c:pt idx="48">
                    <c:v>84852.813742385697</c:v>
                  </c:pt>
                  <c:pt idx="49">
                    <c:v>551543.28932550712</c:v>
                  </c:pt>
                  <c:pt idx="50">
                    <c:v>763675.32368147129</c:v>
                  </c:pt>
                  <c:pt idx="51">
                    <c:v>480312.39834091312</c:v>
                  </c:pt>
                  <c:pt idx="52">
                    <c:v>543077.64945110132</c:v>
                  </c:pt>
                  <c:pt idx="53">
                    <c:v>344867.1241700683</c:v>
                  </c:pt>
                  <c:pt idx="54">
                    <c:v>169705.62748477139</c:v>
                  </c:pt>
                  <c:pt idx="55">
                    <c:v>457966.51988254918</c:v>
                  </c:pt>
                  <c:pt idx="56">
                    <c:v>310698.13860616117</c:v>
                  </c:pt>
                  <c:pt idx="57">
                    <c:v>520000</c:v>
                  </c:pt>
                  <c:pt idx="58">
                    <c:v>169705.62748477139</c:v>
                  </c:pt>
                  <c:pt idx="59">
                    <c:v>28284.2712474619</c:v>
                  </c:pt>
                  <c:pt idx="60">
                    <c:v>56568.5424949238</c:v>
                  </c:pt>
                  <c:pt idx="61">
                    <c:v>861935.80580767919</c:v>
                  </c:pt>
                  <c:pt idx="62">
                    <c:v>1405323.2131197946</c:v>
                  </c:pt>
                  <c:pt idx="63">
                    <c:v>937229.96110879851</c:v>
                  </c:pt>
                </c:numCache>
              </c:numRef>
            </c:minus>
          </c:errBars>
          <c:xVal>
            <c:numRef>
              <c:f>ferment.!$E$8:$E$71</c:f>
              <c:numCache>
                <c:formatCode>0.00</c:formatCode>
                <c:ptCount val="64"/>
                <c:pt idx="0">
                  <c:v>2.0833333335758653E-2</c:v>
                </c:pt>
                <c:pt idx="1">
                  <c:v>0.98958333333575865</c:v>
                </c:pt>
                <c:pt idx="2">
                  <c:v>1.9513888888905058</c:v>
                </c:pt>
                <c:pt idx="3">
                  <c:v>2.8993055555547471</c:v>
                </c:pt>
                <c:pt idx="4">
                  <c:v>3.8958333333357587</c:v>
                </c:pt>
                <c:pt idx="5">
                  <c:v>5.03125</c:v>
                </c:pt>
                <c:pt idx="6">
                  <c:v>6.21875</c:v>
                </c:pt>
                <c:pt idx="7">
                  <c:v>6.9652777777810115</c:v>
                </c:pt>
                <c:pt idx="8">
                  <c:v>7.9909722222218988</c:v>
                </c:pt>
                <c:pt idx="9">
                  <c:v>8.9166666666642413</c:v>
                </c:pt>
                <c:pt idx="10">
                  <c:v>9.9097222222189885</c:v>
                </c:pt>
                <c:pt idx="11">
                  <c:v>10.895833333335759</c:v>
                </c:pt>
                <c:pt idx="12">
                  <c:v>12.208333333335759</c:v>
                </c:pt>
                <c:pt idx="13">
                  <c:v>13.017361111109494</c:v>
                </c:pt>
                <c:pt idx="14">
                  <c:v>15.048611111109494</c:v>
                </c:pt>
                <c:pt idx="15">
                  <c:v>15.9375</c:v>
                </c:pt>
                <c:pt idx="16">
                  <c:v>16.899305555554747</c:v>
                </c:pt>
                <c:pt idx="17">
                  <c:v>19.0625</c:v>
                </c:pt>
                <c:pt idx="18">
                  <c:v>19.979166666664241</c:v>
                </c:pt>
                <c:pt idx="19">
                  <c:v>21.225694444445253</c:v>
                </c:pt>
                <c:pt idx="20">
                  <c:v>22.145833333335759</c:v>
                </c:pt>
                <c:pt idx="21">
                  <c:v>23.020833333335759</c:v>
                </c:pt>
                <c:pt idx="22">
                  <c:v>23.90625</c:v>
                </c:pt>
                <c:pt idx="23">
                  <c:v>24.930555555554747</c:v>
                </c:pt>
                <c:pt idx="24">
                  <c:v>26.243055555554747</c:v>
                </c:pt>
                <c:pt idx="25">
                  <c:v>27.03125</c:v>
                </c:pt>
                <c:pt idx="26">
                  <c:v>28.145833333335759</c:v>
                </c:pt>
                <c:pt idx="27">
                  <c:v>29.201388888890506</c:v>
                </c:pt>
                <c:pt idx="28">
                  <c:v>30.041666666664241</c:v>
                </c:pt>
                <c:pt idx="29">
                  <c:v>33.152777777781012</c:v>
                </c:pt>
                <c:pt idx="30">
                  <c:v>35.194444444445253</c:v>
                </c:pt>
                <c:pt idx="31">
                  <c:v>36.274305555554747</c:v>
                </c:pt>
                <c:pt idx="32">
                  <c:v>37.902777777781012</c:v>
                </c:pt>
                <c:pt idx="33">
                  <c:v>38.902777777781012</c:v>
                </c:pt>
                <c:pt idx="34">
                  <c:v>41.1875</c:v>
                </c:pt>
                <c:pt idx="35">
                  <c:v>43.263888888890506</c:v>
                </c:pt>
                <c:pt idx="36">
                  <c:v>43.951388888890506</c:v>
                </c:pt>
                <c:pt idx="37">
                  <c:v>44.902777777781012</c:v>
                </c:pt>
                <c:pt idx="38">
                  <c:v>47.173611111109494</c:v>
                </c:pt>
                <c:pt idx="39">
                  <c:v>47.944444444445253</c:v>
                </c:pt>
                <c:pt idx="40">
                  <c:v>48.989583333335759</c:v>
                </c:pt>
                <c:pt idx="41">
                  <c:v>51.225694444445253</c:v>
                </c:pt>
                <c:pt idx="42">
                  <c:v>54.138888888890506</c:v>
                </c:pt>
                <c:pt idx="43">
                  <c:v>55.180555555554747</c:v>
                </c:pt>
                <c:pt idx="44">
                  <c:v>56.048611111109494</c:v>
                </c:pt>
                <c:pt idx="45">
                  <c:v>57.979166666664241</c:v>
                </c:pt>
                <c:pt idx="46">
                  <c:v>59.003472222218988</c:v>
                </c:pt>
                <c:pt idx="47">
                  <c:v>61.961805555554747</c:v>
                </c:pt>
                <c:pt idx="48">
                  <c:v>62.975694444445253</c:v>
                </c:pt>
                <c:pt idx="49">
                  <c:v>64.034722222218988</c:v>
                </c:pt>
                <c:pt idx="50">
                  <c:v>65.034722222218988</c:v>
                </c:pt>
                <c:pt idx="51">
                  <c:v>67.96875</c:v>
                </c:pt>
                <c:pt idx="52">
                  <c:v>69.048611111109494</c:v>
                </c:pt>
                <c:pt idx="53">
                  <c:v>70.1875</c:v>
                </c:pt>
                <c:pt idx="54">
                  <c:v>71.21875</c:v>
                </c:pt>
                <c:pt idx="55">
                  <c:v>71.951388888890506</c:v>
                </c:pt>
                <c:pt idx="56">
                  <c:v>72.899305555554747</c:v>
                </c:pt>
                <c:pt idx="57">
                  <c:v>77.201388888890506</c:v>
                </c:pt>
                <c:pt idx="58">
                  <c:v>78.201388888890506</c:v>
                </c:pt>
                <c:pt idx="59">
                  <c:v>78.972222222218988</c:v>
                </c:pt>
                <c:pt idx="60">
                  <c:v>81.979166666664241</c:v>
                </c:pt>
                <c:pt idx="61">
                  <c:v>83.197916666664241</c:v>
                </c:pt>
                <c:pt idx="62">
                  <c:v>84.215277777781012</c:v>
                </c:pt>
                <c:pt idx="63">
                  <c:v>85.267361111109494</c:v>
                </c:pt>
              </c:numCache>
            </c:numRef>
          </c:xVal>
          <c:yVal>
            <c:numRef>
              <c:f>ferment.!$M$8:$M$71</c:f>
              <c:numCache>
                <c:formatCode>0.00E+00</c:formatCode>
                <c:ptCount val="64"/>
                <c:pt idx="0">
                  <c:v>462500</c:v>
                </c:pt>
                <c:pt idx="1">
                  <c:v>850000</c:v>
                </c:pt>
                <c:pt idx="2">
                  <c:v>1753333.3333333333</c:v>
                </c:pt>
                <c:pt idx="3">
                  <c:v>2991333.333333333</c:v>
                </c:pt>
                <c:pt idx="4">
                  <c:v>3270000</c:v>
                </c:pt>
                <c:pt idx="5">
                  <c:v>2815000</c:v>
                </c:pt>
                <c:pt idx="6">
                  <c:v>2655000</c:v>
                </c:pt>
                <c:pt idx="7">
                  <c:v>2197500</c:v>
                </c:pt>
                <c:pt idx="8">
                  <c:v>2813333.3333333335</c:v>
                </c:pt>
                <c:pt idx="9">
                  <c:v>2898333.3333333335</c:v>
                </c:pt>
                <c:pt idx="10">
                  <c:v>2880000</c:v>
                </c:pt>
                <c:pt idx="11">
                  <c:v>3210000</c:v>
                </c:pt>
                <c:pt idx="12">
                  <c:v>2870000</c:v>
                </c:pt>
                <c:pt idx="13">
                  <c:v>2380000</c:v>
                </c:pt>
                <c:pt idx="14">
                  <c:v>3353333.3333333335</c:v>
                </c:pt>
                <c:pt idx="15">
                  <c:v>3673333.3333333335</c:v>
                </c:pt>
                <c:pt idx="16">
                  <c:v>4250000</c:v>
                </c:pt>
                <c:pt idx="17">
                  <c:v>5190000</c:v>
                </c:pt>
                <c:pt idx="18">
                  <c:v>6375000</c:v>
                </c:pt>
                <c:pt idx="19">
                  <c:v>7245000</c:v>
                </c:pt>
                <c:pt idx="20">
                  <c:v>6360000</c:v>
                </c:pt>
                <c:pt idx="21">
                  <c:v>6900000</c:v>
                </c:pt>
                <c:pt idx="22">
                  <c:v>6850000</c:v>
                </c:pt>
                <c:pt idx="23">
                  <c:v>7995000</c:v>
                </c:pt>
                <c:pt idx="24">
                  <c:v>7470000</c:v>
                </c:pt>
                <c:pt idx="25">
                  <c:v>8280000</c:v>
                </c:pt>
                <c:pt idx="26">
                  <c:v>8830000</c:v>
                </c:pt>
                <c:pt idx="27">
                  <c:v>8760000</c:v>
                </c:pt>
                <c:pt idx="28">
                  <c:v>8805000</c:v>
                </c:pt>
                <c:pt idx="29">
                  <c:v>8800000</c:v>
                </c:pt>
                <c:pt idx="30">
                  <c:v>9705000</c:v>
                </c:pt>
                <c:pt idx="31">
                  <c:v>9375000</c:v>
                </c:pt>
                <c:pt idx="32">
                  <c:v>7485000</c:v>
                </c:pt>
                <c:pt idx="33">
                  <c:v>6900000</c:v>
                </c:pt>
                <c:pt idx="34">
                  <c:v>5480000</c:v>
                </c:pt>
                <c:pt idx="35">
                  <c:v>5595000</c:v>
                </c:pt>
                <c:pt idx="36">
                  <c:v>5313333.333333333</c:v>
                </c:pt>
                <c:pt idx="37">
                  <c:v>5400000</c:v>
                </c:pt>
                <c:pt idx="38">
                  <c:v>5326666.666666667</c:v>
                </c:pt>
                <c:pt idx="39">
                  <c:v>5613333.333333333</c:v>
                </c:pt>
                <c:pt idx="40">
                  <c:v>5190000</c:v>
                </c:pt>
                <c:pt idx="41">
                  <c:v>5170000</c:v>
                </c:pt>
                <c:pt idx="42">
                  <c:v>6110000</c:v>
                </c:pt>
                <c:pt idx="43">
                  <c:v>5593333.333333333</c:v>
                </c:pt>
                <c:pt idx="44">
                  <c:v>6086666.666666667</c:v>
                </c:pt>
                <c:pt idx="45">
                  <c:v>6752500</c:v>
                </c:pt>
                <c:pt idx="46">
                  <c:v>7325000</c:v>
                </c:pt>
                <c:pt idx="47">
                  <c:v>7940000</c:v>
                </c:pt>
                <c:pt idx="48">
                  <c:v>9210000</c:v>
                </c:pt>
                <c:pt idx="49">
                  <c:v>7470000</c:v>
                </c:pt>
                <c:pt idx="50">
                  <c:v>9330000</c:v>
                </c:pt>
                <c:pt idx="51">
                  <c:v>10780000</c:v>
                </c:pt>
                <c:pt idx="52">
                  <c:v>10493333.333333334</c:v>
                </c:pt>
                <c:pt idx="53">
                  <c:v>8626666.666666666</c:v>
                </c:pt>
                <c:pt idx="54">
                  <c:v>9600000</c:v>
                </c:pt>
                <c:pt idx="55">
                  <c:v>9753333.333333334</c:v>
                </c:pt>
                <c:pt idx="56">
                  <c:v>9173333.333333334</c:v>
                </c:pt>
                <c:pt idx="57">
                  <c:v>10760000</c:v>
                </c:pt>
                <c:pt idx="58">
                  <c:v>10720000</c:v>
                </c:pt>
                <c:pt idx="59">
                  <c:v>10740000</c:v>
                </c:pt>
                <c:pt idx="60">
                  <c:v>10440000</c:v>
                </c:pt>
                <c:pt idx="61">
                  <c:v>10306666.666666666</c:v>
                </c:pt>
                <c:pt idx="62">
                  <c:v>9773333.333333334</c:v>
                </c:pt>
                <c:pt idx="63">
                  <c:v>11000000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3-42E1-AAFE-EDDE06DA3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30072"/>
        <c:axId val="390130464"/>
      </c:scatterChart>
      <c:scatterChart>
        <c:scatterStyle val="lineMarker"/>
        <c:varyColors val="0"/>
        <c:ser>
          <c:idx val="1"/>
          <c:order val="1"/>
          <c:tx>
            <c:strRef>
              <c:f>ferment.!$DI$7</c:f>
              <c:strCache>
                <c:ptCount val="1"/>
                <c:pt idx="0">
                  <c:v>Δlac/Δgluc</c:v>
                </c:pt>
              </c:strCache>
            </c:strRef>
          </c:tx>
          <c:marker>
            <c:symbol val="none"/>
          </c:marker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1-EAE3-42E1-AAFE-EDDE06DA3F2F}"/>
              </c:ext>
            </c:extLst>
          </c:dPt>
          <c:xVal>
            <c:numRef>
              <c:f>ferment.!$E$9:$E$70</c:f>
              <c:numCache>
                <c:formatCode>0.00</c:formatCode>
                <c:ptCount val="62"/>
                <c:pt idx="0">
                  <c:v>0.98958333333575865</c:v>
                </c:pt>
                <c:pt idx="1">
                  <c:v>1.9513888888905058</c:v>
                </c:pt>
                <c:pt idx="2">
                  <c:v>2.8993055555547471</c:v>
                </c:pt>
                <c:pt idx="3">
                  <c:v>3.8958333333357587</c:v>
                </c:pt>
                <c:pt idx="4">
                  <c:v>5.03125</c:v>
                </c:pt>
                <c:pt idx="5">
                  <c:v>6.21875</c:v>
                </c:pt>
                <c:pt idx="6">
                  <c:v>6.9652777777810115</c:v>
                </c:pt>
                <c:pt idx="7">
                  <c:v>7.9909722222218988</c:v>
                </c:pt>
                <c:pt idx="8">
                  <c:v>8.9166666666642413</c:v>
                </c:pt>
                <c:pt idx="9">
                  <c:v>9.9097222222189885</c:v>
                </c:pt>
                <c:pt idx="10">
                  <c:v>10.895833333335759</c:v>
                </c:pt>
                <c:pt idx="11">
                  <c:v>12.208333333335759</c:v>
                </c:pt>
                <c:pt idx="12">
                  <c:v>13.017361111109494</c:v>
                </c:pt>
                <c:pt idx="13">
                  <c:v>15.048611111109494</c:v>
                </c:pt>
                <c:pt idx="14">
                  <c:v>15.9375</c:v>
                </c:pt>
                <c:pt idx="15">
                  <c:v>16.899305555554747</c:v>
                </c:pt>
                <c:pt idx="16">
                  <c:v>19.0625</c:v>
                </c:pt>
                <c:pt idx="17">
                  <c:v>19.979166666664241</c:v>
                </c:pt>
                <c:pt idx="18">
                  <c:v>21.225694444445253</c:v>
                </c:pt>
                <c:pt idx="19">
                  <c:v>22.145833333335759</c:v>
                </c:pt>
                <c:pt idx="20">
                  <c:v>23.020833333335759</c:v>
                </c:pt>
                <c:pt idx="21">
                  <c:v>23.90625</c:v>
                </c:pt>
                <c:pt idx="22">
                  <c:v>24.930555555554747</c:v>
                </c:pt>
                <c:pt idx="23">
                  <c:v>26.243055555554747</c:v>
                </c:pt>
                <c:pt idx="24">
                  <c:v>27.03125</c:v>
                </c:pt>
                <c:pt idx="25">
                  <c:v>28.145833333335759</c:v>
                </c:pt>
                <c:pt idx="26">
                  <c:v>29.201388888890506</c:v>
                </c:pt>
                <c:pt idx="27">
                  <c:v>30.041666666664241</c:v>
                </c:pt>
                <c:pt idx="28">
                  <c:v>33.152777777781012</c:v>
                </c:pt>
                <c:pt idx="29">
                  <c:v>35.194444444445253</c:v>
                </c:pt>
                <c:pt idx="30">
                  <c:v>36.274305555554747</c:v>
                </c:pt>
                <c:pt idx="31">
                  <c:v>37.902777777781012</c:v>
                </c:pt>
                <c:pt idx="32">
                  <c:v>38.902777777781012</c:v>
                </c:pt>
                <c:pt idx="33">
                  <c:v>41.1875</c:v>
                </c:pt>
                <c:pt idx="34">
                  <c:v>43.263888888890506</c:v>
                </c:pt>
                <c:pt idx="35">
                  <c:v>43.951388888890506</c:v>
                </c:pt>
                <c:pt idx="36">
                  <c:v>44.902777777781012</c:v>
                </c:pt>
                <c:pt idx="37">
                  <c:v>47.173611111109494</c:v>
                </c:pt>
                <c:pt idx="38">
                  <c:v>47.944444444445253</c:v>
                </c:pt>
                <c:pt idx="39">
                  <c:v>48.989583333335759</c:v>
                </c:pt>
                <c:pt idx="40">
                  <c:v>51.225694444445253</c:v>
                </c:pt>
                <c:pt idx="41">
                  <c:v>54.138888888890506</c:v>
                </c:pt>
                <c:pt idx="42">
                  <c:v>55.180555555554747</c:v>
                </c:pt>
                <c:pt idx="43">
                  <c:v>56.048611111109494</c:v>
                </c:pt>
                <c:pt idx="44">
                  <c:v>57.979166666664241</c:v>
                </c:pt>
                <c:pt idx="45">
                  <c:v>59.003472222218988</c:v>
                </c:pt>
                <c:pt idx="46">
                  <c:v>61.961805555554747</c:v>
                </c:pt>
                <c:pt idx="47">
                  <c:v>62.975694444445253</c:v>
                </c:pt>
                <c:pt idx="48">
                  <c:v>64.034722222218988</c:v>
                </c:pt>
                <c:pt idx="49">
                  <c:v>65.034722222218988</c:v>
                </c:pt>
                <c:pt idx="50">
                  <c:v>67.96875</c:v>
                </c:pt>
                <c:pt idx="51">
                  <c:v>69.048611111109494</c:v>
                </c:pt>
                <c:pt idx="52">
                  <c:v>70.1875</c:v>
                </c:pt>
                <c:pt idx="53">
                  <c:v>71.21875</c:v>
                </c:pt>
                <c:pt idx="54">
                  <c:v>71.951388888890506</c:v>
                </c:pt>
                <c:pt idx="55">
                  <c:v>72.899305555554747</c:v>
                </c:pt>
                <c:pt idx="56">
                  <c:v>77.201388888890506</c:v>
                </c:pt>
                <c:pt idx="57">
                  <c:v>78.201388888890506</c:v>
                </c:pt>
                <c:pt idx="58">
                  <c:v>78.972222222218988</c:v>
                </c:pt>
                <c:pt idx="59">
                  <c:v>81.979166666664241</c:v>
                </c:pt>
                <c:pt idx="60">
                  <c:v>83.197916666664241</c:v>
                </c:pt>
                <c:pt idx="61">
                  <c:v>84.215277777781012</c:v>
                </c:pt>
              </c:numCache>
            </c:numRef>
          </c:xVal>
          <c:yVal>
            <c:numRef>
              <c:f>ferment.!$DI$9:$DI$70</c:f>
              <c:numCache>
                <c:formatCode>0.00</c:formatCode>
                <c:ptCount val="62"/>
                <c:pt idx="0">
                  <c:v>-1.1130189282559231</c:v>
                </c:pt>
                <c:pt idx="1">
                  <c:v>-1.3845231884305074</c:v>
                </c:pt>
                <c:pt idx="2">
                  <c:v>-2.4842644257793758</c:v>
                </c:pt>
                <c:pt idx="3">
                  <c:v>-1.1029873344224006</c:v>
                </c:pt>
                <c:pt idx="4">
                  <c:v>-1.7308494750835373</c:v>
                </c:pt>
                <c:pt idx="5">
                  <c:v>-1.7947996368542285</c:v>
                </c:pt>
                <c:pt idx="6">
                  <c:v>-2.3085165323125563</c:v>
                </c:pt>
                <c:pt idx="7">
                  <c:v>-3.0367363192528525</c:v>
                </c:pt>
                <c:pt idx="8">
                  <c:v>-2.5432293982714564</c:v>
                </c:pt>
                <c:pt idx="9">
                  <c:v>-2.1865326304084149</c:v>
                </c:pt>
                <c:pt idx="10">
                  <c:v>-2.4608208516569108</c:v>
                </c:pt>
                <c:pt idx="11">
                  <c:v>-2.2462244597947798</c:v>
                </c:pt>
                <c:pt idx="12">
                  <c:v>-1.8280218525657144</c:v>
                </c:pt>
                <c:pt idx="13">
                  <c:v>-1.7250035296861532</c:v>
                </c:pt>
                <c:pt idx="14">
                  <c:v>-1.6842534305841053</c:v>
                </c:pt>
                <c:pt idx="15">
                  <c:v>-1.6789170334909012</c:v>
                </c:pt>
                <c:pt idx="16">
                  <c:v>-1.3235756485116448</c:v>
                </c:pt>
                <c:pt idx="17">
                  <c:v>-1.4891611498769604</c:v>
                </c:pt>
                <c:pt idx="18">
                  <c:v>-1.4648825849623868</c:v>
                </c:pt>
                <c:pt idx="19">
                  <c:v>-1.4106358654785955</c:v>
                </c:pt>
                <c:pt idx="20">
                  <c:v>-1.0063146083960997</c:v>
                </c:pt>
                <c:pt idx="21">
                  <c:v>-0.89921312259522368</c:v>
                </c:pt>
                <c:pt idx="22">
                  <c:v>-1.3816999454039305</c:v>
                </c:pt>
                <c:pt idx="23">
                  <c:v>-1.1036553071543151</c:v>
                </c:pt>
                <c:pt idx="24">
                  <c:v>-1.2910388705624571</c:v>
                </c:pt>
                <c:pt idx="25">
                  <c:v>-1.1760166427618177</c:v>
                </c:pt>
                <c:pt idx="26">
                  <c:v>-1.1939478715960752</c:v>
                </c:pt>
                <c:pt idx="27">
                  <c:v>-0.86977485446716007</c:v>
                </c:pt>
                <c:pt idx="28">
                  <c:v>-1.1206052687333756</c:v>
                </c:pt>
                <c:pt idx="29">
                  <c:v>-1.156562024963929</c:v>
                </c:pt>
                <c:pt idx="30">
                  <c:v>-1.1712293244268026</c:v>
                </c:pt>
                <c:pt idx="31">
                  <c:v>-1.1571840889118747</c:v>
                </c:pt>
                <c:pt idx="32">
                  <c:v>-1.0589630044504244</c:v>
                </c:pt>
                <c:pt idx="33">
                  <c:v>-1.1342191516751976</c:v>
                </c:pt>
                <c:pt idx="34">
                  <c:v>-1.2098867777713496</c:v>
                </c:pt>
                <c:pt idx="35">
                  <c:v>-1.5151976182281328</c:v>
                </c:pt>
                <c:pt idx="36">
                  <c:v>-1.0170922658048358</c:v>
                </c:pt>
                <c:pt idx="37">
                  <c:v>-1.3269799367897328</c:v>
                </c:pt>
                <c:pt idx="38">
                  <c:v>-1.315355264918612</c:v>
                </c:pt>
                <c:pt idx="39">
                  <c:v>-1.4115326565159358</c:v>
                </c:pt>
                <c:pt idx="40">
                  <c:v>-1.4776759534881359</c:v>
                </c:pt>
                <c:pt idx="41">
                  <c:v>-1.7289869341067978</c:v>
                </c:pt>
                <c:pt idx="42">
                  <c:v>-1.5777323060779427</c:v>
                </c:pt>
                <c:pt idx="43">
                  <c:v>-1.5044524960407943</c:v>
                </c:pt>
                <c:pt idx="44">
                  <c:v>-1.5129106729595536</c:v>
                </c:pt>
                <c:pt idx="45">
                  <c:v>-1.3439308952128857</c:v>
                </c:pt>
                <c:pt idx="46">
                  <c:v>-1.1750521000996772</c:v>
                </c:pt>
                <c:pt idx="47">
                  <c:v>-1.3039296743614845</c:v>
                </c:pt>
                <c:pt idx="48">
                  <c:v>-1.2769937176139494</c:v>
                </c:pt>
                <c:pt idx="49">
                  <c:v>-1.282710189772585</c:v>
                </c:pt>
                <c:pt idx="50">
                  <c:v>-1.1318734006645716</c:v>
                </c:pt>
                <c:pt idx="51">
                  <c:v>-1.0824394381747078</c:v>
                </c:pt>
                <c:pt idx="52">
                  <c:v>-1.1891863136475731</c:v>
                </c:pt>
                <c:pt idx="53">
                  <c:v>-1.1172516714280916</c:v>
                </c:pt>
                <c:pt idx="54">
                  <c:v>-1.1057381141436062</c:v>
                </c:pt>
                <c:pt idx="55">
                  <c:v>-1.0544982063450212</c:v>
                </c:pt>
                <c:pt idx="56">
                  <c:v>-0.98135532809155046</c:v>
                </c:pt>
                <c:pt idx="57">
                  <c:v>-0.99719976087776208</c:v>
                </c:pt>
                <c:pt idx="58">
                  <c:v>-0.90607282123331057</c:v>
                </c:pt>
                <c:pt idx="59">
                  <c:v>-1.0144014970447424</c:v>
                </c:pt>
                <c:pt idx="60">
                  <c:v>-0.88176310213225051</c:v>
                </c:pt>
                <c:pt idx="61">
                  <c:v>-1.0014783305473509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E3-42E1-AAFE-EDDE06DA3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31248"/>
        <c:axId val="390130856"/>
      </c:scatterChart>
      <c:valAx>
        <c:axId val="390130072"/>
        <c:scaling>
          <c:orientation val="minMax"/>
          <c:min val="0"/>
        </c:scaling>
        <c:delete val="0"/>
        <c:axPos val="b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Culture</a:t>
                </a:r>
                <a:r>
                  <a:rPr lang="en-US" baseline="0"/>
                  <a:t> time (d)</a:t>
                </a:r>
                <a:endParaRPr lang="en-US"/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lang="es-ES" sz="1200"/>
            </a:pPr>
            <a:endParaRPr lang="es-ES"/>
          </a:p>
        </c:txPr>
        <c:crossAx val="390130464"/>
        <c:crosses val="autoZero"/>
        <c:crossBetween val="midCat"/>
        <c:minorUnit val="2"/>
      </c:valAx>
      <c:valAx>
        <c:axId val="390130464"/>
        <c:scaling>
          <c:orientation val="minMax"/>
          <c:max val="130000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Viable</a:t>
                </a:r>
                <a:r>
                  <a:rPr lang="en-US" baseline="0"/>
                  <a:t> cell density (cel/mL)</a:t>
                </a:r>
                <a:endParaRPr lang="en-US"/>
              </a:p>
            </c:rich>
          </c:tx>
          <c:overlay val="0"/>
        </c:title>
        <c:numFmt formatCode="0.0E+00" sourceLinked="0"/>
        <c:majorTickMark val="none"/>
        <c:minorTickMark val="none"/>
        <c:tickLblPos val="nextTo"/>
        <c:txPr>
          <a:bodyPr/>
          <a:lstStyle/>
          <a:p>
            <a:pPr>
              <a:defRPr lang="es-ES" sz="1200"/>
            </a:pPr>
            <a:endParaRPr lang="es-ES"/>
          </a:p>
        </c:txPr>
        <c:crossAx val="390130072"/>
        <c:crosses val="autoZero"/>
        <c:crossBetween val="midCat"/>
      </c:valAx>
      <c:valAx>
        <c:axId val="3901308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l-GR" sz="1000" b="1" i="0" u="none" strike="noStrike" baseline="0">
                    <a:effectLst/>
                  </a:rPr>
                  <a:t>Δ</a:t>
                </a:r>
                <a:r>
                  <a:rPr lang="en-US" sz="1000" b="1" i="0" u="none" strike="noStrike" baseline="0">
                    <a:effectLst/>
                  </a:rPr>
                  <a:t>lac/</a:t>
                </a:r>
                <a:r>
                  <a:rPr lang="el-GR" sz="1000" b="1" i="0" u="none" strike="noStrike" baseline="0">
                    <a:effectLst/>
                  </a:rPr>
                  <a:t>Δ</a:t>
                </a:r>
                <a:r>
                  <a:rPr lang="en-US" sz="1000" b="1" i="0" u="none" strike="noStrike" baseline="0">
                    <a:effectLst/>
                  </a:rPr>
                  <a:t>gluc</a:t>
                </a:r>
                <a:r>
                  <a:rPr lang="en-US" sz="1000" b="1" i="0" u="none" strike="noStrike" baseline="0"/>
                  <a:t> (mol/mol)</a:t>
                </a:r>
                <a:endParaRPr lang="en-US"/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crossAx val="390131248"/>
        <c:crosses val="max"/>
        <c:crossBetween val="midCat"/>
      </c:valAx>
      <c:valAx>
        <c:axId val="39013124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one"/>
        <c:crossAx val="390130856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0.28976862824408123"/>
          <c:y val="0.89695754207610867"/>
          <c:w val="0.49379954454488695"/>
          <c:h val="0.1026483154270792"/>
        </c:manualLayout>
      </c:layout>
      <c:overlay val="0"/>
      <c:txPr>
        <a:bodyPr/>
        <a:lstStyle/>
        <a:p>
          <a:pPr>
            <a:defRPr lang="es-ES" sz="12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CSPR vs Conc. IgG </a:t>
            </a:r>
          </a:p>
          <a:p>
            <a:pPr>
              <a:defRPr/>
            </a:pPr>
            <a:r>
              <a:rPr lang="es-ES"/>
              <a:t> 3228TA1204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2085357681353671"/>
                  <c:y val="-0.30807428122221248"/>
                </c:manualLayout>
              </c:layout>
              <c:numFmt formatCode="General" sourceLinked="0"/>
            </c:trendlineLbl>
          </c:trendline>
          <c:xVal>
            <c:numRef>
              <c:f>ferment.!$AK$13:$AK$47</c:f>
              <c:numCache>
                <c:formatCode>0.000</c:formatCode>
                <c:ptCount val="35"/>
                <c:pt idx="0">
                  <c:v>0.16425766291364302</c:v>
                </c:pt>
                <c:pt idx="1">
                  <c:v>0.16651798988997915</c:v>
                </c:pt>
                <c:pt idx="2">
                  <c:v>0.19811096118653776</c:v>
                </c:pt>
                <c:pt idx="3">
                  <c:v>0.16460931759387357</c:v>
                </c:pt>
                <c:pt idx="4">
                  <c:v>0.15840647913595721</c:v>
                </c:pt>
                <c:pt idx="5">
                  <c:v>0.15734265734278549</c:v>
                </c:pt>
                <c:pt idx="6">
                  <c:v>0.14216137949108879</c:v>
                </c:pt>
                <c:pt idx="7">
                  <c:v>0.15264642442342782</c:v>
                </c:pt>
                <c:pt idx="8">
                  <c:v>0.1687885454619463</c:v>
                </c:pt>
                <c:pt idx="9">
                  <c:v>0.12111943722281697</c:v>
                </c:pt>
                <c:pt idx="10">
                  <c:v>0.10719147005425138</c:v>
                </c:pt>
                <c:pt idx="11">
                  <c:v>9.1739222764995354E-2</c:v>
                </c:pt>
                <c:pt idx="12">
                  <c:v>7.7937260505264117E-2</c:v>
                </c:pt>
                <c:pt idx="13">
                  <c:v>6.4171122994822194E-2</c:v>
                </c:pt>
                <c:pt idx="14">
                  <c:v>5.5364279658674E-2</c:v>
                </c:pt>
                <c:pt idx="15">
                  <c:v>6.4079743680912682E-2</c:v>
                </c:pt>
                <c:pt idx="16">
                  <c:v>5.7971014492753561E-2</c:v>
                </c:pt>
                <c:pt idx="17">
                  <c:v>5.770717045958295E-2</c:v>
                </c:pt>
                <c:pt idx="18">
                  <c:v>5.1896842306143158E-2</c:v>
                </c:pt>
                <c:pt idx="19">
                  <c:v>5.3547523427041534E-2</c:v>
                </c:pt>
                <c:pt idx="20">
                  <c:v>4.9798889101653469E-2</c:v>
                </c:pt>
                <c:pt idx="21">
                  <c:v>4.5723478794578908E-2</c:v>
                </c:pt>
                <c:pt idx="22">
                  <c:v>4.5962509012291757E-2</c:v>
                </c:pt>
                <c:pt idx="23">
                  <c:v>4.3926957354457029E-2</c:v>
                </c:pt>
                <c:pt idx="24">
                  <c:v>4.017857142849833E-2</c:v>
                </c:pt>
                <c:pt idx="25">
                  <c:v>3.6337255149398145E-2</c:v>
                </c:pt>
                <c:pt idx="26">
                  <c:v>3.7535691318384079E-2</c:v>
                </c:pt>
                <c:pt idx="27">
                  <c:v>4.7173237733345648E-2</c:v>
                </c:pt>
                <c:pt idx="28">
                  <c:v>5.0724637681159368E-2</c:v>
                </c:pt>
                <c:pt idx="29">
                  <c:v>6.3896345927807616E-2</c:v>
                </c:pt>
                <c:pt idx="30">
                  <c:v>6.2406412796852724E-2</c:v>
                </c:pt>
                <c:pt idx="31">
                  <c:v>6.8438462415877727E-2</c:v>
                </c:pt>
                <c:pt idx="32">
                  <c:v>6.3260340632495748E-2</c:v>
                </c:pt>
                <c:pt idx="33">
                  <c:v>6.6137718019224814E-2</c:v>
                </c:pt>
                <c:pt idx="34">
                  <c:v>6.355524170230982E-2</c:v>
                </c:pt>
              </c:numCache>
            </c:numRef>
          </c:xVal>
          <c:yVal>
            <c:numRef>
              <c:f>ferment.!$BH$15:$BH$47</c:f>
              <c:numCache>
                <c:formatCode>0.00</c:formatCode>
                <c:ptCount val="33"/>
                <c:pt idx="0">
                  <c:v>14.272994666666666</c:v>
                </c:pt>
                <c:pt idx="1">
                  <c:v>15.134007333333333</c:v>
                </c:pt>
                <c:pt idx="2">
                  <c:v>16.650417666666666</c:v>
                </c:pt>
                <c:pt idx="3">
                  <c:v>16.873167333333331</c:v>
                </c:pt>
                <c:pt idx="4">
                  <c:v>16.04214</c:v>
                </c:pt>
                <c:pt idx="5">
                  <c:v>6.8107706666666674</c:v>
                </c:pt>
                <c:pt idx="6">
                  <c:v>9.5695516666666656</c:v>
                </c:pt>
                <c:pt idx="7">
                  <c:v>1.27647</c:v>
                </c:pt>
                <c:pt idx="8">
                  <c:v>1.2389881666666667</c:v>
                </c:pt>
                <c:pt idx="9">
                  <c:v>1.2015063333333336</c:v>
                </c:pt>
                <c:pt idx="10">
                  <c:v>0.92943833333333337</c:v>
                </c:pt>
                <c:pt idx="11">
                  <c:v>2.6502060000000003</c:v>
                </c:pt>
                <c:pt idx="12">
                  <c:v>3.0100790000000002</c:v>
                </c:pt>
                <c:pt idx="13">
                  <c:v>3.1354280000000001</c:v>
                </c:pt>
                <c:pt idx="14">
                  <c:v>3.260777</c:v>
                </c:pt>
                <c:pt idx="15">
                  <c:v>3.4426134999999998</c:v>
                </c:pt>
                <c:pt idx="16">
                  <c:v>1.8440715000000001</c:v>
                </c:pt>
                <c:pt idx="17">
                  <c:v>11.835697</c:v>
                </c:pt>
                <c:pt idx="18">
                  <c:v>11.144857333333333</c:v>
                </c:pt>
                <c:pt idx="19">
                  <c:v>11.295039666666666</c:v>
                </c:pt>
                <c:pt idx="20">
                  <c:v>9.9447149999999986</c:v>
                </c:pt>
                <c:pt idx="21">
                  <c:v>11.456551333333335</c:v>
                </c:pt>
                <c:pt idx="22">
                  <c:v>12.147391000000001</c:v>
                </c:pt>
                <c:pt idx="23">
                  <c:v>19.826721666666664</c:v>
                </c:pt>
                <c:pt idx="24">
                  <c:v>24.852828666666667</c:v>
                </c:pt>
                <c:pt idx="25">
                  <c:v>31.510918666666665</c:v>
                </c:pt>
                <c:pt idx="26">
                  <c:v>32.181733666666666</c:v>
                </c:pt>
                <c:pt idx="27">
                  <c:v>23.869045</c:v>
                </c:pt>
                <c:pt idx="28">
                  <c:v>18.779384999999998</c:v>
                </c:pt>
                <c:pt idx="29">
                  <c:v>17.926008333333336</c:v>
                </c:pt>
                <c:pt idx="30">
                  <c:v>14.529501666666668</c:v>
                </c:pt>
                <c:pt idx="31">
                  <c:v>12.065904999999999</c:v>
                </c:pt>
                <c:pt idx="32">
                  <c:v>7.1696749999999998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0-4A33-9770-D948B0261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690464"/>
        <c:axId val="303691248"/>
      </c:scatterChart>
      <c:valAx>
        <c:axId val="3036904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CSPR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303691248"/>
        <c:crosses val="autoZero"/>
        <c:crossBetween val="midCat"/>
        <c:majorUnit val="0.05"/>
      </c:valAx>
      <c:valAx>
        <c:axId val="303691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Conc.IgG (mg/L)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303690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5601076483401"/>
          <c:y val="6.5639189664065012E-2"/>
          <c:w val="0.77048471288960729"/>
          <c:h val="0.75842894603535049"/>
        </c:manualLayout>
      </c:layout>
      <c:scatterChart>
        <c:scatterStyle val="lineMarker"/>
        <c:varyColors val="0"/>
        <c:ser>
          <c:idx val="2"/>
          <c:order val="0"/>
          <c:tx>
            <c:strRef>
              <c:f>ferment.!$J$6</c:f>
              <c:strCache>
                <c:ptCount val="1"/>
                <c:pt idx="0">
                  <c:v>Xv(Promedio) </c:v>
                </c:pt>
              </c:strCache>
            </c:strRef>
          </c:tx>
          <c:spPr>
            <a:ln w="38100">
              <a:solidFill>
                <a:srgbClr val="0070C0"/>
              </a:solidFill>
            </a:ln>
          </c:spPr>
          <c:marker>
            <c:symbol val="diamond"/>
            <c:size val="9"/>
            <c:spPr>
              <a:solidFill>
                <a:schemeClr val="accent1"/>
              </a:solidFill>
              <a:ln>
                <a:solidFill>
                  <a:srgbClr val="0070C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ferment.!$K$8:$K$71</c:f>
                <c:numCache>
                  <c:formatCode>General</c:formatCode>
                  <c:ptCount val="64"/>
                  <c:pt idx="0">
                    <c:v>17677.66952966369</c:v>
                  </c:pt>
                  <c:pt idx="1">
                    <c:v>96436.507609929555</c:v>
                  </c:pt>
                  <c:pt idx="2">
                    <c:v>180092.568789868</c:v>
                  </c:pt>
                  <c:pt idx="3">
                    <c:v>159478.31618540914</c:v>
                  </c:pt>
                  <c:pt idx="4">
                    <c:v>296984.84809834993</c:v>
                  </c:pt>
                  <c:pt idx="5">
                    <c:v>63639.610306789276</c:v>
                  </c:pt>
                  <c:pt idx="6">
                    <c:v>35355.33905932738</c:v>
                  </c:pt>
                  <c:pt idx="7">
                    <c:v>222738.63607376246</c:v>
                  </c:pt>
                  <c:pt idx="8">
                    <c:v>533041.58687041851</c:v>
                  </c:pt>
                  <c:pt idx="9">
                    <c:v>414014.89506216318</c:v>
                  </c:pt>
                  <c:pt idx="10">
                    <c:v>383014.36004411115</c:v>
                  </c:pt>
                  <c:pt idx="11">
                    <c:v>21213.203435596424</c:v>
                  </c:pt>
                  <c:pt idx="12">
                    <c:v>150249.7920131672</c:v>
                  </c:pt>
                  <c:pt idx="13">
                    <c:v>424264.0687119285</c:v>
                  </c:pt>
                  <c:pt idx="14">
                    <c:v>391066.91669499909</c:v>
                  </c:pt>
                  <c:pt idx="15">
                    <c:v>360185.13757973595</c:v>
                  </c:pt>
                  <c:pt idx="16">
                    <c:v>14142.13562373095</c:v>
                  </c:pt>
                  <c:pt idx="17">
                    <c:v>750000</c:v>
                  </c:pt>
                  <c:pt idx="18">
                    <c:v>21213.203435596424</c:v>
                  </c:pt>
                  <c:pt idx="19">
                    <c:v>275771.64466275356</c:v>
                  </c:pt>
                  <c:pt idx="20">
                    <c:v>593969.69619669986</c:v>
                  </c:pt>
                  <c:pt idx="21">
                    <c:v>254558.44122715711</c:v>
                  </c:pt>
                  <c:pt idx="22">
                    <c:v>645058.13691480551</c:v>
                  </c:pt>
                  <c:pt idx="23">
                    <c:v>106066.01717798212</c:v>
                  </c:pt>
                  <c:pt idx="24">
                    <c:v>169705.62748477139</c:v>
                  </c:pt>
                  <c:pt idx="25">
                    <c:v>1304568.894309534</c:v>
                  </c:pt>
                  <c:pt idx="26">
                    <c:v>283548.93757515651</c:v>
                  </c:pt>
                  <c:pt idx="27">
                    <c:v>1110000</c:v>
                  </c:pt>
                  <c:pt idx="28">
                    <c:v>275771.64466275356</c:v>
                  </c:pt>
                  <c:pt idx="29">
                    <c:v>969484.39904930908</c:v>
                  </c:pt>
                  <c:pt idx="30">
                    <c:v>360624.45840513922</c:v>
                  </c:pt>
                  <c:pt idx="31">
                    <c:v>63639.610306789276</c:v>
                  </c:pt>
                  <c:pt idx="32">
                    <c:v>487903.67901871778</c:v>
                  </c:pt>
                  <c:pt idx="33">
                    <c:v>42426.406871192848</c:v>
                  </c:pt>
                  <c:pt idx="34">
                    <c:v>197989.8987322333</c:v>
                  </c:pt>
                  <c:pt idx="35">
                    <c:v>63639.610306789276</c:v>
                  </c:pt>
                  <c:pt idx="36">
                    <c:v>659191.42389243504</c:v>
                  </c:pt>
                  <c:pt idx="37">
                    <c:v>572363.52085016738</c:v>
                  </c:pt>
                  <c:pt idx="38">
                    <c:v>594754.85145842505</c:v>
                  </c:pt>
                  <c:pt idx="39">
                    <c:v>784941.6114166301</c:v>
                  </c:pt>
                  <c:pt idx="40">
                    <c:v>381837.66184073564</c:v>
                  </c:pt>
                  <c:pt idx="41">
                    <c:v>42426.406871192848</c:v>
                  </c:pt>
                  <c:pt idx="42">
                    <c:v>353553.39059327374</c:v>
                  </c:pt>
                  <c:pt idx="43">
                    <c:v>445570.79497351858</c:v>
                  </c:pt>
                  <c:pt idx="44">
                    <c:v>530785.58131634782</c:v>
                  </c:pt>
                  <c:pt idx="45">
                    <c:v>385373.19574666838</c:v>
                  </c:pt>
                  <c:pt idx="46">
                    <c:v>0</c:v>
                  </c:pt>
                  <c:pt idx="47">
                    <c:v>278747.19729532709</c:v>
                  </c:pt>
                  <c:pt idx="48">
                    <c:v>84852.813742385697</c:v>
                  </c:pt>
                  <c:pt idx="49">
                    <c:v>551543.28932550712</c:v>
                  </c:pt>
                  <c:pt idx="50">
                    <c:v>763675.32368147129</c:v>
                  </c:pt>
                  <c:pt idx="51">
                    <c:v>480312.39834091312</c:v>
                  </c:pt>
                  <c:pt idx="52">
                    <c:v>543077.64945110132</c:v>
                  </c:pt>
                  <c:pt idx="53">
                    <c:v>344867.1241700683</c:v>
                  </c:pt>
                  <c:pt idx="54">
                    <c:v>169705.62748477139</c:v>
                  </c:pt>
                  <c:pt idx="55">
                    <c:v>457966.51988254918</c:v>
                  </c:pt>
                  <c:pt idx="56">
                    <c:v>310698.13860616117</c:v>
                  </c:pt>
                  <c:pt idx="57">
                    <c:v>520000</c:v>
                  </c:pt>
                  <c:pt idx="58">
                    <c:v>169705.62748477139</c:v>
                  </c:pt>
                  <c:pt idx="59">
                    <c:v>28284.2712474619</c:v>
                  </c:pt>
                  <c:pt idx="60">
                    <c:v>56568.5424949238</c:v>
                  </c:pt>
                  <c:pt idx="61">
                    <c:v>861935.80580767919</c:v>
                  </c:pt>
                  <c:pt idx="62">
                    <c:v>1405323.2131197946</c:v>
                  </c:pt>
                  <c:pt idx="63">
                    <c:v>937229.96110879851</c:v>
                  </c:pt>
                </c:numCache>
              </c:numRef>
            </c:plus>
            <c:minus>
              <c:numRef>
                <c:f>ferment.!$K$8:$K$71</c:f>
                <c:numCache>
                  <c:formatCode>General</c:formatCode>
                  <c:ptCount val="64"/>
                  <c:pt idx="0">
                    <c:v>17677.66952966369</c:v>
                  </c:pt>
                  <c:pt idx="1">
                    <c:v>96436.507609929555</c:v>
                  </c:pt>
                  <c:pt idx="2">
                    <c:v>180092.568789868</c:v>
                  </c:pt>
                  <c:pt idx="3">
                    <c:v>159478.31618540914</c:v>
                  </c:pt>
                  <c:pt idx="4">
                    <c:v>296984.84809834993</c:v>
                  </c:pt>
                  <c:pt idx="5">
                    <c:v>63639.610306789276</c:v>
                  </c:pt>
                  <c:pt idx="6">
                    <c:v>35355.33905932738</c:v>
                  </c:pt>
                  <c:pt idx="7">
                    <c:v>222738.63607376246</c:v>
                  </c:pt>
                  <c:pt idx="8">
                    <c:v>533041.58687041851</c:v>
                  </c:pt>
                  <c:pt idx="9">
                    <c:v>414014.89506216318</c:v>
                  </c:pt>
                  <c:pt idx="10">
                    <c:v>383014.36004411115</c:v>
                  </c:pt>
                  <c:pt idx="11">
                    <c:v>21213.203435596424</c:v>
                  </c:pt>
                  <c:pt idx="12">
                    <c:v>150249.7920131672</c:v>
                  </c:pt>
                  <c:pt idx="13">
                    <c:v>424264.0687119285</c:v>
                  </c:pt>
                  <c:pt idx="14">
                    <c:v>391066.91669499909</c:v>
                  </c:pt>
                  <c:pt idx="15">
                    <c:v>360185.13757973595</c:v>
                  </c:pt>
                  <c:pt idx="16">
                    <c:v>14142.13562373095</c:v>
                  </c:pt>
                  <c:pt idx="17">
                    <c:v>750000</c:v>
                  </c:pt>
                  <c:pt idx="18">
                    <c:v>21213.203435596424</c:v>
                  </c:pt>
                  <c:pt idx="19">
                    <c:v>275771.64466275356</c:v>
                  </c:pt>
                  <c:pt idx="20">
                    <c:v>593969.69619669986</c:v>
                  </c:pt>
                  <c:pt idx="21">
                    <c:v>254558.44122715711</c:v>
                  </c:pt>
                  <c:pt idx="22">
                    <c:v>645058.13691480551</c:v>
                  </c:pt>
                  <c:pt idx="23">
                    <c:v>106066.01717798212</c:v>
                  </c:pt>
                  <c:pt idx="24">
                    <c:v>169705.62748477139</c:v>
                  </c:pt>
                  <c:pt idx="25">
                    <c:v>1304568.894309534</c:v>
                  </c:pt>
                  <c:pt idx="26">
                    <c:v>283548.93757515651</c:v>
                  </c:pt>
                  <c:pt idx="27">
                    <c:v>1110000</c:v>
                  </c:pt>
                  <c:pt idx="28">
                    <c:v>275771.64466275356</c:v>
                  </c:pt>
                  <c:pt idx="29">
                    <c:v>969484.39904930908</c:v>
                  </c:pt>
                  <c:pt idx="30">
                    <c:v>360624.45840513922</c:v>
                  </c:pt>
                  <c:pt idx="31">
                    <c:v>63639.610306789276</c:v>
                  </c:pt>
                  <c:pt idx="32">
                    <c:v>487903.67901871778</c:v>
                  </c:pt>
                  <c:pt idx="33">
                    <c:v>42426.406871192848</c:v>
                  </c:pt>
                  <c:pt idx="34">
                    <c:v>197989.8987322333</c:v>
                  </c:pt>
                  <c:pt idx="35">
                    <c:v>63639.610306789276</c:v>
                  </c:pt>
                  <c:pt idx="36">
                    <c:v>659191.42389243504</c:v>
                  </c:pt>
                  <c:pt idx="37">
                    <c:v>572363.52085016738</c:v>
                  </c:pt>
                  <c:pt idx="38">
                    <c:v>594754.85145842505</c:v>
                  </c:pt>
                  <c:pt idx="39">
                    <c:v>784941.6114166301</c:v>
                  </c:pt>
                  <c:pt idx="40">
                    <c:v>381837.66184073564</c:v>
                  </c:pt>
                  <c:pt idx="41">
                    <c:v>42426.406871192848</c:v>
                  </c:pt>
                  <c:pt idx="42">
                    <c:v>353553.39059327374</c:v>
                  </c:pt>
                  <c:pt idx="43">
                    <c:v>445570.79497351858</c:v>
                  </c:pt>
                  <c:pt idx="44">
                    <c:v>530785.58131634782</c:v>
                  </c:pt>
                  <c:pt idx="45">
                    <c:v>385373.19574666838</c:v>
                  </c:pt>
                  <c:pt idx="46">
                    <c:v>0</c:v>
                  </c:pt>
                  <c:pt idx="47">
                    <c:v>278747.19729532709</c:v>
                  </c:pt>
                  <c:pt idx="48">
                    <c:v>84852.813742385697</c:v>
                  </c:pt>
                  <c:pt idx="49">
                    <c:v>551543.28932550712</c:v>
                  </c:pt>
                  <c:pt idx="50">
                    <c:v>763675.32368147129</c:v>
                  </c:pt>
                  <c:pt idx="51">
                    <c:v>480312.39834091312</c:v>
                  </c:pt>
                  <c:pt idx="52">
                    <c:v>543077.64945110132</c:v>
                  </c:pt>
                  <c:pt idx="53">
                    <c:v>344867.1241700683</c:v>
                  </c:pt>
                  <c:pt idx="54">
                    <c:v>169705.62748477139</c:v>
                  </c:pt>
                  <c:pt idx="55">
                    <c:v>457966.51988254918</c:v>
                  </c:pt>
                  <c:pt idx="56">
                    <c:v>310698.13860616117</c:v>
                  </c:pt>
                  <c:pt idx="57">
                    <c:v>520000</c:v>
                  </c:pt>
                  <c:pt idx="58">
                    <c:v>169705.62748477139</c:v>
                  </c:pt>
                  <c:pt idx="59">
                    <c:v>28284.2712474619</c:v>
                  </c:pt>
                  <c:pt idx="60">
                    <c:v>56568.5424949238</c:v>
                  </c:pt>
                  <c:pt idx="61">
                    <c:v>861935.80580767919</c:v>
                  </c:pt>
                  <c:pt idx="62">
                    <c:v>1405323.2131197946</c:v>
                  </c:pt>
                  <c:pt idx="63">
                    <c:v>937229.96110879851</c:v>
                  </c:pt>
                </c:numCache>
              </c:numRef>
            </c:minus>
          </c:errBars>
          <c:xVal>
            <c:numRef>
              <c:f>ferment.!$E$8:$E$71</c:f>
              <c:numCache>
                <c:formatCode>0.00</c:formatCode>
                <c:ptCount val="64"/>
                <c:pt idx="0">
                  <c:v>2.0833333335758653E-2</c:v>
                </c:pt>
                <c:pt idx="1">
                  <c:v>0.98958333333575865</c:v>
                </c:pt>
                <c:pt idx="2">
                  <c:v>1.9513888888905058</c:v>
                </c:pt>
                <c:pt idx="3">
                  <c:v>2.8993055555547471</c:v>
                </c:pt>
                <c:pt idx="4">
                  <c:v>3.8958333333357587</c:v>
                </c:pt>
                <c:pt idx="5">
                  <c:v>5.03125</c:v>
                </c:pt>
                <c:pt idx="6">
                  <c:v>6.21875</c:v>
                </c:pt>
                <c:pt idx="7">
                  <c:v>6.9652777777810115</c:v>
                </c:pt>
                <c:pt idx="8">
                  <c:v>7.9909722222218988</c:v>
                </c:pt>
                <c:pt idx="9">
                  <c:v>8.9166666666642413</c:v>
                </c:pt>
                <c:pt idx="10">
                  <c:v>9.9097222222189885</c:v>
                </c:pt>
                <c:pt idx="11">
                  <c:v>10.895833333335759</c:v>
                </c:pt>
                <c:pt idx="12">
                  <c:v>12.208333333335759</c:v>
                </c:pt>
                <c:pt idx="13">
                  <c:v>13.017361111109494</c:v>
                </c:pt>
                <c:pt idx="14">
                  <c:v>15.048611111109494</c:v>
                </c:pt>
                <c:pt idx="15">
                  <c:v>15.9375</c:v>
                </c:pt>
                <c:pt idx="16">
                  <c:v>16.899305555554747</c:v>
                </c:pt>
                <c:pt idx="17">
                  <c:v>19.0625</c:v>
                </c:pt>
                <c:pt idx="18">
                  <c:v>19.979166666664241</c:v>
                </c:pt>
                <c:pt idx="19">
                  <c:v>21.225694444445253</c:v>
                </c:pt>
                <c:pt idx="20">
                  <c:v>22.145833333335759</c:v>
                </c:pt>
                <c:pt idx="21">
                  <c:v>23.020833333335759</c:v>
                </c:pt>
                <c:pt idx="22">
                  <c:v>23.90625</c:v>
                </c:pt>
                <c:pt idx="23">
                  <c:v>24.930555555554747</c:v>
                </c:pt>
                <c:pt idx="24">
                  <c:v>26.243055555554747</c:v>
                </c:pt>
                <c:pt idx="25">
                  <c:v>27.03125</c:v>
                </c:pt>
                <c:pt idx="26">
                  <c:v>28.145833333335759</c:v>
                </c:pt>
                <c:pt idx="27">
                  <c:v>29.201388888890506</c:v>
                </c:pt>
                <c:pt idx="28">
                  <c:v>30.041666666664241</c:v>
                </c:pt>
                <c:pt idx="29">
                  <c:v>33.152777777781012</c:v>
                </c:pt>
                <c:pt idx="30">
                  <c:v>35.194444444445253</c:v>
                </c:pt>
                <c:pt idx="31">
                  <c:v>36.274305555554747</c:v>
                </c:pt>
                <c:pt idx="32">
                  <c:v>37.902777777781012</c:v>
                </c:pt>
                <c:pt idx="33">
                  <c:v>38.902777777781012</c:v>
                </c:pt>
                <c:pt idx="34">
                  <c:v>41.1875</c:v>
                </c:pt>
                <c:pt idx="35">
                  <c:v>43.263888888890506</c:v>
                </c:pt>
                <c:pt idx="36">
                  <c:v>43.951388888890506</c:v>
                </c:pt>
                <c:pt idx="37">
                  <c:v>44.902777777781012</c:v>
                </c:pt>
                <c:pt idx="38">
                  <c:v>47.173611111109494</c:v>
                </c:pt>
                <c:pt idx="39">
                  <c:v>47.944444444445253</c:v>
                </c:pt>
                <c:pt idx="40">
                  <c:v>48.989583333335759</c:v>
                </c:pt>
                <c:pt idx="41">
                  <c:v>51.225694444445253</c:v>
                </c:pt>
                <c:pt idx="42">
                  <c:v>54.138888888890506</c:v>
                </c:pt>
                <c:pt idx="43">
                  <c:v>55.180555555554747</c:v>
                </c:pt>
                <c:pt idx="44">
                  <c:v>56.048611111109494</c:v>
                </c:pt>
                <c:pt idx="45">
                  <c:v>57.979166666664241</c:v>
                </c:pt>
                <c:pt idx="46">
                  <c:v>59.003472222218988</c:v>
                </c:pt>
                <c:pt idx="47">
                  <c:v>61.961805555554747</c:v>
                </c:pt>
                <c:pt idx="48">
                  <c:v>62.975694444445253</c:v>
                </c:pt>
                <c:pt idx="49">
                  <c:v>64.034722222218988</c:v>
                </c:pt>
                <c:pt idx="50">
                  <c:v>65.034722222218988</c:v>
                </c:pt>
                <c:pt idx="51">
                  <c:v>67.96875</c:v>
                </c:pt>
                <c:pt idx="52">
                  <c:v>69.048611111109494</c:v>
                </c:pt>
                <c:pt idx="53">
                  <c:v>70.1875</c:v>
                </c:pt>
                <c:pt idx="54">
                  <c:v>71.21875</c:v>
                </c:pt>
                <c:pt idx="55">
                  <c:v>71.951388888890506</c:v>
                </c:pt>
                <c:pt idx="56">
                  <c:v>72.899305555554747</c:v>
                </c:pt>
                <c:pt idx="57">
                  <c:v>77.201388888890506</c:v>
                </c:pt>
                <c:pt idx="58">
                  <c:v>78.201388888890506</c:v>
                </c:pt>
                <c:pt idx="59">
                  <c:v>78.972222222218988</c:v>
                </c:pt>
                <c:pt idx="60">
                  <c:v>81.979166666664241</c:v>
                </c:pt>
                <c:pt idx="61">
                  <c:v>83.197916666664241</c:v>
                </c:pt>
                <c:pt idx="62">
                  <c:v>84.215277777781012</c:v>
                </c:pt>
                <c:pt idx="63">
                  <c:v>85.267361111109494</c:v>
                </c:pt>
              </c:numCache>
            </c:numRef>
          </c:xVal>
          <c:yVal>
            <c:numRef>
              <c:f>ferment.!$M$8:$M$71</c:f>
              <c:numCache>
                <c:formatCode>0.00E+00</c:formatCode>
                <c:ptCount val="64"/>
                <c:pt idx="0">
                  <c:v>462500</c:v>
                </c:pt>
                <c:pt idx="1">
                  <c:v>850000</c:v>
                </c:pt>
                <c:pt idx="2">
                  <c:v>1753333.3333333333</c:v>
                </c:pt>
                <c:pt idx="3">
                  <c:v>2991333.333333333</c:v>
                </c:pt>
                <c:pt idx="4">
                  <c:v>3270000</c:v>
                </c:pt>
                <c:pt idx="5">
                  <c:v>2815000</c:v>
                </c:pt>
                <c:pt idx="6">
                  <c:v>2655000</c:v>
                </c:pt>
                <c:pt idx="7">
                  <c:v>2197500</c:v>
                </c:pt>
                <c:pt idx="8">
                  <c:v>2813333.3333333335</c:v>
                </c:pt>
                <c:pt idx="9">
                  <c:v>2898333.3333333335</c:v>
                </c:pt>
                <c:pt idx="10">
                  <c:v>2880000</c:v>
                </c:pt>
                <c:pt idx="11">
                  <c:v>3210000</c:v>
                </c:pt>
                <c:pt idx="12">
                  <c:v>2870000</c:v>
                </c:pt>
                <c:pt idx="13">
                  <c:v>2380000</c:v>
                </c:pt>
                <c:pt idx="14">
                  <c:v>3353333.3333333335</c:v>
                </c:pt>
                <c:pt idx="15">
                  <c:v>3673333.3333333335</c:v>
                </c:pt>
                <c:pt idx="16">
                  <c:v>4250000</c:v>
                </c:pt>
                <c:pt idx="17">
                  <c:v>5190000</c:v>
                </c:pt>
                <c:pt idx="18">
                  <c:v>6375000</c:v>
                </c:pt>
                <c:pt idx="19">
                  <c:v>7245000</c:v>
                </c:pt>
                <c:pt idx="20">
                  <c:v>6360000</c:v>
                </c:pt>
                <c:pt idx="21">
                  <c:v>6900000</c:v>
                </c:pt>
                <c:pt idx="22">
                  <c:v>6850000</c:v>
                </c:pt>
                <c:pt idx="23">
                  <c:v>7995000</c:v>
                </c:pt>
                <c:pt idx="24">
                  <c:v>7470000</c:v>
                </c:pt>
                <c:pt idx="25">
                  <c:v>8280000</c:v>
                </c:pt>
                <c:pt idx="26">
                  <c:v>8830000</c:v>
                </c:pt>
                <c:pt idx="27">
                  <c:v>8760000</c:v>
                </c:pt>
                <c:pt idx="28">
                  <c:v>8805000</c:v>
                </c:pt>
                <c:pt idx="29">
                  <c:v>8800000</c:v>
                </c:pt>
                <c:pt idx="30">
                  <c:v>9705000</c:v>
                </c:pt>
                <c:pt idx="31">
                  <c:v>9375000</c:v>
                </c:pt>
                <c:pt idx="32">
                  <c:v>7485000</c:v>
                </c:pt>
                <c:pt idx="33">
                  <c:v>6900000</c:v>
                </c:pt>
                <c:pt idx="34">
                  <c:v>5480000</c:v>
                </c:pt>
                <c:pt idx="35">
                  <c:v>5595000</c:v>
                </c:pt>
                <c:pt idx="36">
                  <c:v>5313333.333333333</c:v>
                </c:pt>
                <c:pt idx="37">
                  <c:v>5400000</c:v>
                </c:pt>
                <c:pt idx="38">
                  <c:v>5326666.666666667</c:v>
                </c:pt>
                <c:pt idx="39">
                  <c:v>5613333.333333333</c:v>
                </c:pt>
                <c:pt idx="40">
                  <c:v>5190000</c:v>
                </c:pt>
                <c:pt idx="41">
                  <c:v>5170000</c:v>
                </c:pt>
                <c:pt idx="42">
                  <c:v>6110000</c:v>
                </c:pt>
                <c:pt idx="43">
                  <c:v>5593333.333333333</c:v>
                </c:pt>
                <c:pt idx="44">
                  <c:v>6086666.666666667</c:v>
                </c:pt>
                <c:pt idx="45">
                  <c:v>6752500</c:v>
                </c:pt>
                <c:pt idx="46">
                  <c:v>7325000</c:v>
                </c:pt>
                <c:pt idx="47">
                  <c:v>7940000</c:v>
                </c:pt>
                <c:pt idx="48">
                  <c:v>9210000</c:v>
                </c:pt>
                <c:pt idx="49">
                  <c:v>7470000</c:v>
                </c:pt>
                <c:pt idx="50">
                  <c:v>9330000</c:v>
                </c:pt>
                <c:pt idx="51">
                  <c:v>10780000</c:v>
                </c:pt>
                <c:pt idx="52">
                  <c:v>10493333.333333334</c:v>
                </c:pt>
                <c:pt idx="53">
                  <c:v>8626666.666666666</c:v>
                </c:pt>
                <c:pt idx="54">
                  <c:v>9600000</c:v>
                </c:pt>
                <c:pt idx="55">
                  <c:v>9753333.333333334</c:v>
                </c:pt>
                <c:pt idx="56">
                  <c:v>9173333.333333334</c:v>
                </c:pt>
                <c:pt idx="57">
                  <c:v>10760000</c:v>
                </c:pt>
                <c:pt idx="58">
                  <c:v>10720000</c:v>
                </c:pt>
                <c:pt idx="59">
                  <c:v>10740000</c:v>
                </c:pt>
                <c:pt idx="60">
                  <c:v>10440000</c:v>
                </c:pt>
                <c:pt idx="61">
                  <c:v>10306666.666666666</c:v>
                </c:pt>
                <c:pt idx="62">
                  <c:v>9773333.333333334</c:v>
                </c:pt>
                <c:pt idx="63">
                  <c:v>11000000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3-4713-9241-D9B063DCF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30072"/>
        <c:axId val="390130464"/>
      </c:scatterChart>
      <c:scatterChart>
        <c:scatterStyle val="lineMarker"/>
        <c:varyColors val="0"/>
        <c:ser>
          <c:idx val="1"/>
          <c:order val="1"/>
          <c:tx>
            <c:v>C(Gluc)</c:v>
          </c:tx>
          <c:marker>
            <c:symbol val="none"/>
          </c:marker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1-8CD3-4713-9241-D9B063DCF8C4}"/>
              </c:ext>
            </c:extLst>
          </c:dPt>
          <c:xVal>
            <c:numRef>
              <c:f>ferment.!$E$8:$E$70</c:f>
              <c:numCache>
                <c:formatCode>0.00</c:formatCode>
                <c:ptCount val="63"/>
                <c:pt idx="0">
                  <c:v>2.0833333335758653E-2</c:v>
                </c:pt>
                <c:pt idx="1">
                  <c:v>0.98958333333575865</c:v>
                </c:pt>
                <c:pt idx="2">
                  <c:v>1.9513888888905058</c:v>
                </c:pt>
                <c:pt idx="3">
                  <c:v>2.8993055555547471</c:v>
                </c:pt>
                <c:pt idx="4">
                  <c:v>3.8958333333357587</c:v>
                </c:pt>
                <c:pt idx="5">
                  <c:v>5.03125</c:v>
                </c:pt>
                <c:pt idx="6">
                  <c:v>6.21875</c:v>
                </c:pt>
                <c:pt idx="7">
                  <c:v>6.9652777777810115</c:v>
                </c:pt>
                <c:pt idx="8">
                  <c:v>7.9909722222218988</c:v>
                </c:pt>
                <c:pt idx="9">
                  <c:v>8.9166666666642413</c:v>
                </c:pt>
                <c:pt idx="10">
                  <c:v>9.9097222222189885</c:v>
                </c:pt>
                <c:pt idx="11">
                  <c:v>10.895833333335759</c:v>
                </c:pt>
                <c:pt idx="12">
                  <c:v>12.208333333335759</c:v>
                </c:pt>
                <c:pt idx="13">
                  <c:v>13.017361111109494</c:v>
                </c:pt>
                <c:pt idx="14">
                  <c:v>15.048611111109494</c:v>
                </c:pt>
                <c:pt idx="15">
                  <c:v>15.9375</c:v>
                </c:pt>
                <c:pt idx="16">
                  <c:v>16.899305555554747</c:v>
                </c:pt>
                <c:pt idx="17">
                  <c:v>19.0625</c:v>
                </c:pt>
                <c:pt idx="18">
                  <c:v>19.979166666664241</c:v>
                </c:pt>
                <c:pt idx="19">
                  <c:v>21.225694444445253</c:v>
                </c:pt>
                <c:pt idx="20">
                  <c:v>22.145833333335759</c:v>
                </c:pt>
                <c:pt idx="21">
                  <c:v>23.020833333335759</c:v>
                </c:pt>
                <c:pt idx="22">
                  <c:v>23.90625</c:v>
                </c:pt>
                <c:pt idx="23">
                  <c:v>24.930555555554747</c:v>
                </c:pt>
                <c:pt idx="24">
                  <c:v>26.243055555554747</c:v>
                </c:pt>
                <c:pt idx="25">
                  <c:v>27.03125</c:v>
                </c:pt>
                <c:pt idx="26">
                  <c:v>28.145833333335759</c:v>
                </c:pt>
                <c:pt idx="27">
                  <c:v>29.201388888890506</c:v>
                </c:pt>
                <c:pt idx="28">
                  <c:v>30.041666666664241</c:v>
                </c:pt>
                <c:pt idx="29">
                  <c:v>33.152777777781012</c:v>
                </c:pt>
                <c:pt idx="30">
                  <c:v>35.194444444445253</c:v>
                </c:pt>
                <c:pt idx="31">
                  <c:v>36.274305555554747</c:v>
                </c:pt>
                <c:pt idx="32">
                  <c:v>37.902777777781012</c:v>
                </c:pt>
                <c:pt idx="33">
                  <c:v>38.902777777781012</c:v>
                </c:pt>
                <c:pt idx="34">
                  <c:v>41.1875</c:v>
                </c:pt>
                <c:pt idx="35">
                  <c:v>43.263888888890506</c:v>
                </c:pt>
                <c:pt idx="36">
                  <c:v>43.951388888890506</c:v>
                </c:pt>
                <c:pt idx="37">
                  <c:v>44.902777777781012</c:v>
                </c:pt>
                <c:pt idx="38">
                  <c:v>47.173611111109494</c:v>
                </c:pt>
                <c:pt idx="39">
                  <c:v>47.944444444445253</c:v>
                </c:pt>
                <c:pt idx="40">
                  <c:v>48.989583333335759</c:v>
                </c:pt>
                <c:pt idx="41">
                  <c:v>51.225694444445253</c:v>
                </c:pt>
                <c:pt idx="42">
                  <c:v>54.138888888890506</c:v>
                </c:pt>
                <c:pt idx="43">
                  <c:v>55.180555555554747</c:v>
                </c:pt>
                <c:pt idx="44">
                  <c:v>56.048611111109494</c:v>
                </c:pt>
                <c:pt idx="45">
                  <c:v>57.979166666664241</c:v>
                </c:pt>
                <c:pt idx="46">
                  <c:v>59.003472222218988</c:v>
                </c:pt>
                <c:pt idx="47">
                  <c:v>61.961805555554747</c:v>
                </c:pt>
                <c:pt idx="48">
                  <c:v>62.975694444445253</c:v>
                </c:pt>
                <c:pt idx="49">
                  <c:v>64.034722222218988</c:v>
                </c:pt>
                <c:pt idx="50">
                  <c:v>65.034722222218988</c:v>
                </c:pt>
                <c:pt idx="51">
                  <c:v>67.96875</c:v>
                </c:pt>
                <c:pt idx="52">
                  <c:v>69.048611111109494</c:v>
                </c:pt>
                <c:pt idx="53">
                  <c:v>70.1875</c:v>
                </c:pt>
                <c:pt idx="54">
                  <c:v>71.21875</c:v>
                </c:pt>
                <c:pt idx="55">
                  <c:v>71.951388888890506</c:v>
                </c:pt>
                <c:pt idx="56">
                  <c:v>72.899305555554747</c:v>
                </c:pt>
                <c:pt idx="57">
                  <c:v>77.201388888890506</c:v>
                </c:pt>
                <c:pt idx="58">
                  <c:v>78.201388888890506</c:v>
                </c:pt>
                <c:pt idx="59">
                  <c:v>78.972222222218988</c:v>
                </c:pt>
                <c:pt idx="60">
                  <c:v>81.979166666664241</c:v>
                </c:pt>
                <c:pt idx="61">
                  <c:v>83.197916666664241</c:v>
                </c:pt>
                <c:pt idx="62">
                  <c:v>84.215277777781012</c:v>
                </c:pt>
              </c:numCache>
            </c:numRef>
          </c:xVal>
          <c:yVal>
            <c:numRef>
              <c:f>ferment.!$CK$8:$CK$70</c:f>
              <c:numCache>
                <c:formatCode>0.00</c:formatCode>
                <c:ptCount val="63"/>
                <c:pt idx="0">
                  <c:v>20.652556288799097</c:v>
                </c:pt>
                <c:pt idx="1">
                  <c:v>17.810778340981585</c:v>
                </c:pt>
                <c:pt idx="2">
                  <c:v>16.273279905897855</c:v>
                </c:pt>
                <c:pt idx="3">
                  <c:v>18.342880549639567</c:v>
                </c:pt>
                <c:pt idx="4">
                  <c:v>12.978615282700952</c:v>
                </c:pt>
                <c:pt idx="5">
                  <c:v>13.790774335766169</c:v>
                </c:pt>
                <c:pt idx="6">
                  <c:v>12.476162353956546</c:v>
                </c:pt>
                <c:pt idx="7">
                  <c:v>14.038070953479084</c:v>
                </c:pt>
                <c:pt idx="8">
                  <c:v>14.55940733673896</c:v>
                </c:pt>
                <c:pt idx="9">
                  <c:v>12.748949485485507</c:v>
                </c:pt>
                <c:pt idx="10">
                  <c:v>10.938491634232056</c:v>
                </c:pt>
                <c:pt idx="11">
                  <c:v>10.312705873988726</c:v>
                </c:pt>
                <c:pt idx="12">
                  <c:v>9.2053544685717252</c:v>
                </c:pt>
                <c:pt idx="13">
                  <c:v>1.9914164758410779</c:v>
                </c:pt>
                <c:pt idx="14">
                  <c:v>0.67161581715217067</c:v>
                </c:pt>
                <c:pt idx="15">
                  <c:v>0.46177550495447856</c:v>
                </c:pt>
                <c:pt idx="16">
                  <c:v>0.45098787950424213</c:v>
                </c:pt>
                <c:pt idx="17">
                  <c:v>0.44557999308862317</c:v>
                </c:pt>
                <c:pt idx="18">
                  <c:v>0.43779242507250293</c:v>
                </c:pt>
                <c:pt idx="19">
                  <c:v>0.15764067298597095</c:v>
                </c:pt>
                <c:pt idx="20">
                  <c:v>0.11918111169207667</c:v>
                </c:pt>
                <c:pt idx="21">
                  <c:v>0.38696970284496329</c:v>
                </c:pt>
                <c:pt idx="22">
                  <c:v>5.4208852162008627</c:v>
                </c:pt>
                <c:pt idx="23">
                  <c:v>0.21247622941960481</c:v>
                </c:pt>
                <c:pt idx="25">
                  <c:v>0.1902286150395332</c:v>
                </c:pt>
                <c:pt idx="26">
                  <c:v>0.20483143852134267</c:v>
                </c:pt>
                <c:pt idx="27">
                  <c:v>0.21333685920729742</c:v>
                </c:pt>
                <c:pt idx="28">
                  <c:v>0.23687260353080783</c:v>
                </c:pt>
                <c:pt idx="29">
                  <c:v>0.22639705508335203</c:v>
                </c:pt>
                <c:pt idx="30">
                  <c:v>0.14778716276778647</c:v>
                </c:pt>
                <c:pt idx="31">
                  <c:v>0.37076376322453558</c:v>
                </c:pt>
                <c:pt idx="32">
                  <c:v>0.18360374165822801</c:v>
                </c:pt>
                <c:pt idx="33">
                  <c:v>0.22541208565690019</c:v>
                </c:pt>
                <c:pt idx="34">
                  <c:v>0.29005492637495311</c:v>
                </c:pt>
                <c:pt idx="35">
                  <c:v>0.3546977670930061</c:v>
                </c:pt>
                <c:pt idx="36">
                  <c:v>0.21665647442464839</c:v>
                </c:pt>
                <c:pt idx="37">
                  <c:v>0.63256807004964566</c:v>
                </c:pt>
                <c:pt idx="38">
                  <c:v>0.17240172630889972</c:v>
                </c:pt>
                <c:pt idx="39">
                  <c:v>0.56873562832325664</c:v>
                </c:pt>
                <c:pt idx="40">
                  <c:v>0.48509396660934595</c:v>
                </c:pt>
                <c:pt idx="41">
                  <c:v>0.44108211716803758</c:v>
                </c:pt>
                <c:pt idx="42">
                  <c:v>6.3784913456753651</c:v>
                </c:pt>
                <c:pt idx="43">
                  <c:v>0.73298836668763412</c:v>
                </c:pt>
                <c:pt idx="44">
                  <c:v>0.49455054208283139</c:v>
                </c:pt>
                <c:pt idx="45">
                  <c:v>0.25964674395334331</c:v>
                </c:pt>
                <c:pt idx="46">
                  <c:v>0.25254886233519636</c:v>
                </c:pt>
                <c:pt idx="47">
                  <c:v>0.24545098071704946</c:v>
                </c:pt>
                <c:pt idx="48">
                  <c:v>0.38638582415235156</c:v>
                </c:pt>
                <c:pt idx="49">
                  <c:v>0.40154660806721981</c:v>
                </c:pt>
                <c:pt idx="50">
                  <c:v>0.22309168357423942</c:v>
                </c:pt>
                <c:pt idx="51">
                  <c:v>0.12621837254134202</c:v>
                </c:pt>
                <c:pt idx="52">
                  <c:v>0.14587495438222522</c:v>
                </c:pt>
                <c:pt idx="53">
                  <c:v>3.3292495558145077E-2</c:v>
                </c:pt>
                <c:pt idx="54">
                  <c:v>0.17523660206551506</c:v>
                </c:pt>
                <c:pt idx="55">
                  <c:v>0.16853280267224754</c:v>
                </c:pt>
                <c:pt idx="56">
                  <c:v>0.22926695449391143</c:v>
                </c:pt>
                <c:pt idx="57">
                  <c:v>0.13345017146413257</c:v>
                </c:pt>
                <c:pt idx="58">
                  <c:v>7.6313330497887175E-2</c:v>
                </c:pt>
                <c:pt idx="59">
                  <c:v>0.15830464892384841</c:v>
                </c:pt>
                <c:pt idx="60">
                  <c:v>0.36070404038151127</c:v>
                </c:pt>
                <c:pt idx="61">
                  <c:v>0.19844413659203322</c:v>
                </c:pt>
                <c:pt idx="62">
                  <c:v>0.12396986907082309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D3-4713-9241-D9B063DCF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31248"/>
        <c:axId val="390130856"/>
      </c:scatterChart>
      <c:valAx>
        <c:axId val="390130072"/>
        <c:scaling>
          <c:orientation val="minMax"/>
          <c:min val="0"/>
        </c:scaling>
        <c:delete val="0"/>
        <c:axPos val="b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Culture</a:t>
                </a:r>
                <a:r>
                  <a:rPr lang="en-US" baseline="0"/>
                  <a:t> time (d)</a:t>
                </a:r>
                <a:endParaRPr lang="en-US"/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lang="es-ES" sz="1200"/>
            </a:pPr>
            <a:endParaRPr lang="es-ES"/>
          </a:p>
        </c:txPr>
        <c:crossAx val="390130464"/>
        <c:crosses val="autoZero"/>
        <c:crossBetween val="midCat"/>
        <c:minorUnit val="2"/>
      </c:valAx>
      <c:valAx>
        <c:axId val="390130464"/>
        <c:scaling>
          <c:orientation val="minMax"/>
          <c:max val="130000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Viable</a:t>
                </a:r>
                <a:r>
                  <a:rPr lang="en-US" baseline="0"/>
                  <a:t> cell density (cel/mL)</a:t>
                </a:r>
                <a:endParaRPr lang="en-US"/>
              </a:p>
            </c:rich>
          </c:tx>
          <c:overlay val="0"/>
        </c:title>
        <c:numFmt formatCode="0.0E+00" sourceLinked="0"/>
        <c:majorTickMark val="none"/>
        <c:minorTickMark val="none"/>
        <c:tickLblPos val="nextTo"/>
        <c:txPr>
          <a:bodyPr/>
          <a:lstStyle/>
          <a:p>
            <a:pPr>
              <a:defRPr lang="es-ES" sz="1200"/>
            </a:pPr>
            <a:endParaRPr lang="es-ES"/>
          </a:p>
        </c:txPr>
        <c:crossAx val="390130072"/>
        <c:crosses val="autoZero"/>
        <c:crossBetween val="midCat"/>
      </c:valAx>
      <c:valAx>
        <c:axId val="3901308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Glucosa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crossAx val="390131248"/>
        <c:crosses val="max"/>
        <c:crossBetween val="midCat"/>
      </c:valAx>
      <c:valAx>
        <c:axId val="39013124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one"/>
        <c:crossAx val="390130856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0.28976862824408123"/>
          <c:y val="0.89695754207610867"/>
          <c:w val="0.49379954454488695"/>
          <c:h val="0.1026483154270792"/>
        </c:manualLayout>
      </c:layout>
      <c:overlay val="0"/>
      <c:txPr>
        <a:bodyPr/>
        <a:lstStyle/>
        <a:p>
          <a:pPr>
            <a:defRPr lang="es-ES" sz="12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5601076483401"/>
          <c:y val="6.5639189664065012E-2"/>
          <c:w val="0.77048471288960729"/>
          <c:h val="0.75842894603535049"/>
        </c:manualLayout>
      </c:layout>
      <c:scatterChart>
        <c:scatterStyle val="lineMarker"/>
        <c:varyColors val="0"/>
        <c:ser>
          <c:idx val="2"/>
          <c:order val="0"/>
          <c:tx>
            <c:strRef>
              <c:f>ferment.!$J$6</c:f>
              <c:strCache>
                <c:ptCount val="1"/>
                <c:pt idx="0">
                  <c:v>Xv(Promedio)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ferment.!$K$8:$K$71</c:f>
                <c:numCache>
                  <c:formatCode>General</c:formatCode>
                  <c:ptCount val="64"/>
                  <c:pt idx="0">
                    <c:v>17677.66952966369</c:v>
                  </c:pt>
                  <c:pt idx="1">
                    <c:v>96436.507609929555</c:v>
                  </c:pt>
                  <c:pt idx="2">
                    <c:v>180092.568789868</c:v>
                  </c:pt>
                  <c:pt idx="3">
                    <c:v>159478.31618540914</c:v>
                  </c:pt>
                  <c:pt idx="4">
                    <c:v>296984.84809834993</c:v>
                  </c:pt>
                  <c:pt idx="5">
                    <c:v>63639.610306789276</c:v>
                  </c:pt>
                  <c:pt idx="6">
                    <c:v>35355.33905932738</c:v>
                  </c:pt>
                  <c:pt idx="7">
                    <c:v>222738.63607376246</c:v>
                  </c:pt>
                  <c:pt idx="8">
                    <c:v>533041.58687041851</c:v>
                  </c:pt>
                  <c:pt idx="9">
                    <c:v>414014.89506216318</c:v>
                  </c:pt>
                  <c:pt idx="10">
                    <c:v>383014.36004411115</c:v>
                  </c:pt>
                  <c:pt idx="11">
                    <c:v>21213.203435596424</c:v>
                  </c:pt>
                  <c:pt idx="12">
                    <c:v>150249.7920131672</c:v>
                  </c:pt>
                  <c:pt idx="13">
                    <c:v>424264.0687119285</c:v>
                  </c:pt>
                  <c:pt idx="14">
                    <c:v>391066.91669499909</c:v>
                  </c:pt>
                  <c:pt idx="15">
                    <c:v>360185.13757973595</c:v>
                  </c:pt>
                  <c:pt idx="16">
                    <c:v>14142.13562373095</c:v>
                  </c:pt>
                  <c:pt idx="17">
                    <c:v>750000</c:v>
                  </c:pt>
                  <c:pt idx="18">
                    <c:v>21213.203435596424</c:v>
                  </c:pt>
                  <c:pt idx="19">
                    <c:v>275771.64466275356</c:v>
                  </c:pt>
                  <c:pt idx="20">
                    <c:v>593969.69619669986</c:v>
                  </c:pt>
                  <c:pt idx="21">
                    <c:v>254558.44122715711</c:v>
                  </c:pt>
                  <c:pt idx="22">
                    <c:v>645058.13691480551</c:v>
                  </c:pt>
                  <c:pt idx="23">
                    <c:v>106066.01717798212</c:v>
                  </c:pt>
                  <c:pt idx="24">
                    <c:v>169705.62748477139</c:v>
                  </c:pt>
                  <c:pt idx="25">
                    <c:v>1304568.894309534</c:v>
                  </c:pt>
                  <c:pt idx="26">
                    <c:v>283548.93757515651</c:v>
                  </c:pt>
                  <c:pt idx="27">
                    <c:v>1110000</c:v>
                  </c:pt>
                  <c:pt idx="28">
                    <c:v>275771.64466275356</c:v>
                  </c:pt>
                  <c:pt idx="29">
                    <c:v>969484.39904930908</c:v>
                  </c:pt>
                  <c:pt idx="30">
                    <c:v>360624.45840513922</c:v>
                  </c:pt>
                  <c:pt idx="31">
                    <c:v>63639.610306789276</c:v>
                  </c:pt>
                  <c:pt idx="32">
                    <c:v>487903.67901871778</c:v>
                  </c:pt>
                  <c:pt idx="33">
                    <c:v>42426.406871192848</c:v>
                  </c:pt>
                  <c:pt idx="34">
                    <c:v>197989.8987322333</c:v>
                  </c:pt>
                  <c:pt idx="35">
                    <c:v>63639.610306789276</c:v>
                  </c:pt>
                  <c:pt idx="36">
                    <c:v>659191.42389243504</c:v>
                  </c:pt>
                  <c:pt idx="37">
                    <c:v>572363.52085016738</c:v>
                  </c:pt>
                  <c:pt idx="38">
                    <c:v>594754.85145842505</c:v>
                  </c:pt>
                  <c:pt idx="39">
                    <c:v>784941.6114166301</c:v>
                  </c:pt>
                  <c:pt idx="40">
                    <c:v>381837.66184073564</c:v>
                  </c:pt>
                  <c:pt idx="41">
                    <c:v>42426.406871192848</c:v>
                  </c:pt>
                  <c:pt idx="42">
                    <c:v>353553.39059327374</c:v>
                  </c:pt>
                  <c:pt idx="43">
                    <c:v>445570.79497351858</c:v>
                  </c:pt>
                  <c:pt idx="44">
                    <c:v>530785.58131634782</c:v>
                  </c:pt>
                  <c:pt idx="45">
                    <c:v>385373.19574666838</c:v>
                  </c:pt>
                  <c:pt idx="46">
                    <c:v>0</c:v>
                  </c:pt>
                  <c:pt idx="47">
                    <c:v>278747.19729532709</c:v>
                  </c:pt>
                  <c:pt idx="48">
                    <c:v>84852.813742385697</c:v>
                  </c:pt>
                  <c:pt idx="49">
                    <c:v>551543.28932550712</c:v>
                  </c:pt>
                  <c:pt idx="50">
                    <c:v>763675.32368147129</c:v>
                  </c:pt>
                  <c:pt idx="51">
                    <c:v>480312.39834091312</c:v>
                  </c:pt>
                  <c:pt idx="52">
                    <c:v>543077.64945110132</c:v>
                  </c:pt>
                  <c:pt idx="53">
                    <c:v>344867.1241700683</c:v>
                  </c:pt>
                  <c:pt idx="54">
                    <c:v>169705.62748477139</c:v>
                  </c:pt>
                  <c:pt idx="55">
                    <c:v>457966.51988254918</c:v>
                  </c:pt>
                  <c:pt idx="56">
                    <c:v>310698.13860616117</c:v>
                  </c:pt>
                  <c:pt idx="57">
                    <c:v>520000</c:v>
                  </c:pt>
                  <c:pt idx="58">
                    <c:v>169705.62748477139</c:v>
                  </c:pt>
                  <c:pt idx="59">
                    <c:v>28284.2712474619</c:v>
                  </c:pt>
                  <c:pt idx="60">
                    <c:v>56568.5424949238</c:v>
                  </c:pt>
                  <c:pt idx="61">
                    <c:v>861935.80580767919</c:v>
                  </c:pt>
                  <c:pt idx="62">
                    <c:v>1405323.2131197946</c:v>
                  </c:pt>
                  <c:pt idx="63">
                    <c:v>937229.96110879851</c:v>
                  </c:pt>
                </c:numCache>
              </c:numRef>
            </c:plus>
            <c:minus>
              <c:numRef>
                <c:f>ferment.!$K$8:$K$71</c:f>
                <c:numCache>
                  <c:formatCode>General</c:formatCode>
                  <c:ptCount val="64"/>
                  <c:pt idx="0">
                    <c:v>17677.66952966369</c:v>
                  </c:pt>
                  <c:pt idx="1">
                    <c:v>96436.507609929555</c:v>
                  </c:pt>
                  <c:pt idx="2">
                    <c:v>180092.568789868</c:v>
                  </c:pt>
                  <c:pt idx="3">
                    <c:v>159478.31618540914</c:v>
                  </c:pt>
                  <c:pt idx="4">
                    <c:v>296984.84809834993</c:v>
                  </c:pt>
                  <c:pt idx="5">
                    <c:v>63639.610306789276</c:v>
                  </c:pt>
                  <c:pt idx="6">
                    <c:v>35355.33905932738</c:v>
                  </c:pt>
                  <c:pt idx="7">
                    <c:v>222738.63607376246</c:v>
                  </c:pt>
                  <c:pt idx="8">
                    <c:v>533041.58687041851</c:v>
                  </c:pt>
                  <c:pt idx="9">
                    <c:v>414014.89506216318</c:v>
                  </c:pt>
                  <c:pt idx="10">
                    <c:v>383014.36004411115</c:v>
                  </c:pt>
                  <c:pt idx="11">
                    <c:v>21213.203435596424</c:v>
                  </c:pt>
                  <c:pt idx="12">
                    <c:v>150249.7920131672</c:v>
                  </c:pt>
                  <c:pt idx="13">
                    <c:v>424264.0687119285</c:v>
                  </c:pt>
                  <c:pt idx="14">
                    <c:v>391066.91669499909</c:v>
                  </c:pt>
                  <c:pt idx="15">
                    <c:v>360185.13757973595</c:v>
                  </c:pt>
                  <c:pt idx="16">
                    <c:v>14142.13562373095</c:v>
                  </c:pt>
                  <c:pt idx="17">
                    <c:v>750000</c:v>
                  </c:pt>
                  <c:pt idx="18">
                    <c:v>21213.203435596424</c:v>
                  </c:pt>
                  <c:pt idx="19">
                    <c:v>275771.64466275356</c:v>
                  </c:pt>
                  <c:pt idx="20">
                    <c:v>593969.69619669986</c:v>
                  </c:pt>
                  <c:pt idx="21">
                    <c:v>254558.44122715711</c:v>
                  </c:pt>
                  <c:pt idx="22">
                    <c:v>645058.13691480551</c:v>
                  </c:pt>
                  <c:pt idx="23">
                    <c:v>106066.01717798212</c:v>
                  </c:pt>
                  <c:pt idx="24">
                    <c:v>169705.62748477139</c:v>
                  </c:pt>
                  <c:pt idx="25">
                    <c:v>1304568.894309534</c:v>
                  </c:pt>
                  <c:pt idx="26">
                    <c:v>283548.93757515651</c:v>
                  </c:pt>
                  <c:pt idx="27">
                    <c:v>1110000</c:v>
                  </c:pt>
                  <c:pt idx="28">
                    <c:v>275771.64466275356</c:v>
                  </c:pt>
                  <c:pt idx="29">
                    <c:v>969484.39904930908</c:v>
                  </c:pt>
                  <c:pt idx="30">
                    <c:v>360624.45840513922</c:v>
                  </c:pt>
                  <c:pt idx="31">
                    <c:v>63639.610306789276</c:v>
                  </c:pt>
                  <c:pt idx="32">
                    <c:v>487903.67901871778</c:v>
                  </c:pt>
                  <c:pt idx="33">
                    <c:v>42426.406871192848</c:v>
                  </c:pt>
                  <c:pt idx="34">
                    <c:v>197989.8987322333</c:v>
                  </c:pt>
                  <c:pt idx="35">
                    <c:v>63639.610306789276</c:v>
                  </c:pt>
                  <c:pt idx="36">
                    <c:v>659191.42389243504</c:v>
                  </c:pt>
                  <c:pt idx="37">
                    <c:v>572363.52085016738</c:v>
                  </c:pt>
                  <c:pt idx="38">
                    <c:v>594754.85145842505</c:v>
                  </c:pt>
                  <c:pt idx="39">
                    <c:v>784941.6114166301</c:v>
                  </c:pt>
                  <c:pt idx="40">
                    <c:v>381837.66184073564</c:v>
                  </c:pt>
                  <c:pt idx="41">
                    <c:v>42426.406871192848</c:v>
                  </c:pt>
                  <c:pt idx="42">
                    <c:v>353553.39059327374</c:v>
                  </c:pt>
                  <c:pt idx="43">
                    <c:v>445570.79497351858</c:v>
                  </c:pt>
                  <c:pt idx="44">
                    <c:v>530785.58131634782</c:v>
                  </c:pt>
                  <c:pt idx="45">
                    <c:v>385373.19574666838</c:v>
                  </c:pt>
                  <c:pt idx="46">
                    <c:v>0</c:v>
                  </c:pt>
                  <c:pt idx="47">
                    <c:v>278747.19729532709</c:v>
                  </c:pt>
                  <c:pt idx="48">
                    <c:v>84852.813742385697</c:v>
                  </c:pt>
                  <c:pt idx="49">
                    <c:v>551543.28932550712</c:v>
                  </c:pt>
                  <c:pt idx="50">
                    <c:v>763675.32368147129</c:v>
                  </c:pt>
                  <c:pt idx="51">
                    <c:v>480312.39834091312</c:v>
                  </c:pt>
                  <c:pt idx="52">
                    <c:v>543077.64945110132</c:v>
                  </c:pt>
                  <c:pt idx="53">
                    <c:v>344867.1241700683</c:v>
                  </c:pt>
                  <c:pt idx="54">
                    <c:v>169705.62748477139</c:v>
                  </c:pt>
                  <c:pt idx="55">
                    <c:v>457966.51988254918</c:v>
                  </c:pt>
                  <c:pt idx="56">
                    <c:v>310698.13860616117</c:v>
                  </c:pt>
                  <c:pt idx="57">
                    <c:v>520000</c:v>
                  </c:pt>
                  <c:pt idx="58">
                    <c:v>169705.62748477139</c:v>
                  </c:pt>
                  <c:pt idx="59">
                    <c:v>28284.2712474619</c:v>
                  </c:pt>
                  <c:pt idx="60">
                    <c:v>56568.5424949238</c:v>
                  </c:pt>
                  <c:pt idx="61">
                    <c:v>861935.80580767919</c:v>
                  </c:pt>
                  <c:pt idx="62">
                    <c:v>1405323.2131197946</c:v>
                  </c:pt>
                  <c:pt idx="63">
                    <c:v>937229.96110879851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ferment.!$E$8:$E$71</c:f>
              <c:numCache>
                <c:formatCode>0.00</c:formatCode>
                <c:ptCount val="64"/>
                <c:pt idx="0">
                  <c:v>2.0833333335758653E-2</c:v>
                </c:pt>
                <c:pt idx="1">
                  <c:v>0.98958333333575865</c:v>
                </c:pt>
                <c:pt idx="2">
                  <c:v>1.9513888888905058</c:v>
                </c:pt>
                <c:pt idx="3">
                  <c:v>2.8993055555547471</c:v>
                </c:pt>
                <c:pt idx="4">
                  <c:v>3.8958333333357587</c:v>
                </c:pt>
                <c:pt idx="5">
                  <c:v>5.03125</c:v>
                </c:pt>
                <c:pt idx="6">
                  <c:v>6.21875</c:v>
                </c:pt>
                <c:pt idx="7">
                  <c:v>6.9652777777810115</c:v>
                </c:pt>
                <c:pt idx="8">
                  <c:v>7.9909722222218988</c:v>
                </c:pt>
                <c:pt idx="9">
                  <c:v>8.9166666666642413</c:v>
                </c:pt>
                <c:pt idx="10">
                  <c:v>9.9097222222189885</c:v>
                </c:pt>
                <c:pt idx="11">
                  <c:v>10.895833333335759</c:v>
                </c:pt>
                <c:pt idx="12">
                  <c:v>12.208333333335759</c:v>
                </c:pt>
                <c:pt idx="13">
                  <c:v>13.017361111109494</c:v>
                </c:pt>
                <c:pt idx="14">
                  <c:v>15.048611111109494</c:v>
                </c:pt>
                <c:pt idx="15">
                  <c:v>15.9375</c:v>
                </c:pt>
                <c:pt idx="16">
                  <c:v>16.899305555554747</c:v>
                </c:pt>
                <c:pt idx="17">
                  <c:v>19.0625</c:v>
                </c:pt>
                <c:pt idx="18">
                  <c:v>19.979166666664241</c:v>
                </c:pt>
                <c:pt idx="19">
                  <c:v>21.225694444445253</c:v>
                </c:pt>
                <c:pt idx="20">
                  <c:v>22.145833333335759</c:v>
                </c:pt>
                <c:pt idx="21">
                  <c:v>23.020833333335759</c:v>
                </c:pt>
                <c:pt idx="22">
                  <c:v>23.90625</c:v>
                </c:pt>
                <c:pt idx="23">
                  <c:v>24.930555555554747</c:v>
                </c:pt>
                <c:pt idx="24">
                  <c:v>26.243055555554747</c:v>
                </c:pt>
                <c:pt idx="25">
                  <c:v>27.03125</c:v>
                </c:pt>
                <c:pt idx="26">
                  <c:v>28.145833333335759</c:v>
                </c:pt>
                <c:pt idx="27">
                  <c:v>29.201388888890506</c:v>
                </c:pt>
                <c:pt idx="28">
                  <c:v>30.041666666664241</c:v>
                </c:pt>
                <c:pt idx="29">
                  <c:v>33.152777777781012</c:v>
                </c:pt>
                <c:pt idx="30">
                  <c:v>35.194444444445253</c:v>
                </c:pt>
                <c:pt idx="31">
                  <c:v>36.274305555554747</c:v>
                </c:pt>
                <c:pt idx="32">
                  <c:v>37.902777777781012</c:v>
                </c:pt>
                <c:pt idx="33">
                  <c:v>38.902777777781012</c:v>
                </c:pt>
                <c:pt idx="34">
                  <c:v>41.1875</c:v>
                </c:pt>
                <c:pt idx="35">
                  <c:v>43.263888888890506</c:v>
                </c:pt>
                <c:pt idx="36">
                  <c:v>43.951388888890506</c:v>
                </c:pt>
                <c:pt idx="37">
                  <c:v>44.902777777781012</c:v>
                </c:pt>
                <c:pt idx="38">
                  <c:v>47.173611111109494</c:v>
                </c:pt>
                <c:pt idx="39">
                  <c:v>47.944444444445253</c:v>
                </c:pt>
                <c:pt idx="40">
                  <c:v>48.989583333335759</c:v>
                </c:pt>
                <c:pt idx="41">
                  <c:v>51.225694444445253</c:v>
                </c:pt>
                <c:pt idx="42">
                  <c:v>54.138888888890506</c:v>
                </c:pt>
                <c:pt idx="43">
                  <c:v>55.180555555554747</c:v>
                </c:pt>
                <c:pt idx="44">
                  <c:v>56.048611111109494</c:v>
                </c:pt>
                <c:pt idx="45">
                  <c:v>57.979166666664241</c:v>
                </c:pt>
                <c:pt idx="46">
                  <c:v>59.003472222218988</c:v>
                </c:pt>
                <c:pt idx="47">
                  <c:v>61.961805555554747</c:v>
                </c:pt>
                <c:pt idx="48">
                  <c:v>62.975694444445253</c:v>
                </c:pt>
                <c:pt idx="49">
                  <c:v>64.034722222218988</c:v>
                </c:pt>
                <c:pt idx="50">
                  <c:v>65.034722222218988</c:v>
                </c:pt>
                <c:pt idx="51">
                  <c:v>67.96875</c:v>
                </c:pt>
                <c:pt idx="52">
                  <c:v>69.048611111109494</c:v>
                </c:pt>
                <c:pt idx="53">
                  <c:v>70.1875</c:v>
                </c:pt>
                <c:pt idx="54">
                  <c:v>71.21875</c:v>
                </c:pt>
                <c:pt idx="55">
                  <c:v>71.951388888890506</c:v>
                </c:pt>
                <c:pt idx="56">
                  <c:v>72.899305555554747</c:v>
                </c:pt>
                <c:pt idx="57">
                  <c:v>77.201388888890506</c:v>
                </c:pt>
                <c:pt idx="58">
                  <c:v>78.201388888890506</c:v>
                </c:pt>
                <c:pt idx="59">
                  <c:v>78.972222222218988</c:v>
                </c:pt>
                <c:pt idx="60">
                  <c:v>81.979166666664241</c:v>
                </c:pt>
                <c:pt idx="61">
                  <c:v>83.197916666664241</c:v>
                </c:pt>
                <c:pt idx="62">
                  <c:v>84.215277777781012</c:v>
                </c:pt>
                <c:pt idx="63">
                  <c:v>85.267361111109494</c:v>
                </c:pt>
              </c:numCache>
            </c:numRef>
          </c:xVal>
          <c:yVal>
            <c:numRef>
              <c:f>ferment.!$M$8:$M$71</c:f>
              <c:numCache>
                <c:formatCode>0.00E+00</c:formatCode>
                <c:ptCount val="64"/>
                <c:pt idx="0">
                  <c:v>462500</c:v>
                </c:pt>
                <c:pt idx="1">
                  <c:v>850000</c:v>
                </c:pt>
                <c:pt idx="2">
                  <c:v>1753333.3333333333</c:v>
                </c:pt>
                <c:pt idx="3">
                  <c:v>2991333.333333333</c:v>
                </c:pt>
                <c:pt idx="4">
                  <c:v>3270000</c:v>
                </c:pt>
                <c:pt idx="5">
                  <c:v>2815000</c:v>
                </c:pt>
                <c:pt idx="6">
                  <c:v>2655000</c:v>
                </c:pt>
                <c:pt idx="7">
                  <c:v>2197500</c:v>
                </c:pt>
                <c:pt idx="8">
                  <c:v>2813333.3333333335</c:v>
                </c:pt>
                <c:pt idx="9">
                  <c:v>2898333.3333333335</c:v>
                </c:pt>
                <c:pt idx="10">
                  <c:v>2880000</c:v>
                </c:pt>
                <c:pt idx="11">
                  <c:v>3210000</c:v>
                </c:pt>
                <c:pt idx="12">
                  <c:v>2870000</c:v>
                </c:pt>
                <c:pt idx="13">
                  <c:v>2380000</c:v>
                </c:pt>
                <c:pt idx="14">
                  <c:v>3353333.3333333335</c:v>
                </c:pt>
                <c:pt idx="15">
                  <c:v>3673333.3333333335</c:v>
                </c:pt>
                <c:pt idx="16">
                  <c:v>4250000</c:v>
                </c:pt>
                <c:pt idx="17">
                  <c:v>5190000</c:v>
                </c:pt>
                <c:pt idx="18">
                  <c:v>6375000</c:v>
                </c:pt>
                <c:pt idx="19">
                  <c:v>7245000</c:v>
                </c:pt>
                <c:pt idx="20">
                  <c:v>6360000</c:v>
                </c:pt>
                <c:pt idx="21">
                  <c:v>6900000</c:v>
                </c:pt>
                <c:pt idx="22">
                  <c:v>6850000</c:v>
                </c:pt>
                <c:pt idx="23">
                  <c:v>7995000</c:v>
                </c:pt>
                <c:pt idx="24">
                  <c:v>7470000</c:v>
                </c:pt>
                <c:pt idx="25">
                  <c:v>8280000</c:v>
                </c:pt>
                <c:pt idx="26">
                  <c:v>8830000</c:v>
                </c:pt>
                <c:pt idx="27">
                  <c:v>8760000</c:v>
                </c:pt>
                <c:pt idx="28">
                  <c:v>8805000</c:v>
                </c:pt>
                <c:pt idx="29">
                  <c:v>8800000</c:v>
                </c:pt>
                <c:pt idx="30">
                  <c:v>9705000</c:v>
                </c:pt>
                <c:pt idx="31">
                  <c:v>9375000</c:v>
                </c:pt>
                <c:pt idx="32">
                  <c:v>7485000</c:v>
                </c:pt>
                <c:pt idx="33">
                  <c:v>6900000</c:v>
                </c:pt>
                <c:pt idx="34">
                  <c:v>5480000</c:v>
                </c:pt>
                <c:pt idx="35">
                  <c:v>5595000</c:v>
                </c:pt>
                <c:pt idx="36">
                  <c:v>5313333.333333333</c:v>
                </c:pt>
                <c:pt idx="37">
                  <c:v>5400000</c:v>
                </c:pt>
                <c:pt idx="38">
                  <c:v>5326666.666666667</c:v>
                </c:pt>
                <c:pt idx="39">
                  <c:v>5613333.333333333</c:v>
                </c:pt>
                <c:pt idx="40">
                  <c:v>5190000</c:v>
                </c:pt>
                <c:pt idx="41">
                  <c:v>5170000</c:v>
                </c:pt>
                <c:pt idx="42">
                  <c:v>6110000</c:v>
                </c:pt>
                <c:pt idx="43">
                  <c:v>5593333.333333333</c:v>
                </c:pt>
                <c:pt idx="44">
                  <c:v>6086666.666666667</c:v>
                </c:pt>
                <c:pt idx="45">
                  <c:v>6752500</c:v>
                </c:pt>
                <c:pt idx="46">
                  <c:v>7325000</c:v>
                </c:pt>
                <c:pt idx="47">
                  <c:v>7940000</c:v>
                </c:pt>
                <c:pt idx="48">
                  <c:v>9210000</c:v>
                </c:pt>
                <c:pt idx="49">
                  <c:v>7470000</c:v>
                </c:pt>
                <c:pt idx="50">
                  <c:v>9330000</c:v>
                </c:pt>
                <c:pt idx="51">
                  <c:v>10780000</c:v>
                </c:pt>
                <c:pt idx="52">
                  <c:v>10493333.333333334</c:v>
                </c:pt>
                <c:pt idx="53">
                  <c:v>8626666.666666666</c:v>
                </c:pt>
                <c:pt idx="54">
                  <c:v>9600000</c:v>
                </c:pt>
                <c:pt idx="55">
                  <c:v>9753333.333333334</c:v>
                </c:pt>
                <c:pt idx="56">
                  <c:v>9173333.333333334</c:v>
                </c:pt>
                <c:pt idx="57">
                  <c:v>10760000</c:v>
                </c:pt>
                <c:pt idx="58">
                  <c:v>10720000</c:v>
                </c:pt>
                <c:pt idx="59">
                  <c:v>10740000</c:v>
                </c:pt>
                <c:pt idx="60">
                  <c:v>10440000</c:v>
                </c:pt>
                <c:pt idx="61">
                  <c:v>10306666.666666666</c:v>
                </c:pt>
                <c:pt idx="62">
                  <c:v>9773333.333333334</c:v>
                </c:pt>
                <c:pt idx="63">
                  <c:v>11000000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6F-480A-9330-6FAAA197F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30072"/>
        <c:axId val="390130464"/>
      </c:scatterChart>
      <c:scatterChart>
        <c:scatterStyle val="lineMarker"/>
        <c:varyColors val="0"/>
        <c:ser>
          <c:idx val="1"/>
          <c:order val="1"/>
          <c:tx>
            <c:strRef>
              <c:f>ferment.!$CO$7</c:f>
              <c:strCache>
                <c:ptCount val="1"/>
                <c:pt idx="0">
                  <c:v>qS(Gluc)(nmol/e6*cel*h)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9E6F-480A-9330-6FAAA197F3B8}"/>
              </c:ext>
            </c:extLst>
          </c:dPt>
          <c:xVal>
            <c:numRef>
              <c:f>ferment.!$E$12:$E$70</c:f>
              <c:numCache>
                <c:formatCode>0.00</c:formatCode>
                <c:ptCount val="59"/>
                <c:pt idx="0">
                  <c:v>3.8958333333357587</c:v>
                </c:pt>
                <c:pt idx="1">
                  <c:v>5.03125</c:v>
                </c:pt>
                <c:pt idx="2">
                  <c:v>6.21875</c:v>
                </c:pt>
                <c:pt idx="3">
                  <c:v>6.9652777777810115</c:v>
                </c:pt>
                <c:pt idx="4">
                  <c:v>7.9909722222218988</c:v>
                </c:pt>
                <c:pt idx="5">
                  <c:v>8.9166666666642413</c:v>
                </c:pt>
                <c:pt idx="6">
                  <c:v>9.9097222222189885</c:v>
                </c:pt>
                <c:pt idx="7">
                  <c:v>10.895833333335759</c:v>
                </c:pt>
                <c:pt idx="8">
                  <c:v>12.208333333335759</c:v>
                </c:pt>
                <c:pt idx="9">
                  <c:v>13.017361111109494</c:v>
                </c:pt>
                <c:pt idx="10">
                  <c:v>15.048611111109494</c:v>
                </c:pt>
                <c:pt idx="11">
                  <c:v>15.9375</c:v>
                </c:pt>
                <c:pt idx="12">
                  <c:v>16.899305555554747</c:v>
                </c:pt>
                <c:pt idx="13">
                  <c:v>19.0625</c:v>
                </c:pt>
                <c:pt idx="14">
                  <c:v>19.979166666664241</c:v>
                </c:pt>
                <c:pt idx="15">
                  <c:v>21.225694444445253</c:v>
                </c:pt>
                <c:pt idx="16">
                  <c:v>22.145833333335759</c:v>
                </c:pt>
                <c:pt idx="17">
                  <c:v>23.020833333335759</c:v>
                </c:pt>
                <c:pt idx="18">
                  <c:v>23.90625</c:v>
                </c:pt>
                <c:pt idx="19">
                  <c:v>24.930555555554747</c:v>
                </c:pt>
                <c:pt idx="20">
                  <c:v>26.243055555554747</c:v>
                </c:pt>
                <c:pt idx="21">
                  <c:v>27.03125</c:v>
                </c:pt>
                <c:pt idx="22">
                  <c:v>28.145833333335759</c:v>
                </c:pt>
                <c:pt idx="23">
                  <c:v>29.201388888890506</c:v>
                </c:pt>
                <c:pt idx="24">
                  <c:v>30.041666666664241</c:v>
                </c:pt>
                <c:pt idx="25">
                  <c:v>33.152777777781012</c:v>
                </c:pt>
                <c:pt idx="26">
                  <c:v>35.194444444445253</c:v>
                </c:pt>
                <c:pt idx="27">
                  <c:v>36.274305555554747</c:v>
                </c:pt>
                <c:pt idx="28">
                  <c:v>37.902777777781012</c:v>
                </c:pt>
                <c:pt idx="29">
                  <c:v>38.902777777781012</c:v>
                </c:pt>
                <c:pt idx="30">
                  <c:v>41.1875</c:v>
                </c:pt>
                <c:pt idx="31">
                  <c:v>43.263888888890506</c:v>
                </c:pt>
                <c:pt idx="32">
                  <c:v>43.951388888890506</c:v>
                </c:pt>
                <c:pt idx="33">
                  <c:v>44.902777777781012</c:v>
                </c:pt>
                <c:pt idx="34">
                  <c:v>47.173611111109494</c:v>
                </c:pt>
                <c:pt idx="35">
                  <c:v>47.944444444445253</c:v>
                </c:pt>
                <c:pt idx="36">
                  <c:v>48.989583333335759</c:v>
                </c:pt>
                <c:pt idx="37">
                  <c:v>51.225694444445253</c:v>
                </c:pt>
                <c:pt idx="38">
                  <c:v>54.138888888890506</c:v>
                </c:pt>
                <c:pt idx="39">
                  <c:v>55.180555555554747</c:v>
                </c:pt>
                <c:pt idx="40">
                  <c:v>56.048611111109494</c:v>
                </c:pt>
                <c:pt idx="41">
                  <c:v>57.979166666664241</c:v>
                </c:pt>
                <c:pt idx="42">
                  <c:v>59.003472222218988</c:v>
                </c:pt>
                <c:pt idx="43">
                  <c:v>61.961805555554747</c:v>
                </c:pt>
                <c:pt idx="44">
                  <c:v>62.975694444445253</c:v>
                </c:pt>
                <c:pt idx="45">
                  <c:v>64.034722222218988</c:v>
                </c:pt>
                <c:pt idx="46">
                  <c:v>65.034722222218988</c:v>
                </c:pt>
                <c:pt idx="47">
                  <c:v>67.96875</c:v>
                </c:pt>
                <c:pt idx="48">
                  <c:v>69.048611111109494</c:v>
                </c:pt>
                <c:pt idx="49">
                  <c:v>70.1875</c:v>
                </c:pt>
                <c:pt idx="50">
                  <c:v>71.21875</c:v>
                </c:pt>
                <c:pt idx="51">
                  <c:v>71.951388888890506</c:v>
                </c:pt>
                <c:pt idx="52">
                  <c:v>72.899305555554747</c:v>
                </c:pt>
                <c:pt idx="53">
                  <c:v>77.201388888890506</c:v>
                </c:pt>
                <c:pt idx="54">
                  <c:v>78.201388888890506</c:v>
                </c:pt>
                <c:pt idx="55">
                  <c:v>78.972222222218988</c:v>
                </c:pt>
                <c:pt idx="56">
                  <c:v>81.979166666664241</c:v>
                </c:pt>
                <c:pt idx="57">
                  <c:v>83.197916666664241</c:v>
                </c:pt>
                <c:pt idx="58">
                  <c:v>84.215277777781012</c:v>
                </c:pt>
              </c:numCache>
            </c:numRef>
          </c:xVal>
          <c:yVal>
            <c:numRef>
              <c:f>ferment.!$CO$12:$CO$70</c:f>
              <c:numCache>
                <c:formatCode>0.00</c:formatCode>
                <c:ptCount val="59"/>
                <c:pt idx="0">
                  <c:v>-139.71966583887831</c:v>
                </c:pt>
                <c:pt idx="1">
                  <c:v>-57.423517563535952</c:v>
                </c:pt>
                <c:pt idx="2">
                  <c:v>-90.054730437248281</c:v>
                </c:pt>
                <c:pt idx="3">
                  <c:v>-44.387269772003961</c:v>
                </c:pt>
                <c:pt idx="4">
                  <c:v>-66.262862791548329</c:v>
                </c:pt>
                <c:pt idx="5">
                  <c:v>-97.836343951299114</c:v>
                </c:pt>
                <c:pt idx="6">
                  <c:v>-105.73547980887749</c:v>
                </c:pt>
                <c:pt idx="7">
                  <c:v>-92.198242154381759</c:v>
                </c:pt>
                <c:pt idx="8">
                  <c:v>-97.075073693931358</c:v>
                </c:pt>
                <c:pt idx="9">
                  <c:v>-258.8735786992911</c:v>
                </c:pt>
                <c:pt idx="10">
                  <c:v>-143.26511511863467</c:v>
                </c:pt>
                <c:pt idx="11">
                  <c:v>-112.22644609422953</c:v>
                </c:pt>
                <c:pt idx="12">
                  <c:v>-96.662571566981285</c:v>
                </c:pt>
                <c:pt idx="13">
                  <c:v>-84.119321933843366</c:v>
                </c:pt>
                <c:pt idx="14">
                  <c:v>-69.505602638323339</c:v>
                </c:pt>
                <c:pt idx="15">
                  <c:v>-59.545204999400895</c:v>
                </c:pt>
                <c:pt idx="16">
                  <c:v>-59.821883308612485</c:v>
                </c:pt>
                <c:pt idx="17">
                  <c:v>-57.772283389378174</c:v>
                </c:pt>
                <c:pt idx="18">
                  <c:v>-16.083575620569313</c:v>
                </c:pt>
                <c:pt idx="19">
                  <c:v>-77.883136434764737</c:v>
                </c:pt>
                <c:pt idx="20">
                  <c:v>-52.373054235922247</c:v>
                </c:pt>
                <c:pt idx="21">
                  <c:v>-50.875497277172244</c:v>
                </c:pt>
                <c:pt idx="22">
                  <c:v>-46.741026625709374</c:v>
                </c:pt>
                <c:pt idx="23">
                  <c:v>-45.34260113126966</c:v>
                </c:pt>
                <c:pt idx="24">
                  <c:v>-43.49354704543623</c:v>
                </c:pt>
                <c:pt idx="25">
                  <c:v>-39.795427287543234</c:v>
                </c:pt>
                <c:pt idx="26">
                  <c:v>-37.990622664386635</c:v>
                </c:pt>
                <c:pt idx="27">
                  <c:v>-35.586154315022995</c:v>
                </c:pt>
                <c:pt idx="28">
                  <c:v>-41.969449237427142</c:v>
                </c:pt>
                <c:pt idx="29">
                  <c:v>-48.004946623920588</c:v>
                </c:pt>
                <c:pt idx="30">
                  <c:v>-55.769439937430136</c:v>
                </c:pt>
                <c:pt idx="31">
                  <c:v>-61.973202381040892</c:v>
                </c:pt>
                <c:pt idx="32">
                  <c:v>-67.411592610360742</c:v>
                </c:pt>
                <c:pt idx="33">
                  <c:v>-59.243369331229147</c:v>
                </c:pt>
                <c:pt idx="34">
                  <c:v>-66.158289980916919</c:v>
                </c:pt>
                <c:pt idx="35">
                  <c:v>-60.297047400607646</c:v>
                </c:pt>
                <c:pt idx="36">
                  <c:v>-74.245839676632087</c:v>
                </c:pt>
                <c:pt idx="37">
                  <c:v>-76.35878298672678</c:v>
                </c:pt>
                <c:pt idx="38">
                  <c:v>-46.296481023678446</c:v>
                </c:pt>
                <c:pt idx="39">
                  <c:v>-96.586984485595835</c:v>
                </c:pt>
                <c:pt idx="40">
                  <c:v>-66.351986773095518</c:v>
                </c:pt>
                <c:pt idx="41">
                  <c:v>-62.340670581179175</c:v>
                </c:pt>
                <c:pt idx="42">
                  <c:v>-58.359300739418565</c:v>
                </c:pt>
                <c:pt idx="43">
                  <c:v>-51.511601101298808</c:v>
                </c:pt>
                <c:pt idx="44">
                  <c:v>-44.727175025724605</c:v>
                </c:pt>
                <c:pt idx="45">
                  <c:v>-47.257476467869516</c:v>
                </c:pt>
                <c:pt idx="46">
                  <c:v>-47.884559852007641</c:v>
                </c:pt>
                <c:pt idx="47">
                  <c:v>-39.675258720399768</c:v>
                </c:pt>
                <c:pt idx="48">
                  <c:v>-36.720121110650439</c:v>
                </c:pt>
                <c:pt idx="49">
                  <c:v>-41.607318792372169</c:v>
                </c:pt>
                <c:pt idx="50">
                  <c:v>-41.74746768623114</c:v>
                </c:pt>
                <c:pt idx="51">
                  <c:v>-42.052425255783092</c:v>
                </c:pt>
                <c:pt idx="52">
                  <c:v>-41.175363839143316</c:v>
                </c:pt>
                <c:pt idx="53">
                  <c:v>-40.020057102562397</c:v>
                </c:pt>
                <c:pt idx="54">
                  <c:v>-37.30285591470318</c:v>
                </c:pt>
                <c:pt idx="55">
                  <c:v>-35.680793857612478</c:v>
                </c:pt>
                <c:pt idx="56">
                  <c:v>-41.671544783744231</c:v>
                </c:pt>
                <c:pt idx="57">
                  <c:v>-43.532048497534014</c:v>
                </c:pt>
                <c:pt idx="58">
                  <c:v>-44.063735975634856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6F-480A-9330-6FAAA197F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31248"/>
        <c:axId val="390130856"/>
      </c:scatterChart>
      <c:valAx>
        <c:axId val="3901300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Culture time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0130464"/>
        <c:crosses val="autoZero"/>
        <c:crossBetween val="midCat"/>
        <c:minorUnit val="2"/>
      </c:valAx>
      <c:valAx>
        <c:axId val="390130464"/>
        <c:scaling>
          <c:orientation val="minMax"/>
          <c:max val="13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Viable cell density (cel/mL)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0130072"/>
        <c:crosses val="autoZero"/>
        <c:crossBetween val="midCat"/>
      </c:valAx>
      <c:valAx>
        <c:axId val="3901308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qGlucosa</a:t>
                </a:r>
                <a:r>
                  <a:rPr lang="en-US" baseline="0"/>
                  <a:t> nmol/e6cel*h)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0131248"/>
        <c:crosses val="max"/>
        <c:crossBetween val="midCat"/>
      </c:valAx>
      <c:valAx>
        <c:axId val="39013124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0130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09104773120862"/>
          <c:y val="5.0925925925925923E-2"/>
          <c:w val="0.60869489705957758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Xv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(Graficcos!$U$4,Graficcos!$U$14,Graficcos!$U$21,Graficcos!$U$28,Graficcos!$U$38)</c:f>
                <c:numCache>
                  <c:formatCode>General</c:formatCode>
                  <c:ptCount val="5"/>
                  <c:pt idx="0">
                    <c:v>311408.40210443002</c:v>
                  </c:pt>
                  <c:pt idx="1">
                    <c:v>529000.63011934748</c:v>
                  </c:pt>
                  <c:pt idx="2">
                    <c:v>130274.99404749191</c:v>
                  </c:pt>
                  <c:pt idx="3">
                    <c:v>798226.50642255391</c:v>
                  </c:pt>
                  <c:pt idx="4">
                    <c:v>503793.02040362486</c:v>
                  </c:pt>
                </c:numCache>
              </c:numRef>
            </c:plus>
            <c:minus>
              <c:numRef>
                <c:f>(Graficcos!$U$4,Graficcos!$U$14,Graficcos!$U$21,Graficcos!$U$28,Graficcos!$U$38)</c:f>
                <c:numCache>
                  <c:formatCode>General</c:formatCode>
                  <c:ptCount val="5"/>
                  <c:pt idx="0">
                    <c:v>311408.40210443002</c:v>
                  </c:pt>
                  <c:pt idx="1">
                    <c:v>529000.63011934748</c:v>
                  </c:pt>
                  <c:pt idx="2">
                    <c:v>130274.99404749191</c:v>
                  </c:pt>
                  <c:pt idx="3">
                    <c:v>798226.50642255391</c:v>
                  </c:pt>
                  <c:pt idx="4">
                    <c:v>503793.02040362486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(Graficcos!$P$4,Graficcos!$P$14,Graficcos!$P$21,Graficcos!$P$28,Graficcos!$P$38)</c:f>
              <c:numCache>
                <c:formatCode>General</c:formatCode>
                <c:ptCount val="5"/>
                <c:pt idx="0">
                  <c:v>0.45</c:v>
                </c:pt>
                <c:pt idx="1">
                  <c:v>0.4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</c:numCache>
            </c:numRef>
          </c:xVal>
          <c:yVal>
            <c:numRef>
              <c:f>(Graficcos!$T$4,Graficcos!$T$14,Graficcos!$T$21,Graficcos!$T$28,Graficcos!$T$38)</c:f>
              <c:numCache>
                <c:formatCode>General</c:formatCode>
                <c:ptCount val="5"/>
                <c:pt idx="0">
                  <c:v>2845462.9629629632</c:v>
                </c:pt>
                <c:pt idx="1">
                  <c:v>8420000</c:v>
                </c:pt>
                <c:pt idx="2">
                  <c:v>5454722.222222222</c:v>
                </c:pt>
                <c:pt idx="3">
                  <c:v>9997666.6666666679</c:v>
                </c:pt>
                <c:pt idx="4">
                  <c:v>10380000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59-445B-8E18-C06074025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08960"/>
        <c:axId val="395604368"/>
      </c:scatterChart>
      <c:scatterChart>
        <c:scatterStyle val="smoothMarker"/>
        <c:varyColors val="0"/>
        <c:ser>
          <c:idx val="1"/>
          <c:order val="1"/>
          <c:tx>
            <c:v>qLact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(Graficcos!$AK$22,Graficcos!$AI$22,Graficcos!$AH$22,Graficcos!$AJ$22,Graficcos!$AL$22)</c:f>
                <c:numCache>
                  <c:formatCode>General</c:formatCode>
                  <c:ptCount val="5"/>
                  <c:pt idx="0">
                    <c:v>20.090822942050892</c:v>
                  </c:pt>
                  <c:pt idx="1">
                    <c:v>7.4009733890400557</c:v>
                  </c:pt>
                  <c:pt idx="2">
                    <c:v>15.287810406340947</c:v>
                  </c:pt>
                  <c:pt idx="3">
                    <c:v>6.5652455344164729</c:v>
                  </c:pt>
                  <c:pt idx="4">
                    <c:v>9.146914383072243</c:v>
                  </c:pt>
                </c:numCache>
              </c:numRef>
            </c:plus>
            <c:minus>
              <c:numRef>
                <c:f>(Graficcos!$AK$22,Graficcos!$AI$22,Graficcos!$AH$22,Graficcos!$AJ$22,Graficcos!$AL$22)</c:f>
                <c:numCache>
                  <c:formatCode>General</c:formatCode>
                  <c:ptCount val="5"/>
                  <c:pt idx="0">
                    <c:v>20.090822942050892</c:v>
                  </c:pt>
                  <c:pt idx="1">
                    <c:v>7.4009733890400557</c:v>
                  </c:pt>
                  <c:pt idx="2">
                    <c:v>15.287810406340947</c:v>
                  </c:pt>
                  <c:pt idx="3">
                    <c:v>6.5652455344164729</c:v>
                  </c:pt>
                  <c:pt idx="4">
                    <c:v>9.146914383072243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(Graficcos!$P$4,Graficcos!$P$14,Graficcos!$P$21,Graficcos!$P$28,Graficcos!$P$38)</c:f>
              <c:numCache>
                <c:formatCode>General</c:formatCode>
                <c:ptCount val="5"/>
                <c:pt idx="0">
                  <c:v>0.45</c:v>
                </c:pt>
                <c:pt idx="1">
                  <c:v>0.4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</c:numCache>
            </c:numRef>
          </c:xVal>
          <c:yVal>
            <c:numRef>
              <c:f>(Graficcos!$AK$11,Graficcos!$AI$11,Graficcos!$AH$11,Graficcos!$AJ$11,Graficcos!$AL$11)</c:f>
              <c:numCache>
                <c:formatCode>0.00</c:formatCode>
                <c:ptCount val="5"/>
                <c:pt idx="0">
                  <c:v>186.41569523031941</c:v>
                </c:pt>
                <c:pt idx="1">
                  <c:v>46.947521979220689</c:v>
                </c:pt>
                <c:pt idx="2">
                  <c:v>81.28717483433843</c:v>
                </c:pt>
                <c:pt idx="3">
                  <c:v>42.263194298100274</c:v>
                </c:pt>
                <c:pt idx="4">
                  <c:v>42.021841858237501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59-445B-8E18-C06074025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445568"/>
        <c:axId val="475453768"/>
      </c:scatterChart>
      <c:valAx>
        <c:axId val="395608960"/>
        <c:scaling>
          <c:orientation val="minMax"/>
          <c:max val="0.47000000000000003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</a:t>
                </a:r>
                <a:r>
                  <a:rPr lang="en-US" b="1" baseline="0"/>
                  <a:t> (1/d)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5604368"/>
        <c:crosses val="autoZero"/>
        <c:crossBetween val="midCat"/>
        <c:majorUnit val="5.000000000000001E-2"/>
      </c:valAx>
      <c:valAx>
        <c:axId val="3956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Xv</a:t>
                </a:r>
                <a:r>
                  <a:rPr lang="en-US" sz="1400" b="1" baseline="0"/>
                  <a:t> (cel/mL)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2.8958454975660502E-3"/>
              <c:y val="0.283693861184018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5608960"/>
        <c:crosses val="autoZero"/>
        <c:crossBetween val="midCat"/>
        <c:majorUnit val="2000000"/>
        <c:minorUnit val="1000000"/>
      </c:valAx>
      <c:valAx>
        <c:axId val="475453768"/>
        <c:scaling>
          <c:orientation val="minMax"/>
          <c:max val="25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qLact</a:t>
                </a:r>
                <a:r>
                  <a:rPr lang="en-US" sz="1400" b="1" baseline="0"/>
                  <a:t> </a:t>
                </a:r>
                <a:r>
                  <a:rPr lang="en-US" sz="1400" b="1"/>
                  <a:t>(nmol/e6*cel*h)</a:t>
                </a:r>
              </a:p>
            </c:rich>
          </c:tx>
          <c:layout>
            <c:manualLayout>
              <c:xMode val="edge"/>
              <c:yMode val="edge"/>
              <c:x val="0.92635856215874679"/>
              <c:y val="0.163742344706911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5445568"/>
        <c:crosses val="max"/>
        <c:crossBetween val="midCat"/>
      </c:valAx>
      <c:valAx>
        <c:axId val="47544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5453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16533272847069"/>
          <c:y val="0.87136378667763015"/>
          <c:w val="0.2896529600466608"/>
          <c:h val="8.81467909587351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92969580218586"/>
          <c:y val="4.9943246311010214E-2"/>
          <c:w val="0.61702027583054897"/>
          <c:h val="0.74845263524806283"/>
        </c:manualLayout>
      </c:layout>
      <c:scatterChart>
        <c:scatterStyle val="smoothMarker"/>
        <c:varyColors val="0"/>
        <c:ser>
          <c:idx val="0"/>
          <c:order val="0"/>
          <c:tx>
            <c:v>Xv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(Graficcos!$U$4,Graficcos!$U$14,Graficcos!$U$21,Graficcos!$U$28,Graficcos!$U$38)</c:f>
                <c:numCache>
                  <c:formatCode>General</c:formatCode>
                  <c:ptCount val="5"/>
                  <c:pt idx="0">
                    <c:v>311408.40210443002</c:v>
                  </c:pt>
                  <c:pt idx="1">
                    <c:v>529000.63011934748</c:v>
                  </c:pt>
                  <c:pt idx="2">
                    <c:v>130274.99404749191</c:v>
                  </c:pt>
                  <c:pt idx="3">
                    <c:v>798226.50642255391</c:v>
                  </c:pt>
                  <c:pt idx="4">
                    <c:v>503793.02040362486</c:v>
                  </c:pt>
                </c:numCache>
              </c:numRef>
            </c:plus>
            <c:minus>
              <c:numRef>
                <c:f>(Graficcos!$U$4,Graficcos!$U$14,Graficcos!$U$21,Graficcos!$U$28,Graficcos!$U$38)</c:f>
                <c:numCache>
                  <c:formatCode>General</c:formatCode>
                  <c:ptCount val="5"/>
                  <c:pt idx="0">
                    <c:v>311408.40210443002</c:v>
                  </c:pt>
                  <c:pt idx="1">
                    <c:v>529000.63011934748</c:v>
                  </c:pt>
                  <c:pt idx="2">
                    <c:v>130274.99404749191</c:v>
                  </c:pt>
                  <c:pt idx="3">
                    <c:v>798226.50642255391</c:v>
                  </c:pt>
                  <c:pt idx="4">
                    <c:v>503793.02040362486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(Graficcos!$P$4,Graficcos!$P$14,Graficcos!$P$21,Graficcos!$P$28,Graficcos!$P$38)</c:f>
              <c:numCache>
                <c:formatCode>General</c:formatCode>
                <c:ptCount val="5"/>
                <c:pt idx="0">
                  <c:v>0.45</c:v>
                </c:pt>
                <c:pt idx="1">
                  <c:v>0.4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</c:numCache>
            </c:numRef>
          </c:xVal>
          <c:yVal>
            <c:numRef>
              <c:f>(Graficcos!$T$4,Graficcos!$T$14,Graficcos!$T$21,Graficcos!$T$28,Graficcos!$T$38)</c:f>
              <c:numCache>
                <c:formatCode>General</c:formatCode>
                <c:ptCount val="5"/>
                <c:pt idx="0">
                  <c:v>2845462.9629629632</c:v>
                </c:pt>
                <c:pt idx="1">
                  <c:v>8420000</c:v>
                </c:pt>
                <c:pt idx="2">
                  <c:v>5454722.222222222</c:v>
                </c:pt>
                <c:pt idx="3">
                  <c:v>9997666.6666666679</c:v>
                </c:pt>
                <c:pt idx="4">
                  <c:v>10380000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2B-4A5B-AAC7-529BF14D1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08960"/>
        <c:axId val="395604368"/>
      </c:scatterChart>
      <c:scatterChart>
        <c:scatterStyle val="smoothMarker"/>
        <c:varyColors val="0"/>
        <c:ser>
          <c:idx val="1"/>
          <c:order val="1"/>
          <c:tx>
            <c:v>qGluc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(Graficcos!$AK$21,Graficcos!$AI$21,Graficcos!$AH$21,Graficcos!$AJ$21,Graficcos!$AL$21)</c:f>
                <c:numCache>
                  <c:formatCode>General</c:formatCode>
                  <c:ptCount val="5"/>
                  <c:pt idx="0">
                    <c:v>15.235567270210286</c:v>
                  </c:pt>
                  <c:pt idx="1">
                    <c:v>6.8725039208289616</c:v>
                  </c:pt>
                  <c:pt idx="2">
                    <c:v>6.9624662294485038</c:v>
                  </c:pt>
                  <c:pt idx="3">
                    <c:v>4.5127928244726618</c:v>
                  </c:pt>
                  <c:pt idx="4">
                    <c:v>1.2904589176027552</c:v>
                  </c:pt>
                </c:numCache>
              </c:numRef>
            </c:plus>
            <c:minus>
              <c:numRef>
                <c:f>(Graficcos!$AK$21,Graficcos!$AI$21,Graficcos!$AH$21,Graficcos!$AJ$21,Graficcos!$AL$21)</c:f>
                <c:numCache>
                  <c:formatCode>General</c:formatCode>
                  <c:ptCount val="5"/>
                  <c:pt idx="0">
                    <c:v>15.235567270210286</c:v>
                  </c:pt>
                  <c:pt idx="1">
                    <c:v>6.8725039208289616</c:v>
                  </c:pt>
                  <c:pt idx="2">
                    <c:v>6.9624662294485038</c:v>
                  </c:pt>
                  <c:pt idx="3">
                    <c:v>4.5127928244726618</c:v>
                  </c:pt>
                  <c:pt idx="4">
                    <c:v>1.2904589176027552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(Graficcos!$P$4,Graficcos!$P$14,Graficcos!$P$21,Graficcos!$P$28,Graficcos!$P$38)</c:f>
              <c:numCache>
                <c:formatCode>General</c:formatCode>
                <c:ptCount val="5"/>
                <c:pt idx="0">
                  <c:v>0.45</c:v>
                </c:pt>
                <c:pt idx="1">
                  <c:v>0.4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</c:numCache>
            </c:numRef>
          </c:xVal>
          <c:yVal>
            <c:numRef>
              <c:f>(Graficcos!$AK$9,Graficcos!$AI$9,Graficcos!$AH$9,Graficcos!$AJ$9,Graficcos!$AL$9)</c:f>
              <c:numCache>
                <c:formatCode>0.00</c:formatCode>
                <c:ptCount val="5"/>
                <c:pt idx="0">
                  <c:v>-85.596868387688829</c:v>
                </c:pt>
                <c:pt idx="1">
                  <c:v>-48.427707304251562</c:v>
                </c:pt>
                <c:pt idx="2">
                  <c:v>-58.18470366024637</c:v>
                </c:pt>
                <c:pt idx="3">
                  <c:v>-40.128980255389287</c:v>
                </c:pt>
                <c:pt idx="4">
                  <c:v>-42.056110479229908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2B-4A5B-AAC7-529BF14D1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445568"/>
        <c:axId val="475453768"/>
      </c:scatterChart>
      <c:valAx>
        <c:axId val="395608960"/>
        <c:scaling>
          <c:orientation val="minMax"/>
          <c:max val="0.47000000000000003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</a:t>
                </a:r>
                <a:r>
                  <a:rPr lang="en-US" b="1" baseline="0"/>
                  <a:t> (1/d)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5604368"/>
        <c:crosses val="autoZero"/>
        <c:crossBetween val="midCat"/>
        <c:majorUnit val="5.000000000000001E-2"/>
      </c:valAx>
      <c:valAx>
        <c:axId val="3956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Xv</a:t>
                </a:r>
                <a:r>
                  <a:rPr lang="en-US" sz="1400" b="1" baseline="0"/>
                  <a:t> (cel/mL)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5608960"/>
        <c:crossesAt val="0.33000000000000007"/>
        <c:crossBetween val="midCat"/>
        <c:majorUnit val="2000000"/>
        <c:minorUnit val="1000000"/>
      </c:valAx>
      <c:valAx>
        <c:axId val="475453768"/>
        <c:scaling>
          <c:orientation val="minMax"/>
          <c:max val="10"/>
          <c:min val="-1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qGluc(nmol/e6*cel*h)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5445568"/>
        <c:crosses val="max"/>
        <c:crossBetween val="midCat"/>
        <c:majorUnit val="20"/>
      </c:valAx>
      <c:valAx>
        <c:axId val="47544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5453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95666553502786"/>
          <c:y val="0.88195161189414317"/>
          <c:w val="0.29766364044550064"/>
          <c:h val="0.10783308159124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Regression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765310586176722E-2"/>
                  <c:y val="0.245309128025663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(ferment.!$J$12:$J$20,ferment.!$J$31:$J$37,ferment.!$J$42:$J$47,ferment.!$J$58:$J$71)</c:f>
              <c:numCache>
                <c:formatCode>0.00E+00</c:formatCode>
                <c:ptCount val="36"/>
                <c:pt idx="0">
                  <c:v>3270000</c:v>
                </c:pt>
                <c:pt idx="1">
                  <c:v>2815000</c:v>
                </c:pt>
                <c:pt idx="2">
                  <c:v>2655000</c:v>
                </c:pt>
                <c:pt idx="3">
                  <c:v>2197500</c:v>
                </c:pt>
                <c:pt idx="4">
                  <c:v>2813333.3333333335</c:v>
                </c:pt>
                <c:pt idx="5">
                  <c:v>2898333.3333333335</c:v>
                </c:pt>
                <c:pt idx="6">
                  <c:v>2880000</c:v>
                </c:pt>
                <c:pt idx="7">
                  <c:v>3210000</c:v>
                </c:pt>
                <c:pt idx="8">
                  <c:v>2870000</c:v>
                </c:pt>
                <c:pt idx="9">
                  <c:v>7995000</c:v>
                </c:pt>
                <c:pt idx="10">
                  <c:v>7470000</c:v>
                </c:pt>
                <c:pt idx="11">
                  <c:v>8280000</c:v>
                </c:pt>
                <c:pt idx="12">
                  <c:v>8830000</c:v>
                </c:pt>
                <c:pt idx="13">
                  <c:v>8760000</c:v>
                </c:pt>
                <c:pt idx="14">
                  <c:v>8805000</c:v>
                </c:pt>
                <c:pt idx="15">
                  <c:v>8800000</c:v>
                </c:pt>
                <c:pt idx="16">
                  <c:v>5480000</c:v>
                </c:pt>
                <c:pt idx="17">
                  <c:v>5595000</c:v>
                </c:pt>
                <c:pt idx="18">
                  <c:v>5313333.333333333</c:v>
                </c:pt>
                <c:pt idx="19">
                  <c:v>5400000</c:v>
                </c:pt>
                <c:pt idx="20">
                  <c:v>5326666.666666667</c:v>
                </c:pt>
                <c:pt idx="21">
                  <c:v>5613333.333333333</c:v>
                </c:pt>
                <c:pt idx="22">
                  <c:v>9330000</c:v>
                </c:pt>
                <c:pt idx="23">
                  <c:v>10780000</c:v>
                </c:pt>
                <c:pt idx="24">
                  <c:v>10493333.333333334</c:v>
                </c:pt>
                <c:pt idx="25">
                  <c:v>8626666.666666666</c:v>
                </c:pt>
                <c:pt idx="26">
                  <c:v>9600000</c:v>
                </c:pt>
                <c:pt idx="27">
                  <c:v>9753333.333333334</c:v>
                </c:pt>
                <c:pt idx="28">
                  <c:v>9173333.333333334</c:v>
                </c:pt>
                <c:pt idx="29">
                  <c:v>10760000</c:v>
                </c:pt>
                <c:pt idx="30">
                  <c:v>10720000</c:v>
                </c:pt>
                <c:pt idx="31">
                  <c:v>10740000</c:v>
                </c:pt>
                <c:pt idx="32">
                  <c:v>10440000</c:v>
                </c:pt>
                <c:pt idx="33">
                  <c:v>10306666.666666666</c:v>
                </c:pt>
                <c:pt idx="34">
                  <c:v>9773333.333333334</c:v>
                </c:pt>
                <c:pt idx="35">
                  <c:v>11000000</c:v>
                </c:pt>
              </c:numCache>
            </c:numRef>
          </c:xVal>
          <c:yVal>
            <c:numRef>
              <c:f>(ferment.!$BR$12:$BR$20,ferment.!$BR$31:$BR$37,ferment.!$BR$42:$BR$47,ferment.!$BR$58:$BR$71)</c:f>
              <c:numCache>
                <c:formatCode>0.00</c:formatCode>
                <c:ptCount val="36"/>
                <c:pt idx="0">
                  <c:v>14.37</c:v>
                </c:pt>
                <c:pt idx="1">
                  <c:v>14.37</c:v>
                </c:pt>
                <c:pt idx="2">
                  <c:v>14.321497333333333</c:v>
                </c:pt>
                <c:pt idx="3">
                  <c:v>14.272994666666666</c:v>
                </c:pt>
                <c:pt idx="4">
                  <c:v>15.134007333333333</c:v>
                </c:pt>
                <c:pt idx="5">
                  <c:v>16.650417666666666</c:v>
                </c:pt>
                <c:pt idx="6">
                  <c:v>16.873167333333331</c:v>
                </c:pt>
                <c:pt idx="7">
                  <c:v>16.04214</c:v>
                </c:pt>
                <c:pt idx="8">
                  <c:v>6.8107706666666674</c:v>
                </c:pt>
                <c:pt idx="9">
                  <c:v>1.8440715000000001</c:v>
                </c:pt>
                <c:pt idx="10">
                  <c:v>11.835697</c:v>
                </c:pt>
                <c:pt idx="11">
                  <c:v>11.144857333333333</c:v>
                </c:pt>
                <c:pt idx="12">
                  <c:v>11.295039666666666</c:v>
                </c:pt>
                <c:pt idx="13">
                  <c:v>9.9447149999999986</c:v>
                </c:pt>
                <c:pt idx="14">
                  <c:v>11.456551333333335</c:v>
                </c:pt>
                <c:pt idx="15">
                  <c:v>12.147391000000001</c:v>
                </c:pt>
                <c:pt idx="16">
                  <c:v>23.869045</c:v>
                </c:pt>
                <c:pt idx="17">
                  <c:v>18.779384999999998</c:v>
                </c:pt>
                <c:pt idx="18">
                  <c:v>17.926008333333336</c:v>
                </c:pt>
                <c:pt idx="19">
                  <c:v>14.529501666666668</c:v>
                </c:pt>
                <c:pt idx="20">
                  <c:v>12.065904999999999</c:v>
                </c:pt>
                <c:pt idx="21">
                  <c:v>7.1696749999999998</c:v>
                </c:pt>
                <c:pt idx="22">
                  <c:v>12.599769750000002</c:v>
                </c:pt>
                <c:pt idx="23">
                  <c:v>14.159212500000001</c:v>
                </c:pt>
                <c:pt idx="24">
                  <c:v>20.081594000000003</c:v>
                </c:pt>
                <c:pt idx="25">
                  <c:v>13.036695666666667</c:v>
                </c:pt>
                <c:pt idx="26">
                  <c:v>15.158479</c:v>
                </c:pt>
                <c:pt idx="27">
                  <c:v>17.259742333333332</c:v>
                </c:pt>
                <c:pt idx="28">
                  <c:v>16.504600999999997</c:v>
                </c:pt>
                <c:pt idx="29">
                  <c:v>19.931465333333339</c:v>
                </c:pt>
                <c:pt idx="30">
                  <c:v>18.224189000000003</c:v>
                </c:pt>
                <c:pt idx="31">
                  <c:v>26.363529</c:v>
                </c:pt>
                <c:pt idx="32">
                  <c:v>23.275247333333333</c:v>
                </c:pt>
                <c:pt idx="33">
                  <c:v>25.001357333333335</c:v>
                </c:pt>
                <c:pt idx="34">
                  <c:v>23.510940666666666</c:v>
                </c:pt>
                <c:pt idx="35">
                  <c:v>24.419055333333333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EF-41BA-9209-972E31347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151984"/>
        <c:axId val="477157888"/>
      </c:scatterChart>
      <c:valAx>
        <c:axId val="4771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7157888"/>
        <c:crosses val="autoZero"/>
        <c:crossBetween val="midCat"/>
      </c:valAx>
      <c:valAx>
        <c:axId val="4771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71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2656976894281657"/>
          <c:y val="0.12625176215536171"/>
          <c:w val="0.71950621746052223"/>
          <c:h val="0.66226580719848094"/>
        </c:manualLayout>
      </c:layout>
      <c:scatterChart>
        <c:scatterStyle val="lineMarker"/>
        <c:varyColors val="0"/>
        <c:ser>
          <c:idx val="0"/>
          <c:order val="0"/>
          <c:tx>
            <c:v>0.45_1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0601092896174864"/>
                  <c:y val="5.524222842819541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y(0,45_1) = 1E-07x + 7,0619</a:t>
                    </a:r>
                    <a:br>
                      <a:rPr lang="en-US" baseline="0"/>
                    </a:br>
                    <a:r>
                      <a:rPr lang="en-US" baseline="0"/>
                      <a:t>R² = 0,958</a:t>
                    </a:r>
                    <a:endParaRPr lang="en-US"/>
                  </a:p>
                </c:rich>
              </c:tx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ferment.!$BD$12:$BD$20</c:f>
              <c:numCache>
                <c:formatCode>0.00E+00</c:formatCode>
                <c:ptCount val="9"/>
                <c:pt idx="0">
                  <c:v>174150312.50007963</c:v>
                </c:pt>
                <c:pt idx="1">
                  <c:v>257058437.49990255</c:v>
                </c:pt>
                <c:pt idx="2">
                  <c:v>335005937.49990255</c:v>
                </c:pt>
                <c:pt idx="3">
                  <c:v>378476250.00009084</c:v>
                </c:pt>
                <c:pt idx="4">
                  <c:v>440151256.94432139</c:v>
                </c:pt>
                <c:pt idx="5">
                  <c:v>503598354.16639954</c:v>
                </c:pt>
                <c:pt idx="6">
                  <c:v>572456826.38856566</c:v>
                </c:pt>
                <c:pt idx="7">
                  <c:v>644521826.3889792</c:v>
                </c:pt>
                <c:pt idx="8">
                  <c:v>740281826.3889792</c:v>
                </c:pt>
              </c:numCache>
            </c:numRef>
          </c:xVal>
          <c:yVal>
            <c:numRef>
              <c:f>ferment.!$BQ$12:$BQ$20</c:f>
              <c:numCache>
                <c:formatCode>0.00</c:formatCode>
                <c:ptCount val="9"/>
                <c:pt idx="0">
                  <c:v>22.796153846169503</c:v>
                </c:pt>
                <c:pt idx="1">
                  <c:v>30.170292086568239</c:v>
                </c:pt>
                <c:pt idx="2">
                  <c:v>37.826340726790733</c:v>
                </c:pt>
                <c:pt idx="3">
                  <c:v>42.46056082139161</c:v>
                </c:pt>
                <c:pt idx="4">
                  <c:v>50.102595236614818</c:v>
                </c:pt>
                <c:pt idx="5">
                  <c:v>58.401117459962762</c:v>
                </c:pt>
                <c:pt idx="6">
                  <c:v>66.216012948771734</c:v>
                </c:pt>
                <c:pt idx="7">
                  <c:v>72.764381075602969</c:v>
                </c:pt>
                <c:pt idx="8">
                  <c:v>70.295277347641132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88-4D7D-A8C5-256FA384E541}"/>
            </c:ext>
          </c:extLst>
        </c:ser>
        <c:ser>
          <c:idx val="1"/>
          <c:order val="1"/>
          <c:tx>
            <c:v>0.45_2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385677438465126E-2"/>
                  <c:y val="-3.813986434005443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y(0,45_2) = 4E-08x - 155,98</a:t>
                    </a:r>
                    <a:br>
                      <a:rPr lang="en-US" baseline="0"/>
                    </a:br>
                    <a:r>
                      <a:rPr lang="en-US" baseline="0"/>
                      <a:t>R² = 0,9982</a:t>
                    </a:r>
                    <a:endParaRPr lang="en-US"/>
                  </a:p>
                </c:rich>
              </c:tx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ferment.!$BD$68:$BD$71</c:f>
              <c:numCache>
                <c:formatCode>0.00E+00</c:formatCode>
                <c:ptCount val="4"/>
                <c:pt idx="0">
                  <c:v>13209819986.110851</c:v>
                </c:pt>
                <c:pt idx="1">
                  <c:v>13513239986.110851</c:v>
                </c:pt>
                <c:pt idx="2">
                  <c:v>13758383319.445549</c:v>
                </c:pt>
                <c:pt idx="3">
                  <c:v>14020646652.777674</c:v>
                </c:pt>
              </c:numCache>
            </c:numRef>
          </c:xVal>
          <c:yVal>
            <c:numRef>
              <c:f>ferment.!$BQ$68:$BQ$71</c:f>
              <c:numCache>
                <c:formatCode>0.00</c:formatCode>
                <c:ptCount val="4"/>
                <c:pt idx="0">
                  <c:v>434.61225531476288</c:v>
                </c:pt>
                <c:pt idx="1">
                  <c:v>449.58150760504213</c:v>
                </c:pt>
                <c:pt idx="2">
                  <c:v>459.12032428964204</c:v>
                </c:pt>
                <c:pt idx="3">
                  <c:v>471.29847101413128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88-4D7D-A8C5-256FA384E541}"/>
            </c:ext>
          </c:extLst>
        </c:ser>
        <c:ser>
          <c:idx val="2"/>
          <c:order val="2"/>
          <c:tx>
            <c:v>0.4_1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3614990749107182"/>
                  <c:y val="2.4193604338263791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y(0,4_1) = 2E-08x + 30,131</a:t>
                    </a:r>
                    <a:br>
                      <a:rPr lang="en-US" baseline="0"/>
                    </a:br>
                    <a:r>
                      <a:rPr lang="en-US" baseline="0"/>
                      <a:t>R² = 0,9638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ferment.!$BD$31:$BD$37</c:f>
              <c:numCache>
                <c:formatCode>0.00E+00</c:formatCode>
                <c:ptCount val="7"/>
                <c:pt idx="0">
                  <c:v>2291409743.0554538</c:v>
                </c:pt>
                <c:pt idx="1">
                  <c:v>2534983493.0554538</c:v>
                </c:pt>
                <c:pt idx="2">
                  <c:v>2683952243.0556064</c:v>
                </c:pt>
                <c:pt idx="3">
                  <c:v>2912798493.0561042</c:v>
                </c:pt>
                <c:pt idx="4">
                  <c:v>3135605159.7226</c:v>
                </c:pt>
                <c:pt idx="5">
                  <c:v>3312718909.7217479</c:v>
                </c:pt>
                <c:pt idx="6">
                  <c:v>3969972243.0562768</c:v>
                </c:pt>
              </c:numCache>
            </c:numRef>
          </c:xVal>
          <c:yVal>
            <c:numRef>
              <c:f>ferment.!$BQ$31:$BQ$37</c:f>
              <c:numCache>
                <c:formatCode>0.00</c:formatCode>
                <c:ptCount val="7"/>
                <c:pt idx="0">
                  <c:v>80.981156843372816</c:v>
                </c:pt>
                <c:pt idx="1">
                  <c:v>94.581771596508801</c:v>
                </c:pt>
                <c:pt idx="2">
                  <c:v>97.567737370816275</c:v>
                </c:pt>
                <c:pt idx="3">
                  <c:v>102.82028874214815</c:v>
                </c:pt>
                <c:pt idx="4">
                  <c:v>105.99000951203982</c:v>
                </c:pt>
                <c:pt idx="5">
                  <c:v>111.0457952030692</c:v>
                </c:pt>
                <c:pt idx="6">
                  <c:v>125.31056716826643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88-4D7D-A8C5-256FA384E541}"/>
            </c:ext>
          </c:extLst>
        </c:ser>
        <c:ser>
          <c:idx val="3"/>
          <c:order val="3"/>
          <c:tx>
            <c:v>0.4_2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102069618346887"/>
                  <c:y val="0.1547432580522281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y(0,4_2) = 3E-08x + 10,894</a:t>
                    </a:r>
                    <a:br>
                      <a:rPr lang="en-US" baseline="0"/>
                    </a:br>
                    <a:r>
                      <a:rPr lang="en-US" baseline="0"/>
                      <a:t>R² = 0,9894</a:t>
                    </a:r>
                    <a:endParaRPr lang="en-US"/>
                  </a:p>
                </c:rich>
              </c:tx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ferment.!$BD$58:$BD$67</c:f>
              <c:numCache>
                <c:formatCode>0.00E+00</c:formatCode>
                <c:ptCount val="10"/>
                <c:pt idx="0">
                  <c:v>9104244569.4440842</c:v>
                </c:pt>
                <c:pt idx="1">
                  <c:v>9812284152.7781982</c:v>
                </c:pt>
                <c:pt idx="2">
                  <c:v>10087951097.222229</c:v>
                </c:pt>
                <c:pt idx="3">
                  <c:v>10349257763.889267</c:v>
                </c:pt>
                <c:pt idx="4">
                  <c:v>10574812763.889267</c:v>
                </c:pt>
                <c:pt idx="5">
                  <c:v>10744960819.445198</c:v>
                </c:pt>
                <c:pt idx="6">
                  <c:v>10960251652.777981</c:v>
                </c:pt>
                <c:pt idx="7">
                  <c:v>11989309986.111895</c:v>
                </c:pt>
                <c:pt idx="8">
                  <c:v>12247069986.111895</c:v>
                </c:pt>
                <c:pt idx="9">
                  <c:v>12445574986.110645</c:v>
                </c:pt>
              </c:numCache>
            </c:numRef>
          </c:xVal>
          <c:yVal>
            <c:numRef>
              <c:f>ferment.!$BQ$58:$BQ$67</c:f>
              <c:numCache>
                <c:formatCode>0.00</c:formatCode>
                <c:ptCount val="10"/>
                <c:pt idx="0">
                  <c:v>299.80942214442717</c:v>
                </c:pt>
                <c:pt idx="1">
                  <c:v>317.08101712620623</c:v>
                </c:pt>
                <c:pt idx="2">
                  <c:v>330.33235287061387</c:v>
                </c:pt>
                <c:pt idx="3">
                  <c:v>330.72131267579852</c:v>
                </c:pt>
                <c:pt idx="4">
                  <c:v>338.53081982109455</c:v>
                </c:pt>
                <c:pt idx="5">
                  <c:v>345.3748755273283</c:v>
                </c:pt>
                <c:pt idx="6">
                  <c:v>351.0640456897728</c:v>
                </c:pt>
                <c:pt idx="7">
                  <c:v>385.72657953180385</c:v>
                </c:pt>
                <c:pt idx="8">
                  <c:v>391.66008610645861</c:v>
                </c:pt>
                <c:pt idx="9">
                  <c:v>406.56351792727423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88-4D7D-A8C5-256FA384E541}"/>
            </c:ext>
          </c:extLst>
        </c:ser>
        <c:ser>
          <c:idx val="4"/>
          <c:order val="4"/>
          <c:tx>
            <c:v>0,35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785052278301275"/>
                  <c:y val="3.674698934496881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y(0,35) = 3E-08x + 68,513</a:t>
                    </a:r>
                    <a:br>
                      <a:rPr lang="en-US" baseline="0"/>
                    </a:br>
                    <a:r>
                      <a:rPr lang="en-US" baseline="0"/>
                      <a:t>R² = 0,9308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ferment.!$BD$42:$BD$47</c:f>
              <c:numCache>
                <c:formatCode>0.00E+00</c:formatCode>
                <c:ptCount val="6"/>
                <c:pt idx="0">
                  <c:v>5512100576.38904</c:v>
                </c:pt>
                <c:pt idx="1">
                  <c:v>5788052659.7225885</c:v>
                </c:pt>
                <c:pt idx="2">
                  <c:v>5878046409.7225885</c:v>
                </c:pt>
                <c:pt idx="3">
                  <c:v>6000356965.2783518</c:v>
                </c:pt>
                <c:pt idx="4">
                  <c:v>6292658631.9443941</c:v>
                </c:pt>
                <c:pt idx="5">
                  <c:v>6393853631.9447126</c:v>
                </c:pt>
              </c:numCache>
            </c:numRef>
          </c:xVal>
          <c:yVal>
            <c:numRef>
              <c:f>ferment.!$BQ$42:$BQ$47</c:f>
              <c:numCache>
                <c:formatCode>0.00</c:formatCode>
                <c:ptCount val="6"/>
                <c:pt idx="0">
                  <c:v>206.84155022398906</c:v>
                </c:pt>
                <c:pt idx="1">
                  <c:v>217.2364318214625</c:v>
                </c:pt>
                <c:pt idx="2">
                  <c:v>220.87780345126845</c:v>
                </c:pt>
                <c:pt idx="3">
                  <c:v>222.94317810552457</c:v>
                </c:pt>
                <c:pt idx="4">
                  <c:v>230.94142807250415</c:v>
                </c:pt>
                <c:pt idx="5">
                  <c:v>228.6693347519853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88-4D7D-A8C5-256FA384E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56720"/>
        <c:axId val="497854752"/>
      </c:scatterChart>
      <c:valAx>
        <c:axId val="49785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∫Xvdt(cel*h/mL)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0.42990129512499464"/>
              <c:y val="0.881657164435566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7854752"/>
        <c:crosses val="autoZero"/>
        <c:crossBetween val="midCat"/>
      </c:valAx>
      <c:valAx>
        <c:axId val="4978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P+D</a:t>
                </a: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∫Pdt(ug/mL)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7.3475323781248651E-3"/>
              <c:y val="0.27023063380107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785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76567273353128"/>
          <c:y val="0.36854296223148086"/>
          <c:w val="0.18804044576395162"/>
          <c:h val="0.379939780869440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v>C(P)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Graficcos!$AH$14:$AL$14</c:f>
              <c:numCache>
                <c:formatCode>0.000</c:formatCode>
                <c:ptCount val="5"/>
                <c:pt idx="0">
                  <c:v>6.4615753582428062E-2</c:v>
                </c:pt>
                <c:pt idx="1">
                  <c:v>4.6522988186420172E-2</c:v>
                </c:pt>
                <c:pt idx="2">
                  <c:v>3.9965959515675262E-2</c:v>
                </c:pt>
                <c:pt idx="3">
                  <c:v>0.15989758723783931</c:v>
                </c:pt>
                <c:pt idx="4">
                  <c:v>4.3272846547683166E-2</c:v>
                </c:pt>
              </c:numCache>
            </c:numRef>
          </c:cat>
          <c:val>
            <c:numRef>
              <c:f>Graficcos!$AH$15:$AL$15</c:f>
              <c:numCache>
                <c:formatCode>0.00</c:formatCode>
                <c:ptCount val="5"/>
                <c:pt idx="0">
                  <c:v>17.433968999999998</c:v>
                </c:pt>
                <c:pt idx="1">
                  <c:v>11.304041888888889</c:v>
                </c:pt>
                <c:pt idx="2">
                  <c:v>17.331927758333332</c:v>
                </c:pt>
                <c:pt idx="3">
                  <c:v>15.254278041666666</c:v>
                </c:pt>
                <c:pt idx="4">
                  <c:v>24.051650166666668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B-4ADE-9995-A240E57DB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38504"/>
        <c:axId val="88637192"/>
      </c:lineChart>
      <c:lineChart>
        <c:grouping val="standard"/>
        <c:varyColors val="0"/>
        <c:ser>
          <c:idx val="0"/>
          <c:order val="0"/>
          <c:tx>
            <c:v>qP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Graficcos!$AH$14:$AL$14</c:f>
              <c:numCache>
                <c:formatCode>0.000</c:formatCode>
                <c:ptCount val="5"/>
                <c:pt idx="0">
                  <c:v>6.4615753582428062E-2</c:v>
                </c:pt>
                <c:pt idx="1">
                  <c:v>4.6522988186420172E-2</c:v>
                </c:pt>
                <c:pt idx="2">
                  <c:v>3.9965959515675262E-2</c:v>
                </c:pt>
                <c:pt idx="3">
                  <c:v>0.15989758723783931</c:v>
                </c:pt>
                <c:pt idx="4">
                  <c:v>4.3272846547683166E-2</c:v>
                </c:pt>
              </c:numCache>
            </c:numRef>
          </c:cat>
          <c:val>
            <c:numRef>
              <c:f>Graficcos!$AH$12:$AL$12</c:f>
              <c:numCache>
                <c:formatCode>0.00</c:formatCode>
                <c:ptCount val="5"/>
                <c:pt idx="0">
                  <c:v>0.60654646713341609</c:v>
                </c:pt>
                <c:pt idx="1">
                  <c:v>0.51034001906293924</c:v>
                </c:pt>
                <c:pt idx="2">
                  <c:v>0.79267726150129381</c:v>
                </c:pt>
                <c:pt idx="3">
                  <c:v>2.610867437461359</c:v>
                </c:pt>
                <c:pt idx="4">
                  <c:v>1.0473485237867779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B-4ADE-9995-A240E57DB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990840"/>
        <c:axId val="564994776"/>
      </c:lineChart>
      <c:catAx>
        <c:axId val="88638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37192"/>
        <c:crosses val="autoZero"/>
        <c:auto val="1"/>
        <c:lblAlgn val="ctr"/>
        <c:lblOffset val="100"/>
        <c:noMultiLvlLbl val="0"/>
      </c:catAx>
      <c:valAx>
        <c:axId val="88637192"/>
        <c:scaling>
          <c:orientation val="minMax"/>
          <c:max val="2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C(P) (ug/mL)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38504"/>
        <c:crosses val="autoZero"/>
        <c:crossBetween val="between"/>
      </c:valAx>
      <c:valAx>
        <c:axId val="5649947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qP (PCD)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4990840"/>
        <c:crosses val="max"/>
        <c:crossBetween val="between"/>
      </c:valAx>
      <c:catAx>
        <c:axId val="564990840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564994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qP(PCD)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Graficcos!$AH$5:$AL$5</c:f>
              <c:strCache>
                <c:ptCount val="5"/>
                <c:pt idx="0">
                  <c:v>SS3</c:v>
                </c:pt>
                <c:pt idx="1">
                  <c:v>SS2</c:v>
                </c:pt>
                <c:pt idx="2">
                  <c:v>SS4</c:v>
                </c:pt>
                <c:pt idx="3">
                  <c:v>SS1</c:v>
                </c:pt>
                <c:pt idx="4">
                  <c:v>SS5</c:v>
                </c:pt>
              </c:strCache>
            </c:strRef>
          </c:cat>
          <c:val>
            <c:numRef>
              <c:f>Graficcos!$AH$12:$AL$12</c:f>
              <c:numCache>
                <c:formatCode>0.00</c:formatCode>
                <c:ptCount val="5"/>
                <c:pt idx="0">
                  <c:v>0.60654646713341609</c:v>
                </c:pt>
                <c:pt idx="1">
                  <c:v>0.51034001906293924</c:v>
                </c:pt>
                <c:pt idx="2">
                  <c:v>0.79267726150129381</c:v>
                </c:pt>
                <c:pt idx="3">
                  <c:v>2.610867437461359</c:v>
                </c:pt>
                <c:pt idx="4">
                  <c:v>1.0473485237867779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21-4311-9A71-86E5C04814C1}"/>
            </c:ext>
          </c:extLst>
        </c:ser>
        <c:ser>
          <c:idx val="1"/>
          <c:order val="1"/>
          <c:tx>
            <c:v>CSPR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Graficcos!$AH$5:$AL$5</c:f>
              <c:strCache>
                <c:ptCount val="5"/>
                <c:pt idx="0">
                  <c:v>SS3</c:v>
                </c:pt>
                <c:pt idx="1">
                  <c:v>SS2</c:v>
                </c:pt>
                <c:pt idx="2">
                  <c:v>SS4</c:v>
                </c:pt>
                <c:pt idx="3">
                  <c:v>SS1</c:v>
                </c:pt>
                <c:pt idx="4">
                  <c:v>SS5</c:v>
                </c:pt>
              </c:strCache>
            </c:strRef>
          </c:cat>
          <c:val>
            <c:numRef>
              <c:f>Graficcos!$AH$14:$AL$14</c:f>
              <c:numCache>
                <c:formatCode>0.000</c:formatCode>
                <c:ptCount val="5"/>
                <c:pt idx="0">
                  <c:v>6.4615753582428062E-2</c:v>
                </c:pt>
                <c:pt idx="1">
                  <c:v>4.6522988186420172E-2</c:v>
                </c:pt>
                <c:pt idx="2">
                  <c:v>3.9965959515675262E-2</c:v>
                </c:pt>
                <c:pt idx="3">
                  <c:v>0.15989758723783931</c:v>
                </c:pt>
                <c:pt idx="4">
                  <c:v>4.3272846547683166E-2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21-4311-9A71-86E5C0481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18547168"/>
        <c:axId val="518546840"/>
      </c:barChart>
      <c:lineChart>
        <c:grouping val="standard"/>
        <c:varyColors val="0"/>
        <c:ser>
          <c:idx val="2"/>
          <c:order val="2"/>
          <c:tx>
            <c:v>C(P)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Graficcos!$AH$5:$AL$5</c:f>
              <c:strCache>
                <c:ptCount val="5"/>
                <c:pt idx="0">
                  <c:v>SS3</c:v>
                </c:pt>
                <c:pt idx="1">
                  <c:v>SS2</c:v>
                </c:pt>
                <c:pt idx="2">
                  <c:v>SS4</c:v>
                </c:pt>
                <c:pt idx="3">
                  <c:v>SS1</c:v>
                </c:pt>
                <c:pt idx="4">
                  <c:v>SS5</c:v>
                </c:pt>
              </c:strCache>
            </c:strRef>
          </c:cat>
          <c:val>
            <c:numRef>
              <c:f>Graficcos!$AH$15:$AL$15</c:f>
              <c:numCache>
                <c:formatCode>0.00</c:formatCode>
                <c:ptCount val="5"/>
                <c:pt idx="0">
                  <c:v>17.433968999999998</c:v>
                </c:pt>
                <c:pt idx="1">
                  <c:v>11.304041888888889</c:v>
                </c:pt>
                <c:pt idx="2">
                  <c:v>17.331927758333332</c:v>
                </c:pt>
                <c:pt idx="3">
                  <c:v>15.254278041666666</c:v>
                </c:pt>
                <c:pt idx="4">
                  <c:v>24.051650166666668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21-4311-9A71-86E5C0481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002640"/>
        <c:axId val="562068112"/>
      </c:lineChart>
      <c:catAx>
        <c:axId val="49900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2068112"/>
        <c:crosses val="autoZero"/>
        <c:auto val="1"/>
        <c:lblAlgn val="ctr"/>
        <c:lblOffset val="100"/>
        <c:noMultiLvlLbl val="0"/>
      </c:catAx>
      <c:valAx>
        <c:axId val="5620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9002640"/>
        <c:crosses val="autoZero"/>
        <c:crossBetween val="between"/>
      </c:valAx>
      <c:valAx>
        <c:axId val="518546840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547168"/>
        <c:crosses val="max"/>
        <c:crossBetween val="between"/>
      </c:valAx>
      <c:catAx>
        <c:axId val="518547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8546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66447944007"/>
          <c:y val="0.10185185185185185"/>
          <c:w val="0.69267104111986"/>
          <c:h val="0.64324803149606302"/>
        </c:manualLayout>
      </c:layout>
      <c:barChart>
        <c:barDir val="col"/>
        <c:grouping val="clustered"/>
        <c:varyColors val="0"/>
        <c:ser>
          <c:idx val="1"/>
          <c:order val="0"/>
          <c:tx>
            <c:v>CSPR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cust"/>
            <c:noEndCap val="0"/>
            <c:plus>
              <c:numRef>
                <c:f>Graficcos!$AH$26:$AL$26</c:f>
                <c:numCache>
                  <c:formatCode>General</c:formatCode>
                  <c:ptCount val="5"/>
                  <c:pt idx="0">
                    <c:v>2.2490016614159021E-3</c:v>
                  </c:pt>
                  <c:pt idx="1">
                    <c:v>4.6480097763265211E-3</c:v>
                  </c:pt>
                  <c:pt idx="2">
                    <c:v>3.3161468205447431E-3</c:v>
                  </c:pt>
                  <c:pt idx="3">
                    <c:v>1.7817936480550692E-2</c:v>
                  </c:pt>
                  <c:pt idx="4">
                    <c:v>1.7552716502679769E-3</c:v>
                  </c:pt>
                </c:numCache>
              </c:numRef>
            </c:plus>
            <c:minus>
              <c:numRef>
                <c:f>Graficcos!$AH$26:$AL$26</c:f>
                <c:numCache>
                  <c:formatCode>General</c:formatCode>
                  <c:ptCount val="5"/>
                  <c:pt idx="0">
                    <c:v>2.2490016614159021E-3</c:v>
                  </c:pt>
                  <c:pt idx="1">
                    <c:v>4.6480097763265211E-3</c:v>
                  </c:pt>
                  <c:pt idx="2">
                    <c:v>3.3161468205447431E-3</c:v>
                  </c:pt>
                  <c:pt idx="3">
                    <c:v>1.7817936480550692E-2</c:v>
                  </c:pt>
                  <c:pt idx="4">
                    <c:v>1.7552716502679769E-3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Graficcos!$AH$5:$AL$5</c:f>
              <c:strCache>
                <c:ptCount val="5"/>
                <c:pt idx="0">
                  <c:v>SS3</c:v>
                </c:pt>
                <c:pt idx="1">
                  <c:v>SS2</c:v>
                </c:pt>
                <c:pt idx="2">
                  <c:v>SS4</c:v>
                </c:pt>
                <c:pt idx="3">
                  <c:v>SS1</c:v>
                </c:pt>
                <c:pt idx="4">
                  <c:v>SS5</c:v>
                </c:pt>
              </c:strCache>
            </c:strRef>
          </c:cat>
          <c:val>
            <c:numRef>
              <c:f>Graficcos!$AH$14:$AL$14</c:f>
              <c:numCache>
                <c:formatCode>0.000</c:formatCode>
                <c:ptCount val="5"/>
                <c:pt idx="0">
                  <c:v>6.4615753582428062E-2</c:v>
                </c:pt>
                <c:pt idx="1">
                  <c:v>4.6522988186420172E-2</c:v>
                </c:pt>
                <c:pt idx="2">
                  <c:v>3.9965959515675262E-2</c:v>
                </c:pt>
                <c:pt idx="3">
                  <c:v>0.15989758723783931</c:v>
                </c:pt>
                <c:pt idx="4">
                  <c:v>4.3272846547683166E-2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D4-4D06-A596-8283D1DFC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18547168"/>
        <c:axId val="518546840"/>
      </c:barChart>
      <c:lineChart>
        <c:grouping val="standard"/>
        <c:varyColors val="0"/>
        <c:ser>
          <c:idx val="2"/>
          <c:order val="1"/>
          <c:tx>
            <c:v>C(P)</c:v>
          </c:tx>
          <c:spPr>
            <a:ln w="3492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Graficcos!$AH$27:$AL$27</c:f>
                <c:numCache>
                  <c:formatCode>General</c:formatCode>
                  <c:ptCount val="5"/>
                  <c:pt idx="0">
                    <c:v>4.4920622113589319</c:v>
                  </c:pt>
                  <c:pt idx="1">
                    <c:v>0.76030840645305664</c:v>
                  </c:pt>
                  <c:pt idx="2">
                    <c:v>4.1231895853354548</c:v>
                  </c:pt>
                  <c:pt idx="3">
                    <c:v>1.1085442269466919</c:v>
                  </c:pt>
                  <c:pt idx="4">
                    <c:v>0.80251653812858592</c:v>
                  </c:pt>
                </c:numCache>
              </c:numRef>
            </c:plus>
            <c:minus>
              <c:numRef>
                <c:f>Graficcos!$AH$27:$AL$27</c:f>
                <c:numCache>
                  <c:formatCode>General</c:formatCode>
                  <c:ptCount val="5"/>
                  <c:pt idx="0">
                    <c:v>4.4920622113589319</c:v>
                  </c:pt>
                  <c:pt idx="1">
                    <c:v>0.76030840645305664</c:v>
                  </c:pt>
                  <c:pt idx="2">
                    <c:v>4.1231895853354548</c:v>
                  </c:pt>
                  <c:pt idx="3">
                    <c:v>1.1085442269466919</c:v>
                  </c:pt>
                  <c:pt idx="4">
                    <c:v>0.80251653812858592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Graficcos!$AH$5:$AL$5</c:f>
              <c:strCache>
                <c:ptCount val="5"/>
                <c:pt idx="0">
                  <c:v>SS3</c:v>
                </c:pt>
                <c:pt idx="1">
                  <c:v>SS2</c:v>
                </c:pt>
                <c:pt idx="2">
                  <c:v>SS4</c:v>
                </c:pt>
                <c:pt idx="3">
                  <c:v>SS1</c:v>
                </c:pt>
                <c:pt idx="4">
                  <c:v>SS5</c:v>
                </c:pt>
              </c:strCache>
            </c:strRef>
          </c:cat>
          <c:val>
            <c:numRef>
              <c:f>Graficcos!$AH$15:$AL$15</c:f>
              <c:numCache>
                <c:formatCode>0.00</c:formatCode>
                <c:ptCount val="5"/>
                <c:pt idx="0">
                  <c:v>17.433968999999998</c:v>
                </c:pt>
                <c:pt idx="1">
                  <c:v>11.304041888888889</c:v>
                </c:pt>
                <c:pt idx="2">
                  <c:v>17.331927758333332</c:v>
                </c:pt>
                <c:pt idx="3">
                  <c:v>15.254278041666666</c:v>
                </c:pt>
                <c:pt idx="4">
                  <c:v>24.051650166666668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4-4D06-A596-8283D1DFC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002640"/>
        <c:axId val="562068112"/>
      </c:lineChart>
      <c:catAx>
        <c:axId val="49900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2068112"/>
        <c:crosses val="autoZero"/>
        <c:auto val="1"/>
        <c:lblAlgn val="ctr"/>
        <c:lblOffset val="100"/>
        <c:noMultiLvlLbl val="0"/>
      </c:catAx>
      <c:valAx>
        <c:axId val="5620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 b="1">
                    <a:latin typeface="Arial" panose="020B0604020202020204" pitchFamily="34" charset="0"/>
                    <a:cs typeface="Arial" panose="020B0604020202020204" pitchFamily="34" charset="0"/>
                  </a:rPr>
                  <a:t>C(Her1)</a:t>
                </a:r>
                <a:r>
                  <a:rPr lang="en-US" sz="10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(mg/L)</a:t>
                </a:r>
                <a:endParaRPr lang="en-US" sz="10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0791776027996499E-2"/>
              <c:y val="0.225698089822105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9002640"/>
        <c:crosses val="autoZero"/>
        <c:crossBetween val="between"/>
      </c:valAx>
      <c:valAx>
        <c:axId val="518546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latin typeface="Arial" panose="020B0604020202020204" pitchFamily="34" charset="0"/>
                    <a:cs typeface="Arial" panose="020B0604020202020204" pitchFamily="34" charset="0"/>
                  </a:rPr>
                  <a:t>CSPR</a:t>
                </a:r>
                <a:r>
                  <a:rPr lang="en-US" sz="10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(nL/cél/d)</a:t>
                </a:r>
                <a:endParaRPr lang="en-US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9389304461942255"/>
              <c:y val="0.24236475648877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547168"/>
        <c:crosses val="max"/>
        <c:crossBetween val="between"/>
      </c:valAx>
      <c:catAx>
        <c:axId val="518547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8546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v>CSPR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cust"/>
            <c:noEndCap val="0"/>
            <c:plus>
              <c:numRef>
                <c:f>Graficcos!$AH$26:$AL$26</c:f>
                <c:numCache>
                  <c:formatCode>General</c:formatCode>
                  <c:ptCount val="5"/>
                  <c:pt idx="0">
                    <c:v>2.2490016614159021E-3</c:v>
                  </c:pt>
                  <c:pt idx="1">
                    <c:v>4.6480097763265211E-3</c:v>
                  </c:pt>
                  <c:pt idx="2">
                    <c:v>3.3161468205447431E-3</c:v>
                  </c:pt>
                  <c:pt idx="3">
                    <c:v>1.7817936480550692E-2</c:v>
                  </c:pt>
                  <c:pt idx="4">
                    <c:v>1.7552716502679769E-3</c:v>
                  </c:pt>
                </c:numCache>
              </c:numRef>
            </c:plus>
            <c:minus>
              <c:numRef>
                <c:f>Graficcos!$AH$26:$AL$26</c:f>
                <c:numCache>
                  <c:formatCode>General</c:formatCode>
                  <c:ptCount val="5"/>
                  <c:pt idx="0">
                    <c:v>2.2490016614159021E-3</c:v>
                  </c:pt>
                  <c:pt idx="1">
                    <c:v>4.6480097763265211E-3</c:v>
                  </c:pt>
                  <c:pt idx="2">
                    <c:v>3.3161468205447431E-3</c:v>
                  </c:pt>
                  <c:pt idx="3">
                    <c:v>1.7817936480550692E-2</c:v>
                  </c:pt>
                  <c:pt idx="4">
                    <c:v>1.7552716502679769E-3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Graficcos!$AH$5:$AL$5</c:f>
              <c:strCache>
                <c:ptCount val="5"/>
                <c:pt idx="0">
                  <c:v>SS3</c:v>
                </c:pt>
                <c:pt idx="1">
                  <c:v>SS2</c:v>
                </c:pt>
                <c:pt idx="2">
                  <c:v>SS4</c:v>
                </c:pt>
                <c:pt idx="3">
                  <c:v>SS1</c:v>
                </c:pt>
                <c:pt idx="4">
                  <c:v>SS5</c:v>
                </c:pt>
              </c:strCache>
            </c:strRef>
          </c:cat>
          <c:val>
            <c:numRef>
              <c:f>Graficcos!$AH$14:$AL$14</c:f>
              <c:numCache>
                <c:formatCode>0.000</c:formatCode>
                <c:ptCount val="5"/>
                <c:pt idx="0">
                  <c:v>6.4615753582428062E-2</c:v>
                </c:pt>
                <c:pt idx="1">
                  <c:v>4.6522988186420172E-2</c:v>
                </c:pt>
                <c:pt idx="2">
                  <c:v>3.9965959515675262E-2</c:v>
                </c:pt>
                <c:pt idx="3">
                  <c:v>0.15989758723783931</c:v>
                </c:pt>
                <c:pt idx="4">
                  <c:v>4.3272846547683166E-2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49-4B7D-B808-9EEEC635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159288"/>
        <c:axId val="406260688"/>
      </c:barChart>
      <c:lineChart>
        <c:grouping val="standard"/>
        <c:varyColors val="0"/>
        <c:ser>
          <c:idx val="0"/>
          <c:order val="0"/>
          <c:tx>
            <c:v>qP(PCD)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Graficcos!$AH$24:$AL$24</c:f>
                <c:numCache>
                  <c:formatCode>General</c:formatCode>
                  <c:ptCount val="5"/>
                  <c:pt idx="0">
                    <c:v>0.15363742196286248</c:v>
                  </c:pt>
                  <c:pt idx="1">
                    <c:v>0.12040895996291809</c:v>
                  </c:pt>
                  <c:pt idx="2">
                    <c:v>0.20532798390028387</c:v>
                  </c:pt>
                  <c:pt idx="3">
                    <c:v>0.37054397074984929</c:v>
                  </c:pt>
                  <c:pt idx="4">
                    <c:v>0.12835395008920447</c:v>
                  </c:pt>
                </c:numCache>
              </c:numRef>
            </c:plus>
            <c:minus>
              <c:numRef>
                <c:f>Graficcos!$AH$24:$AL$24</c:f>
                <c:numCache>
                  <c:formatCode>General</c:formatCode>
                  <c:ptCount val="5"/>
                  <c:pt idx="0">
                    <c:v>0.15363742196286248</c:v>
                  </c:pt>
                  <c:pt idx="1">
                    <c:v>0.12040895996291809</c:v>
                  </c:pt>
                  <c:pt idx="2">
                    <c:v>0.20532798390028387</c:v>
                  </c:pt>
                  <c:pt idx="3">
                    <c:v>0.37054397074984929</c:v>
                  </c:pt>
                  <c:pt idx="4">
                    <c:v>0.12835395008920447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Graficcos!$AH$5:$AL$5</c:f>
              <c:strCache>
                <c:ptCount val="5"/>
                <c:pt idx="0">
                  <c:v>SS3</c:v>
                </c:pt>
                <c:pt idx="1">
                  <c:v>SS2</c:v>
                </c:pt>
                <c:pt idx="2">
                  <c:v>SS4</c:v>
                </c:pt>
                <c:pt idx="3">
                  <c:v>SS1</c:v>
                </c:pt>
                <c:pt idx="4">
                  <c:v>SS5</c:v>
                </c:pt>
              </c:strCache>
            </c:strRef>
          </c:cat>
          <c:val>
            <c:numRef>
              <c:f>Graficcos!$AH$12:$AL$12</c:f>
              <c:numCache>
                <c:formatCode>0.00</c:formatCode>
                <c:ptCount val="5"/>
                <c:pt idx="0">
                  <c:v>0.60654646713341609</c:v>
                </c:pt>
                <c:pt idx="1">
                  <c:v>0.51034001906293924</c:v>
                </c:pt>
                <c:pt idx="2">
                  <c:v>0.79267726150129381</c:v>
                </c:pt>
                <c:pt idx="3">
                  <c:v>2.610867437461359</c:v>
                </c:pt>
                <c:pt idx="4">
                  <c:v>1.0473485237867779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49-4B7D-B808-9EEEC635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002640"/>
        <c:axId val="562068112"/>
      </c:lineChart>
      <c:catAx>
        <c:axId val="49900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Steady</a:t>
                </a:r>
                <a:r>
                  <a:rPr lang="en-US" b="1" baseline="0"/>
                  <a:t> states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4031233595800523"/>
              <c:y val="0.80157334499854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2068112"/>
        <c:crosses val="autoZero"/>
        <c:auto val="1"/>
        <c:lblAlgn val="ctr"/>
        <c:lblOffset val="100"/>
        <c:noMultiLvlLbl val="0"/>
      </c:catAx>
      <c:valAx>
        <c:axId val="5620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 b="1">
                    <a:latin typeface="Arial" panose="020B0604020202020204" pitchFamily="34" charset="0"/>
                    <a:cs typeface="Arial" panose="020B0604020202020204" pitchFamily="34" charset="0"/>
                  </a:rPr>
                  <a:t>qP</a:t>
                </a:r>
                <a:r>
                  <a:rPr lang="en-US" sz="10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(PCD)</a:t>
                </a:r>
                <a:endParaRPr lang="en-US" sz="10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9002640"/>
        <c:crosses val="autoZero"/>
        <c:crossBetween val="between"/>
      </c:valAx>
      <c:valAx>
        <c:axId val="4062606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 b="1">
                    <a:latin typeface="Arial" panose="020B0604020202020204" pitchFamily="34" charset="0"/>
                    <a:cs typeface="Arial" panose="020B0604020202020204" pitchFamily="34" charset="0"/>
                  </a:rPr>
                  <a:t>CSPR</a:t>
                </a:r>
                <a:r>
                  <a:rPr lang="en-US" sz="10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(nL/cel/d)</a:t>
                </a:r>
                <a:endParaRPr lang="en-US" sz="10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94027777777777777"/>
              <c:y val="0.2035451297754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159288"/>
        <c:crosses val="max"/>
        <c:crossBetween val="between"/>
      </c:valAx>
      <c:catAx>
        <c:axId val="310159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260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039600659342334E-2"/>
          <c:y val="3.1605979769788871E-2"/>
          <c:w val="0.58369559578413799"/>
          <c:h val="0.87446464196867946"/>
        </c:manualLayout>
      </c:layout>
      <c:scatterChart>
        <c:scatterStyle val="lineMarker"/>
        <c:varyColors val="0"/>
        <c:ser>
          <c:idx val="1"/>
          <c:order val="1"/>
          <c:tx>
            <c:strRef>
              <c:f>ferment.!$BR$6</c:f>
              <c:strCache>
                <c:ptCount val="1"/>
                <c:pt idx="0">
                  <c:v>Conc. Her1 * Elisa</c:v>
                </c:pt>
              </c:strCache>
            </c:strRef>
          </c:tx>
          <c:spPr>
            <a:ln w="28575">
              <a:noFill/>
            </a:ln>
          </c:spPr>
          <c:xVal>
            <c:numRef>
              <c:f>ferment.!$E$8:$E$45</c:f>
              <c:numCache>
                <c:formatCode>0.00</c:formatCode>
                <c:ptCount val="38"/>
                <c:pt idx="0">
                  <c:v>2.0833333335758653E-2</c:v>
                </c:pt>
                <c:pt idx="1">
                  <c:v>0.98958333333575865</c:v>
                </c:pt>
                <c:pt idx="2">
                  <c:v>1.9513888888905058</c:v>
                </c:pt>
                <c:pt idx="3">
                  <c:v>2.8993055555547471</c:v>
                </c:pt>
                <c:pt idx="4">
                  <c:v>3.8958333333357587</c:v>
                </c:pt>
                <c:pt idx="5">
                  <c:v>5.03125</c:v>
                </c:pt>
                <c:pt idx="6">
                  <c:v>6.21875</c:v>
                </c:pt>
                <c:pt idx="7">
                  <c:v>6.9652777777810115</c:v>
                </c:pt>
                <c:pt idx="8">
                  <c:v>7.9909722222218988</c:v>
                </c:pt>
                <c:pt idx="9">
                  <c:v>8.9166666666642413</c:v>
                </c:pt>
                <c:pt idx="10">
                  <c:v>9.9097222222189885</c:v>
                </c:pt>
                <c:pt idx="11">
                  <c:v>10.895833333335759</c:v>
                </c:pt>
                <c:pt idx="12">
                  <c:v>12.208333333335759</c:v>
                </c:pt>
                <c:pt idx="13">
                  <c:v>13.017361111109494</c:v>
                </c:pt>
                <c:pt idx="14">
                  <c:v>15.048611111109494</c:v>
                </c:pt>
                <c:pt idx="15">
                  <c:v>15.9375</c:v>
                </c:pt>
                <c:pt idx="16">
                  <c:v>16.899305555554747</c:v>
                </c:pt>
                <c:pt idx="17">
                  <c:v>19.0625</c:v>
                </c:pt>
                <c:pt idx="18">
                  <c:v>19.979166666664241</c:v>
                </c:pt>
                <c:pt idx="19">
                  <c:v>21.225694444445253</c:v>
                </c:pt>
                <c:pt idx="20">
                  <c:v>22.145833333335759</c:v>
                </c:pt>
                <c:pt idx="21">
                  <c:v>23.020833333335759</c:v>
                </c:pt>
                <c:pt idx="22">
                  <c:v>23.90625</c:v>
                </c:pt>
                <c:pt idx="23">
                  <c:v>24.930555555554747</c:v>
                </c:pt>
                <c:pt idx="24">
                  <c:v>26.243055555554747</c:v>
                </c:pt>
                <c:pt idx="25">
                  <c:v>27.03125</c:v>
                </c:pt>
                <c:pt idx="26">
                  <c:v>28.145833333335759</c:v>
                </c:pt>
                <c:pt idx="27">
                  <c:v>29.201388888890506</c:v>
                </c:pt>
                <c:pt idx="28">
                  <c:v>30.041666666664241</c:v>
                </c:pt>
                <c:pt idx="29">
                  <c:v>33.152777777781012</c:v>
                </c:pt>
                <c:pt idx="30">
                  <c:v>35.194444444445253</c:v>
                </c:pt>
                <c:pt idx="31">
                  <c:v>36.274305555554747</c:v>
                </c:pt>
                <c:pt idx="32">
                  <c:v>37.902777777781012</c:v>
                </c:pt>
                <c:pt idx="33">
                  <c:v>38.902777777781012</c:v>
                </c:pt>
                <c:pt idx="34">
                  <c:v>41.1875</c:v>
                </c:pt>
                <c:pt idx="35">
                  <c:v>43.263888888890506</c:v>
                </c:pt>
                <c:pt idx="36">
                  <c:v>43.951388888890506</c:v>
                </c:pt>
                <c:pt idx="37">
                  <c:v>44.902777777781012</c:v>
                </c:pt>
              </c:numCache>
            </c:numRef>
          </c:xVal>
          <c:yVal>
            <c:numRef>
              <c:f>ferment.!$BR$8:$BR$45</c:f>
              <c:numCache>
                <c:formatCode>0.00</c:formatCode>
                <c:ptCount val="38"/>
                <c:pt idx="0">
                  <c:v>1.7011372499999999</c:v>
                </c:pt>
                <c:pt idx="1">
                  <c:v>4.5199999999999996</c:v>
                </c:pt>
                <c:pt idx="2">
                  <c:v>11.36</c:v>
                </c:pt>
                <c:pt idx="3">
                  <c:v>12.864999999999998</c:v>
                </c:pt>
                <c:pt idx="4">
                  <c:v>14.37</c:v>
                </c:pt>
                <c:pt idx="5">
                  <c:v>14.37</c:v>
                </c:pt>
                <c:pt idx="6">
                  <c:v>14.321497333333333</c:v>
                </c:pt>
                <c:pt idx="7">
                  <c:v>14.272994666666666</c:v>
                </c:pt>
                <c:pt idx="8">
                  <c:v>15.134007333333333</c:v>
                </c:pt>
                <c:pt idx="9">
                  <c:v>16.650417666666666</c:v>
                </c:pt>
                <c:pt idx="10">
                  <c:v>16.873167333333331</c:v>
                </c:pt>
                <c:pt idx="11">
                  <c:v>16.04214</c:v>
                </c:pt>
                <c:pt idx="12">
                  <c:v>6.8107706666666674</c:v>
                </c:pt>
                <c:pt idx="13">
                  <c:v>9.5695516666666656</c:v>
                </c:pt>
                <c:pt idx="14">
                  <c:v>1.27647</c:v>
                </c:pt>
                <c:pt idx="15">
                  <c:v>1.2389881666666667</c:v>
                </c:pt>
                <c:pt idx="16">
                  <c:v>1.2015063333333336</c:v>
                </c:pt>
                <c:pt idx="17">
                  <c:v>0.92943833333333337</c:v>
                </c:pt>
                <c:pt idx="18">
                  <c:v>2.6502060000000003</c:v>
                </c:pt>
                <c:pt idx="19">
                  <c:v>3.0100790000000002</c:v>
                </c:pt>
                <c:pt idx="20">
                  <c:v>3.1354280000000001</c:v>
                </c:pt>
                <c:pt idx="21">
                  <c:v>3.260777</c:v>
                </c:pt>
                <c:pt idx="22">
                  <c:v>3.4426134999999998</c:v>
                </c:pt>
                <c:pt idx="23">
                  <c:v>1.8440715000000001</c:v>
                </c:pt>
                <c:pt idx="24">
                  <c:v>11.835697</c:v>
                </c:pt>
                <c:pt idx="25">
                  <c:v>11.144857333333333</c:v>
                </c:pt>
                <c:pt idx="26">
                  <c:v>11.295039666666666</c:v>
                </c:pt>
                <c:pt idx="27">
                  <c:v>9.9447149999999986</c:v>
                </c:pt>
                <c:pt idx="28">
                  <c:v>11.456551333333335</c:v>
                </c:pt>
                <c:pt idx="29">
                  <c:v>12.147391000000001</c:v>
                </c:pt>
                <c:pt idx="30">
                  <c:v>19.826721666666664</c:v>
                </c:pt>
                <c:pt idx="31">
                  <c:v>24.852828666666667</c:v>
                </c:pt>
                <c:pt idx="32">
                  <c:v>31.510918666666665</c:v>
                </c:pt>
                <c:pt idx="33">
                  <c:v>32.181733666666666</c:v>
                </c:pt>
                <c:pt idx="34">
                  <c:v>23.869045</c:v>
                </c:pt>
                <c:pt idx="35">
                  <c:v>18.779384999999998</c:v>
                </c:pt>
                <c:pt idx="36">
                  <c:v>17.926008333333336</c:v>
                </c:pt>
                <c:pt idx="37">
                  <c:v>14.529501666666668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4-4792-A32A-4B05BD564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689680"/>
        <c:axId val="223655936"/>
      </c:scatterChart>
      <c:scatterChart>
        <c:scatterStyle val="smoothMarker"/>
        <c:varyColors val="0"/>
        <c:ser>
          <c:idx val="0"/>
          <c:order val="0"/>
          <c:tx>
            <c:strRef>
              <c:f>ferment.!$BH$6</c:f>
              <c:strCache>
                <c:ptCount val="1"/>
                <c:pt idx="0">
                  <c:v>Conc. HER1</c:v>
                </c:pt>
              </c:strCache>
            </c:strRef>
          </c:tx>
          <c:xVal>
            <c:numRef>
              <c:f>ferment.!$E$8:$E$47</c:f>
              <c:numCache>
                <c:formatCode>0.00</c:formatCode>
                <c:ptCount val="40"/>
                <c:pt idx="0">
                  <c:v>2.0833333335758653E-2</c:v>
                </c:pt>
                <c:pt idx="1">
                  <c:v>0.98958333333575865</c:v>
                </c:pt>
                <c:pt idx="2">
                  <c:v>1.9513888888905058</c:v>
                </c:pt>
                <c:pt idx="3">
                  <c:v>2.8993055555547471</c:v>
                </c:pt>
                <c:pt idx="4">
                  <c:v>3.8958333333357587</c:v>
                </c:pt>
                <c:pt idx="5">
                  <c:v>5.03125</c:v>
                </c:pt>
                <c:pt idx="6">
                  <c:v>6.21875</c:v>
                </c:pt>
                <c:pt idx="7">
                  <c:v>6.9652777777810115</c:v>
                </c:pt>
                <c:pt idx="8">
                  <c:v>7.9909722222218988</c:v>
                </c:pt>
                <c:pt idx="9">
                  <c:v>8.9166666666642413</c:v>
                </c:pt>
                <c:pt idx="10">
                  <c:v>9.9097222222189885</c:v>
                </c:pt>
                <c:pt idx="11">
                  <c:v>10.895833333335759</c:v>
                </c:pt>
                <c:pt idx="12">
                  <c:v>12.208333333335759</c:v>
                </c:pt>
                <c:pt idx="13">
                  <c:v>13.017361111109494</c:v>
                </c:pt>
                <c:pt idx="14">
                  <c:v>15.048611111109494</c:v>
                </c:pt>
                <c:pt idx="15">
                  <c:v>15.9375</c:v>
                </c:pt>
                <c:pt idx="16">
                  <c:v>16.899305555554747</c:v>
                </c:pt>
                <c:pt idx="17">
                  <c:v>19.0625</c:v>
                </c:pt>
                <c:pt idx="18">
                  <c:v>19.979166666664241</c:v>
                </c:pt>
                <c:pt idx="19">
                  <c:v>21.225694444445253</c:v>
                </c:pt>
                <c:pt idx="20">
                  <c:v>22.145833333335759</c:v>
                </c:pt>
                <c:pt idx="21">
                  <c:v>23.020833333335759</c:v>
                </c:pt>
                <c:pt idx="22">
                  <c:v>23.90625</c:v>
                </c:pt>
                <c:pt idx="23">
                  <c:v>24.930555555554747</c:v>
                </c:pt>
                <c:pt idx="24">
                  <c:v>26.243055555554747</c:v>
                </c:pt>
                <c:pt idx="25">
                  <c:v>27.03125</c:v>
                </c:pt>
                <c:pt idx="26">
                  <c:v>28.145833333335759</c:v>
                </c:pt>
                <c:pt idx="27">
                  <c:v>29.201388888890506</c:v>
                </c:pt>
                <c:pt idx="28">
                  <c:v>30.041666666664241</c:v>
                </c:pt>
                <c:pt idx="29">
                  <c:v>33.152777777781012</c:v>
                </c:pt>
                <c:pt idx="30">
                  <c:v>35.194444444445253</c:v>
                </c:pt>
                <c:pt idx="31">
                  <c:v>36.274305555554747</c:v>
                </c:pt>
                <c:pt idx="32">
                  <c:v>37.902777777781012</c:v>
                </c:pt>
                <c:pt idx="33">
                  <c:v>38.902777777781012</c:v>
                </c:pt>
                <c:pt idx="34">
                  <c:v>41.1875</c:v>
                </c:pt>
                <c:pt idx="35">
                  <c:v>43.263888888890506</c:v>
                </c:pt>
                <c:pt idx="36">
                  <c:v>43.951388888890506</c:v>
                </c:pt>
                <c:pt idx="37">
                  <c:v>44.902777777781012</c:v>
                </c:pt>
                <c:pt idx="38">
                  <c:v>47.173611111109494</c:v>
                </c:pt>
                <c:pt idx="39">
                  <c:v>47.944444444445253</c:v>
                </c:pt>
              </c:numCache>
            </c:numRef>
          </c:xVal>
          <c:yVal>
            <c:numRef>
              <c:f>ferment.!$BH$8:$BH$45</c:f>
              <c:numCache>
                <c:formatCode>0.00</c:formatCode>
                <c:ptCount val="38"/>
                <c:pt idx="0">
                  <c:v>1.7011372499999999</c:v>
                </c:pt>
                <c:pt idx="1">
                  <c:v>4.5199999999999996</c:v>
                </c:pt>
                <c:pt idx="2">
                  <c:v>11.36</c:v>
                </c:pt>
                <c:pt idx="3">
                  <c:v>12.864999999999998</c:v>
                </c:pt>
                <c:pt idx="4">
                  <c:v>14.37</c:v>
                </c:pt>
                <c:pt idx="5">
                  <c:v>14.37</c:v>
                </c:pt>
                <c:pt idx="6">
                  <c:v>14.321497333333333</c:v>
                </c:pt>
                <c:pt idx="7">
                  <c:v>14.272994666666666</c:v>
                </c:pt>
                <c:pt idx="8">
                  <c:v>15.134007333333333</c:v>
                </c:pt>
                <c:pt idx="9">
                  <c:v>16.650417666666666</c:v>
                </c:pt>
                <c:pt idx="10">
                  <c:v>16.873167333333331</c:v>
                </c:pt>
                <c:pt idx="11">
                  <c:v>16.04214</c:v>
                </c:pt>
                <c:pt idx="12">
                  <c:v>6.8107706666666674</c:v>
                </c:pt>
                <c:pt idx="13">
                  <c:v>9.5695516666666656</c:v>
                </c:pt>
                <c:pt idx="14">
                  <c:v>1.27647</c:v>
                </c:pt>
                <c:pt idx="15">
                  <c:v>1.2389881666666667</c:v>
                </c:pt>
                <c:pt idx="16">
                  <c:v>1.2015063333333336</c:v>
                </c:pt>
                <c:pt idx="17">
                  <c:v>0.92943833333333337</c:v>
                </c:pt>
                <c:pt idx="18">
                  <c:v>2.6502060000000003</c:v>
                </c:pt>
                <c:pt idx="19">
                  <c:v>3.0100790000000002</c:v>
                </c:pt>
                <c:pt idx="20">
                  <c:v>3.1354280000000001</c:v>
                </c:pt>
                <c:pt idx="21">
                  <c:v>3.260777</c:v>
                </c:pt>
                <c:pt idx="22">
                  <c:v>3.4426134999999998</c:v>
                </c:pt>
                <c:pt idx="23">
                  <c:v>1.8440715000000001</c:v>
                </c:pt>
                <c:pt idx="24">
                  <c:v>11.835697</c:v>
                </c:pt>
                <c:pt idx="25">
                  <c:v>11.144857333333333</c:v>
                </c:pt>
                <c:pt idx="26">
                  <c:v>11.295039666666666</c:v>
                </c:pt>
                <c:pt idx="27">
                  <c:v>9.9447149999999986</c:v>
                </c:pt>
                <c:pt idx="28">
                  <c:v>11.456551333333335</c:v>
                </c:pt>
                <c:pt idx="29">
                  <c:v>12.147391000000001</c:v>
                </c:pt>
                <c:pt idx="30">
                  <c:v>19.826721666666664</c:v>
                </c:pt>
                <c:pt idx="31">
                  <c:v>24.852828666666667</c:v>
                </c:pt>
                <c:pt idx="32">
                  <c:v>31.510918666666665</c:v>
                </c:pt>
                <c:pt idx="33">
                  <c:v>32.181733666666666</c:v>
                </c:pt>
                <c:pt idx="34">
                  <c:v>23.869045</c:v>
                </c:pt>
                <c:pt idx="35">
                  <c:v>18.779384999999998</c:v>
                </c:pt>
                <c:pt idx="36">
                  <c:v>17.926008333333336</c:v>
                </c:pt>
                <c:pt idx="37">
                  <c:v>14.529501666666668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14-4792-A32A-4B05BD564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689680"/>
        <c:axId val="223655936"/>
      </c:scatterChart>
      <c:valAx>
        <c:axId val="303689680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crossAx val="223655936"/>
        <c:crosses val="autoZero"/>
        <c:crossBetween val="midCat"/>
      </c:valAx>
      <c:valAx>
        <c:axId val="223655936"/>
        <c:scaling>
          <c:orientation val="minMax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303689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CSPR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Graficcos!$AH$5:$AL$5</c15:sqref>
                  </c15:fullRef>
                </c:ext>
              </c:extLst>
              <c:f>(Graficcos!$AH$5:$AJ$5,Graficcos!$AL$5)</c:f>
              <c:strCache>
                <c:ptCount val="4"/>
                <c:pt idx="0">
                  <c:v>SS3</c:v>
                </c:pt>
                <c:pt idx="1">
                  <c:v>SS2</c:v>
                </c:pt>
                <c:pt idx="2">
                  <c:v>SS4</c:v>
                </c:pt>
                <c:pt idx="3">
                  <c:v>SS5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Graficcos!$AH$14:$AL$14</c15:sqref>
                  </c15:fullRef>
                </c:ext>
              </c:extLst>
              <c:f>(Graficcos!$AH$14:$AJ$14,Graficcos!$AL$14)</c:f>
              <c:numCache>
                <c:formatCode>0.000</c:formatCode>
                <c:ptCount val="4"/>
                <c:pt idx="0">
                  <c:v>6.4615753582428062E-2</c:v>
                </c:pt>
                <c:pt idx="1">
                  <c:v>4.6522988186420172E-2</c:v>
                </c:pt>
                <c:pt idx="2">
                  <c:v>3.9965959515675262E-2</c:v>
                </c:pt>
                <c:pt idx="3">
                  <c:v>4.3272846547683166E-2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C1-4F84-B5DC-17D17D855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159288"/>
        <c:axId val="406260688"/>
      </c:barChart>
      <c:lineChart>
        <c:grouping val="standard"/>
        <c:varyColors val="0"/>
        <c:ser>
          <c:idx val="0"/>
          <c:order val="0"/>
          <c:tx>
            <c:v>qP(PCD)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Graficcos!$AH$5:$AL$5</c15:sqref>
                  </c15:fullRef>
                </c:ext>
              </c:extLst>
              <c:f>(Graficcos!$AH$5:$AJ$5,Graficcos!$AL$5)</c:f>
              <c:strCache>
                <c:ptCount val="4"/>
                <c:pt idx="0">
                  <c:v>SS3</c:v>
                </c:pt>
                <c:pt idx="1">
                  <c:v>SS2</c:v>
                </c:pt>
                <c:pt idx="2">
                  <c:v>SS4</c:v>
                </c:pt>
                <c:pt idx="3">
                  <c:v>SS5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Graficcos!$AH$12:$AL$12</c15:sqref>
                  </c15:fullRef>
                </c:ext>
              </c:extLst>
              <c:f>(Graficcos!$AH$12:$AJ$12,Graficcos!$AL$12)</c:f>
              <c:numCache>
                <c:formatCode>0.00</c:formatCode>
                <c:ptCount val="4"/>
                <c:pt idx="0">
                  <c:v>0.60654646713341609</c:v>
                </c:pt>
                <c:pt idx="1">
                  <c:v>0.51034001906293924</c:v>
                </c:pt>
                <c:pt idx="2">
                  <c:v>0.79267726150129381</c:v>
                </c:pt>
                <c:pt idx="3">
                  <c:v>1.0473485237867779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1-4F84-B5DC-17D17D855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002640"/>
        <c:axId val="562068112"/>
      </c:lineChart>
      <c:catAx>
        <c:axId val="49900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2068112"/>
        <c:crosses val="autoZero"/>
        <c:auto val="1"/>
        <c:lblAlgn val="ctr"/>
        <c:lblOffset val="100"/>
        <c:noMultiLvlLbl val="0"/>
      </c:catAx>
      <c:valAx>
        <c:axId val="5620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9002640"/>
        <c:crosses val="autoZero"/>
        <c:crossBetween val="between"/>
      </c:valAx>
      <c:valAx>
        <c:axId val="40626068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159288"/>
        <c:crosses val="max"/>
        <c:crossBetween val="between"/>
      </c:valAx>
      <c:catAx>
        <c:axId val="310159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260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CSPR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Graficcos!$AH$5:$AL$5</c15:sqref>
                  </c15:fullRef>
                </c:ext>
              </c:extLst>
              <c:f>(Graficcos!$AH$5:$AJ$5,Graficcos!$AL$5)</c:f>
              <c:strCache>
                <c:ptCount val="4"/>
                <c:pt idx="0">
                  <c:v>SS3</c:v>
                </c:pt>
                <c:pt idx="1">
                  <c:v>SS2</c:v>
                </c:pt>
                <c:pt idx="2">
                  <c:v>SS4</c:v>
                </c:pt>
                <c:pt idx="3">
                  <c:v>SS5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Graficcos!$AH$14:$AL$14</c15:sqref>
                  </c15:fullRef>
                </c:ext>
              </c:extLst>
              <c:f>(Graficcos!$AH$14:$AJ$14,Graficcos!$AL$14)</c:f>
              <c:numCache>
                <c:formatCode>0.000</c:formatCode>
                <c:ptCount val="4"/>
                <c:pt idx="0">
                  <c:v>6.4615753582428062E-2</c:v>
                </c:pt>
                <c:pt idx="1">
                  <c:v>4.6522988186420172E-2</c:v>
                </c:pt>
                <c:pt idx="2">
                  <c:v>3.9965959515675262E-2</c:v>
                </c:pt>
                <c:pt idx="3">
                  <c:v>4.3272846547683166E-2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F-4A5C-A336-4BD9B020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18547168"/>
        <c:axId val="518546840"/>
      </c:barChart>
      <c:lineChart>
        <c:grouping val="standard"/>
        <c:varyColors val="0"/>
        <c:ser>
          <c:idx val="2"/>
          <c:order val="1"/>
          <c:tx>
            <c:v>C(P)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Graficcos!$AH$5:$AL$5</c15:sqref>
                  </c15:fullRef>
                </c:ext>
              </c:extLst>
              <c:f>(Graficcos!$AH$5:$AJ$5,Graficcos!$AL$5)</c:f>
              <c:strCache>
                <c:ptCount val="4"/>
                <c:pt idx="0">
                  <c:v>SS3</c:v>
                </c:pt>
                <c:pt idx="1">
                  <c:v>SS2</c:v>
                </c:pt>
                <c:pt idx="2">
                  <c:v>SS4</c:v>
                </c:pt>
                <c:pt idx="3">
                  <c:v>SS5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Graficcos!$AH$15:$AL$15</c15:sqref>
                  </c15:fullRef>
                </c:ext>
              </c:extLst>
              <c:f>(Graficcos!$AH$15:$AJ$15,Graficcos!$AL$15)</c:f>
              <c:numCache>
                <c:formatCode>0.00</c:formatCode>
                <c:ptCount val="4"/>
                <c:pt idx="0">
                  <c:v>17.433968999999998</c:v>
                </c:pt>
                <c:pt idx="1">
                  <c:v>11.304041888888889</c:v>
                </c:pt>
                <c:pt idx="2">
                  <c:v>17.331927758333332</c:v>
                </c:pt>
                <c:pt idx="3">
                  <c:v>24.051650166666668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2F-4A5C-A336-4BD9B020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002640"/>
        <c:axId val="562068112"/>
      </c:lineChart>
      <c:catAx>
        <c:axId val="49900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2068112"/>
        <c:crosses val="autoZero"/>
        <c:auto val="1"/>
        <c:lblAlgn val="ctr"/>
        <c:lblOffset val="100"/>
        <c:noMultiLvlLbl val="0"/>
      </c:catAx>
      <c:valAx>
        <c:axId val="5620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9002640"/>
        <c:crosses val="autoZero"/>
        <c:crossBetween val="between"/>
      </c:valAx>
      <c:valAx>
        <c:axId val="518546840"/>
        <c:scaling>
          <c:orientation val="minMax"/>
        </c:scaling>
        <c:delete val="0"/>
        <c:axPos val="r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547168"/>
        <c:crosses val="max"/>
        <c:crossBetween val="between"/>
      </c:valAx>
      <c:catAx>
        <c:axId val="518547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8546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v>C(P)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(Graficcos!$AH$14:$AJ$14,Graficcos!$AL$14)</c:f>
              <c:numCache>
                <c:formatCode>0.000</c:formatCode>
                <c:ptCount val="4"/>
                <c:pt idx="0">
                  <c:v>6.4615753582428062E-2</c:v>
                </c:pt>
                <c:pt idx="1">
                  <c:v>4.6522988186420172E-2</c:v>
                </c:pt>
                <c:pt idx="2">
                  <c:v>3.9965959515675262E-2</c:v>
                </c:pt>
                <c:pt idx="3">
                  <c:v>4.3272846547683166E-2</c:v>
                </c:pt>
              </c:numCache>
            </c:numRef>
          </c:xVal>
          <c:yVal>
            <c:numRef>
              <c:f>(Graficcos!$AH$15:$AJ$15,Graficcos!$AL$15)</c:f>
              <c:numCache>
                <c:formatCode>0.00</c:formatCode>
                <c:ptCount val="4"/>
                <c:pt idx="0">
                  <c:v>17.433968999999998</c:v>
                </c:pt>
                <c:pt idx="1">
                  <c:v>11.304041888888889</c:v>
                </c:pt>
                <c:pt idx="2">
                  <c:v>17.331927758333332</c:v>
                </c:pt>
                <c:pt idx="3">
                  <c:v>24.051650166666668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D0-4B50-82ED-D76F57E93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38504"/>
        <c:axId val="88637192"/>
      </c:scatterChart>
      <c:scatterChart>
        <c:scatterStyle val="smoothMarker"/>
        <c:varyColors val="0"/>
        <c:ser>
          <c:idx val="0"/>
          <c:order val="0"/>
          <c:tx>
            <c:v>qP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(Graficcos!$AH$14:$AJ$14,Graficcos!$AL$14)</c:f>
              <c:numCache>
                <c:formatCode>0.000</c:formatCode>
                <c:ptCount val="4"/>
                <c:pt idx="0">
                  <c:v>6.4615753582428062E-2</c:v>
                </c:pt>
                <c:pt idx="1">
                  <c:v>4.6522988186420172E-2</c:v>
                </c:pt>
                <c:pt idx="2">
                  <c:v>3.9965959515675262E-2</c:v>
                </c:pt>
                <c:pt idx="3">
                  <c:v>4.3272846547683166E-2</c:v>
                </c:pt>
              </c:numCache>
            </c:numRef>
          </c:xVal>
          <c:yVal>
            <c:numRef>
              <c:f>(Graficcos!$AH$12:$AJ$12,Graficcos!$AL$12)</c:f>
              <c:numCache>
                <c:formatCode>0.00</c:formatCode>
                <c:ptCount val="4"/>
                <c:pt idx="0">
                  <c:v>0.60654646713341609</c:v>
                </c:pt>
                <c:pt idx="1">
                  <c:v>0.51034001906293924</c:v>
                </c:pt>
                <c:pt idx="2">
                  <c:v>0.79267726150129381</c:v>
                </c:pt>
                <c:pt idx="3">
                  <c:v>1.0473485237867779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D0-4B50-82ED-D76F57E93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722480"/>
        <c:axId val="481176152"/>
      </c:scatterChart>
      <c:valAx>
        <c:axId val="88638504"/>
        <c:scaling>
          <c:orientation val="minMax"/>
          <c:min val="3.5000000000000003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37192"/>
        <c:crosses val="autoZero"/>
        <c:crossBetween val="midCat"/>
      </c:valAx>
      <c:valAx>
        <c:axId val="8863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C(P) (ug/mL)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38504"/>
        <c:crosses val="autoZero"/>
        <c:crossBetween val="midCat"/>
      </c:valAx>
      <c:valAx>
        <c:axId val="48117615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0722480"/>
        <c:crosses val="max"/>
        <c:crossBetween val="midCat"/>
      </c:valAx>
      <c:valAx>
        <c:axId val="450722480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481176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qP-PCD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qP-0.45_1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ferment.!$E$12:$E$19</c:f>
              <c:numCache>
                <c:formatCode>0.00</c:formatCode>
                <c:ptCount val="8"/>
                <c:pt idx="0">
                  <c:v>3.8958333333357587</c:v>
                </c:pt>
                <c:pt idx="1">
                  <c:v>5.03125</c:v>
                </c:pt>
                <c:pt idx="2">
                  <c:v>6.21875</c:v>
                </c:pt>
                <c:pt idx="3">
                  <c:v>6.9652777777810115</c:v>
                </c:pt>
                <c:pt idx="4">
                  <c:v>7.9909722222218988</c:v>
                </c:pt>
                <c:pt idx="5">
                  <c:v>8.9166666666642413</c:v>
                </c:pt>
                <c:pt idx="6">
                  <c:v>9.9097222222189885</c:v>
                </c:pt>
                <c:pt idx="7">
                  <c:v>10.895833333335759</c:v>
                </c:pt>
              </c:numCache>
            </c:numRef>
          </c:xVal>
          <c:yVal>
            <c:numRef>
              <c:f>ferment.!$BU$12:$BU$19</c:f>
              <c:numCache>
                <c:formatCode>0.00</c:formatCode>
                <c:ptCount val="8"/>
                <c:pt idx="0">
                  <c:v>2.7827944164854257</c:v>
                </c:pt>
                <c:pt idx="1">
                  <c:v>2.1838872848757194</c:v>
                </c:pt>
                <c:pt idx="2">
                  <c:v>2.304017052503287</c:v>
                </c:pt>
                <c:pt idx="3">
                  <c:v>2.5386165512272769</c:v>
                </c:pt>
                <c:pt idx="4">
                  <c:v>3.0528446566735767</c:v>
                </c:pt>
                <c:pt idx="5">
                  <c:v>3.1285027084096191</c:v>
                </c:pt>
                <c:pt idx="6">
                  <c:v>2.7066146689790305</c:v>
                </c:pt>
                <c:pt idx="7">
                  <c:v>2.1896621605369373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36-47AF-9BA6-44AFFB93CB84}"/>
            </c:ext>
          </c:extLst>
        </c:ser>
        <c:ser>
          <c:idx val="1"/>
          <c:order val="1"/>
          <c:tx>
            <c:v>qP-0.4_1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ferment.!$E$32:$E$37</c:f>
              <c:numCache>
                <c:formatCode>0.00</c:formatCode>
                <c:ptCount val="6"/>
                <c:pt idx="0">
                  <c:v>26.243055555554747</c:v>
                </c:pt>
                <c:pt idx="1">
                  <c:v>27.03125</c:v>
                </c:pt>
                <c:pt idx="2">
                  <c:v>28.145833333335759</c:v>
                </c:pt>
                <c:pt idx="3">
                  <c:v>29.201388888890506</c:v>
                </c:pt>
                <c:pt idx="4">
                  <c:v>30.041666666664241</c:v>
                </c:pt>
                <c:pt idx="5">
                  <c:v>33.152777777781012</c:v>
                </c:pt>
              </c:numCache>
            </c:numRef>
          </c:xVal>
          <c:yVal>
            <c:numRef>
              <c:f>ferment.!$BU$32:$BU$37</c:f>
              <c:numCache>
                <c:formatCode>0.00</c:formatCode>
                <c:ptCount val="6"/>
                <c:pt idx="1">
                  <c:v>0.49033109225877813</c:v>
                </c:pt>
                <c:pt idx="2">
                  <c:v>0.54525612632817344</c:v>
                </c:pt>
                <c:pt idx="3">
                  <c:v>0.34072120882106083</c:v>
                </c:pt>
                <c:pt idx="4">
                  <c:v>0.67611357503624891</c:v>
                </c:pt>
                <c:pt idx="5">
                  <c:v>0.49927809287043506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36-47AF-9BA6-44AFFB93CB84}"/>
            </c:ext>
          </c:extLst>
        </c:ser>
        <c:ser>
          <c:idx val="2"/>
          <c:order val="2"/>
          <c:tx>
            <c:v>qP_0.35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ferment.!$E$42:$E$46</c:f>
              <c:numCache>
                <c:formatCode>0.00</c:formatCode>
                <c:ptCount val="5"/>
                <c:pt idx="0">
                  <c:v>41.1875</c:v>
                </c:pt>
                <c:pt idx="1">
                  <c:v>43.263888888890506</c:v>
                </c:pt>
                <c:pt idx="2">
                  <c:v>43.951388888890506</c:v>
                </c:pt>
                <c:pt idx="3">
                  <c:v>44.902777777781012</c:v>
                </c:pt>
                <c:pt idx="4">
                  <c:v>47.173611111109494</c:v>
                </c:pt>
              </c:numCache>
            </c:numRef>
          </c:xVal>
          <c:yVal>
            <c:numRef>
              <c:f>ferment.!$BU$42:$BU$46</c:f>
              <c:numCache>
                <c:formatCode>0.00</c:formatCode>
                <c:ptCount val="5"/>
                <c:pt idx="0">
                  <c:v>0.99753877133079194</c:v>
                </c:pt>
                <c:pt idx="1">
                  <c:v>0.90193013944077893</c:v>
                </c:pt>
                <c:pt idx="2">
                  <c:v>0.996015167719982</c:v>
                </c:pt>
                <c:pt idx="4">
                  <c:v>0.67118872854101375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36-47AF-9BA6-44AFFB93CB84}"/>
            </c:ext>
          </c:extLst>
        </c:ser>
        <c:ser>
          <c:idx val="3"/>
          <c:order val="3"/>
          <c:tx>
            <c:v>qP-0.4_2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(ferment.!$E$58:$E$60,ferment.!$E$62:$E$66)</c:f>
              <c:numCache>
                <c:formatCode>0.00</c:formatCode>
                <c:ptCount val="8"/>
                <c:pt idx="0">
                  <c:v>65.034722222218988</c:v>
                </c:pt>
                <c:pt idx="1">
                  <c:v>67.96875</c:v>
                </c:pt>
                <c:pt idx="2">
                  <c:v>69.048611111109494</c:v>
                </c:pt>
                <c:pt idx="3">
                  <c:v>71.21875</c:v>
                </c:pt>
                <c:pt idx="4">
                  <c:v>71.951388888890506</c:v>
                </c:pt>
                <c:pt idx="5">
                  <c:v>72.899305555554747</c:v>
                </c:pt>
                <c:pt idx="6">
                  <c:v>77.201388888890506</c:v>
                </c:pt>
                <c:pt idx="7">
                  <c:v>78.201388888890506</c:v>
                </c:pt>
              </c:numCache>
            </c:numRef>
          </c:xVal>
          <c:yVal>
            <c:numRef>
              <c:f>(ferment.!$BU$58:$BU$60,ferment.!$BU$62:$BU$66)</c:f>
              <c:numCache>
                <c:formatCode>0.00</c:formatCode>
                <c:ptCount val="8"/>
                <c:pt idx="0">
                  <c:v>0.81252846428571757</c:v>
                </c:pt>
                <c:pt idx="1">
                  <c:v>0.58574165270827228</c:v>
                </c:pt>
                <c:pt idx="2">
                  <c:v>1.1490868801439169</c:v>
                </c:pt>
                <c:pt idx="3">
                  <c:v>0.82578368202877128</c:v>
                </c:pt>
                <c:pt idx="4">
                  <c:v>0.98229695457823984</c:v>
                </c:pt>
                <c:pt idx="5">
                  <c:v>0.62155991933551424</c:v>
                </c:pt>
                <c:pt idx="6">
                  <c:v>0.8128512155283012</c:v>
                </c:pt>
                <c:pt idx="7">
                  <c:v>0.55156932340161768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36-47AF-9BA6-44AFFB93CB84}"/>
            </c:ext>
          </c:extLst>
        </c:ser>
        <c:ser>
          <c:idx val="4"/>
          <c:order val="4"/>
          <c:tx>
            <c:v>qP-0.45_2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ferment.!$E$68:$E$71</c:f>
              <c:numCache>
                <c:formatCode>0.00</c:formatCode>
                <c:ptCount val="4"/>
                <c:pt idx="0">
                  <c:v>81.979166666664241</c:v>
                </c:pt>
                <c:pt idx="1">
                  <c:v>83.197916666664241</c:v>
                </c:pt>
                <c:pt idx="2">
                  <c:v>84.215277777781012</c:v>
                </c:pt>
                <c:pt idx="3">
                  <c:v>85.267361111109494</c:v>
                </c:pt>
              </c:numCache>
            </c:numRef>
          </c:xVal>
          <c:yVal>
            <c:numRef>
              <c:f>ferment.!$BU$68:$BU$71</c:f>
              <c:numCache>
                <c:formatCode>0.00</c:formatCode>
                <c:ptCount val="4"/>
                <c:pt idx="0">
                  <c:v>0.95522956198575382</c:v>
                </c:pt>
                <c:pt idx="1">
                  <c:v>1.1866463344538942</c:v>
                </c:pt>
                <c:pt idx="2">
                  <c:v>0.92271083256901421</c:v>
                </c:pt>
                <c:pt idx="3">
                  <c:v>1.124807366138449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936-47AF-9BA6-44AFFB93C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75400"/>
        <c:axId val="462577368"/>
      </c:scatterChart>
      <c:valAx>
        <c:axId val="46257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2577368"/>
        <c:crosses val="autoZero"/>
        <c:crossBetween val="midCat"/>
      </c:valAx>
      <c:valAx>
        <c:axId val="46257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2575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v>C(P)</c:v>
          </c:tx>
          <c:spPr>
            <a:solidFill>
              <a:srgbClr val="0070C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cust"/>
            <c:noEndCap val="0"/>
            <c:plus>
              <c:numRef>
                <c:f>(ferment.!$BI$45,ferment.!$BI$34,ferment.!$BI$61,ferment.!$BI$15,ferment.!$BI$71)</c:f>
                <c:numCache>
                  <c:formatCode>General</c:formatCode>
                  <c:ptCount val="5"/>
                  <c:pt idx="0">
                    <c:v>4.4920622113589319</c:v>
                  </c:pt>
                  <c:pt idx="1">
                    <c:v>0.76030840645305664</c:v>
                  </c:pt>
                  <c:pt idx="2">
                    <c:v>4.1231895853354548</c:v>
                  </c:pt>
                  <c:pt idx="3">
                    <c:v>1.1085442269466919</c:v>
                  </c:pt>
                  <c:pt idx="4">
                    <c:v>0.80251653812858592</c:v>
                  </c:pt>
                </c:numCache>
              </c:numRef>
            </c:plus>
            <c:minus>
              <c:numRef>
                <c:f>(ferment.!$BI$45,ferment.!$BI$34,ferment.!$BI$61,ferment.!$BI$15,ferment.!$BI$71)</c:f>
                <c:numCache>
                  <c:formatCode>General</c:formatCode>
                  <c:ptCount val="5"/>
                  <c:pt idx="0">
                    <c:v>4.4920622113589319</c:v>
                  </c:pt>
                  <c:pt idx="1">
                    <c:v>0.76030840645305664</c:v>
                  </c:pt>
                  <c:pt idx="2">
                    <c:v>4.1231895853354548</c:v>
                  </c:pt>
                  <c:pt idx="3">
                    <c:v>1.1085442269466919</c:v>
                  </c:pt>
                  <c:pt idx="4">
                    <c:v>0.80251653812858592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Graficcos!$AH$5:$AL$5</c:f>
              <c:strCache>
                <c:ptCount val="5"/>
                <c:pt idx="0">
                  <c:v>SS3</c:v>
                </c:pt>
                <c:pt idx="1">
                  <c:v>SS2</c:v>
                </c:pt>
                <c:pt idx="2">
                  <c:v>SS4</c:v>
                </c:pt>
                <c:pt idx="3">
                  <c:v>SS1</c:v>
                </c:pt>
                <c:pt idx="4">
                  <c:v>SS5</c:v>
                </c:pt>
              </c:strCache>
            </c:strRef>
          </c:cat>
          <c:val>
            <c:numRef>
              <c:f>Graficcos!$AH$15:$AL$15</c:f>
              <c:numCache>
                <c:formatCode>0.00</c:formatCode>
                <c:ptCount val="5"/>
                <c:pt idx="0">
                  <c:v>17.433968999999998</c:v>
                </c:pt>
                <c:pt idx="1">
                  <c:v>11.304041888888889</c:v>
                </c:pt>
                <c:pt idx="2">
                  <c:v>17.331927758333332</c:v>
                </c:pt>
                <c:pt idx="3">
                  <c:v>15.254278041666666</c:v>
                </c:pt>
                <c:pt idx="4">
                  <c:v>24.051650166666668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EB-4BCE-9F71-B4623FE77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499002640"/>
        <c:axId val="562068112"/>
      </c:barChart>
      <c:catAx>
        <c:axId val="49900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2068112"/>
        <c:crosses val="autoZero"/>
        <c:auto val="1"/>
        <c:lblAlgn val="ctr"/>
        <c:lblOffset val="100"/>
        <c:noMultiLvlLbl val="0"/>
      </c:catAx>
      <c:valAx>
        <c:axId val="5620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C(P)</a:t>
                </a:r>
                <a:r>
                  <a:rPr lang="en-US" baseline="0"/>
                  <a:t>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900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CSPR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Graficcos!$AH$5:$AL$5</c15:sqref>
                  </c15:fullRef>
                </c:ext>
              </c:extLst>
              <c:f>Graficcos!$AK$5:$AL$5</c:f>
              <c:strCache>
                <c:ptCount val="2"/>
                <c:pt idx="0">
                  <c:v>SS1</c:v>
                </c:pt>
                <c:pt idx="1">
                  <c:v>SS5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Graficcos!$AH$14:$AL$14</c15:sqref>
                  </c15:fullRef>
                </c:ext>
              </c:extLst>
              <c:f>Graficcos!$AK$14:$AL$14</c:f>
              <c:numCache>
                <c:formatCode>0.000</c:formatCode>
                <c:ptCount val="2"/>
                <c:pt idx="0">
                  <c:v>0.15989758723783931</c:v>
                </c:pt>
                <c:pt idx="1">
                  <c:v>4.3272846547683166E-2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B-417C-9785-3C5FABF0A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159288"/>
        <c:axId val="406260688"/>
      </c:barChart>
      <c:lineChart>
        <c:grouping val="standard"/>
        <c:varyColors val="0"/>
        <c:ser>
          <c:idx val="0"/>
          <c:order val="0"/>
          <c:tx>
            <c:v>qP(PCD)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Graficcos!$AH$5:$AL$5</c15:sqref>
                  </c15:fullRef>
                </c:ext>
              </c:extLst>
              <c:f>Graficcos!$AK$5:$AL$5</c:f>
              <c:strCache>
                <c:ptCount val="2"/>
                <c:pt idx="0">
                  <c:v>SS1</c:v>
                </c:pt>
                <c:pt idx="1">
                  <c:v>SS5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Graficcos!$AH$12:$AL$12</c15:sqref>
                  </c15:fullRef>
                </c:ext>
              </c:extLst>
              <c:f>Graficcos!$AK$12:$AL$12</c:f>
              <c:numCache>
                <c:formatCode>0.00</c:formatCode>
                <c:ptCount val="2"/>
                <c:pt idx="0">
                  <c:v>2.610867437461359</c:v>
                </c:pt>
                <c:pt idx="1">
                  <c:v>1.0473485237867779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B-417C-9785-3C5FABF0A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002640"/>
        <c:axId val="562068112"/>
      </c:lineChart>
      <c:catAx>
        <c:axId val="49900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2068112"/>
        <c:crosses val="autoZero"/>
        <c:auto val="1"/>
        <c:lblAlgn val="ctr"/>
        <c:lblOffset val="100"/>
        <c:noMultiLvlLbl val="0"/>
      </c:catAx>
      <c:valAx>
        <c:axId val="5620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9002640"/>
        <c:crosses val="autoZero"/>
        <c:crossBetween val="between"/>
      </c:valAx>
      <c:valAx>
        <c:axId val="40626068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159288"/>
        <c:crosses val="max"/>
        <c:crossBetween val="between"/>
      </c:valAx>
      <c:catAx>
        <c:axId val="310159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260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CSPR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Graficcos!$AH$5:$AL$5</c15:sqref>
                  </c15:fullRef>
                </c:ext>
              </c:extLst>
              <c:f>(Graficcos!$AH$5:$AJ$5,Graficcos!$AL$5)</c:f>
              <c:strCache>
                <c:ptCount val="4"/>
                <c:pt idx="0">
                  <c:v>SS3</c:v>
                </c:pt>
                <c:pt idx="1">
                  <c:v>SS2</c:v>
                </c:pt>
                <c:pt idx="2">
                  <c:v>SS4</c:v>
                </c:pt>
                <c:pt idx="3">
                  <c:v>SS5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Graficcos!$AH$14:$AL$14</c15:sqref>
                  </c15:fullRef>
                </c:ext>
              </c:extLst>
              <c:f>(Graficcos!$AH$14:$AJ$14,Graficcos!$AL$14)</c:f>
              <c:numCache>
                <c:formatCode>0.000</c:formatCode>
                <c:ptCount val="4"/>
                <c:pt idx="0">
                  <c:v>6.4615753582428062E-2</c:v>
                </c:pt>
                <c:pt idx="1">
                  <c:v>4.6522988186420172E-2</c:v>
                </c:pt>
                <c:pt idx="2">
                  <c:v>3.9965959515675262E-2</c:v>
                </c:pt>
                <c:pt idx="3">
                  <c:v>4.3272846547683166E-2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0-4282-A024-6C745C2A9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159288"/>
        <c:axId val="406260688"/>
      </c:barChart>
      <c:lineChart>
        <c:grouping val="standard"/>
        <c:varyColors val="0"/>
        <c:ser>
          <c:idx val="0"/>
          <c:order val="0"/>
          <c:tx>
            <c:v>PV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Graficcos!$AH$5:$AL$5</c15:sqref>
                  </c15:fullRef>
                </c:ext>
              </c:extLst>
              <c:f>(Graficcos!$AH$5:$AJ$5,Graficcos!$AL$5)</c:f>
              <c:strCache>
                <c:ptCount val="4"/>
                <c:pt idx="0">
                  <c:v>SS3</c:v>
                </c:pt>
                <c:pt idx="1">
                  <c:v>SS2</c:v>
                </c:pt>
                <c:pt idx="2">
                  <c:v>SS4</c:v>
                </c:pt>
                <c:pt idx="3">
                  <c:v>SS5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Graficcos!$AH$16:$AL$16</c15:sqref>
                  </c15:fullRef>
                </c:ext>
              </c:extLst>
              <c:f>(Graficcos!$AH$16:$AJ$16,Graficcos!$AL$16)</c:f>
              <c:numCache>
                <c:formatCode>0.00</c:formatCode>
                <c:ptCount val="4"/>
                <c:pt idx="0">
                  <c:v>6.101889149999999</c:v>
                </c:pt>
                <c:pt idx="1">
                  <c:v>4.5216167555555558</c:v>
                </c:pt>
                <c:pt idx="2">
                  <c:v>6.9327711033333337</c:v>
                </c:pt>
                <c:pt idx="3">
                  <c:v>10.823242575000002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F0-4282-A024-6C745C2A9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002640"/>
        <c:axId val="562068112"/>
      </c:lineChart>
      <c:catAx>
        <c:axId val="4990026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2068112"/>
        <c:crosses val="autoZero"/>
        <c:auto val="1"/>
        <c:lblAlgn val="ctr"/>
        <c:lblOffset val="100"/>
        <c:noMultiLvlLbl val="0"/>
      </c:catAx>
      <c:valAx>
        <c:axId val="5620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kern="1200" baseline="0">
                    <a:solidFill>
                      <a:srgbClr val="595959"/>
                    </a:solidFill>
                    <a:effectLst/>
                  </a:rPr>
                  <a:t>PV (mg/L/d)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9002640"/>
        <c:crosses val="autoZero"/>
        <c:crossBetween val="between"/>
      </c:valAx>
      <c:valAx>
        <c:axId val="4062606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CSPR (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159288"/>
        <c:crosses val="max"/>
        <c:crossBetween val="between"/>
      </c:valAx>
      <c:catAx>
        <c:axId val="310159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260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v>CSPR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Graficcos!$AH$5:$AL$5</c:f>
              <c:strCache>
                <c:ptCount val="5"/>
                <c:pt idx="0">
                  <c:v>SS3</c:v>
                </c:pt>
                <c:pt idx="1">
                  <c:v>SS2</c:v>
                </c:pt>
                <c:pt idx="2">
                  <c:v>SS4</c:v>
                </c:pt>
                <c:pt idx="3">
                  <c:v>SS1</c:v>
                </c:pt>
                <c:pt idx="4">
                  <c:v>SS5</c:v>
                </c:pt>
              </c:strCache>
            </c:strRef>
          </c:cat>
          <c:val>
            <c:numRef>
              <c:f>Graficcos!$AH$14:$AL$14</c:f>
              <c:numCache>
                <c:formatCode>0.000</c:formatCode>
                <c:ptCount val="5"/>
                <c:pt idx="0">
                  <c:v>6.4615753582428062E-2</c:v>
                </c:pt>
                <c:pt idx="1">
                  <c:v>4.6522988186420172E-2</c:v>
                </c:pt>
                <c:pt idx="2">
                  <c:v>3.9965959515675262E-2</c:v>
                </c:pt>
                <c:pt idx="3">
                  <c:v>0.15989758723783931</c:v>
                </c:pt>
                <c:pt idx="4">
                  <c:v>4.3272846547683166E-2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1-40F2-BE0D-04DC16AD0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159288"/>
        <c:axId val="406260688"/>
      </c:barChart>
      <c:lineChart>
        <c:grouping val="standard"/>
        <c:varyColors val="0"/>
        <c:ser>
          <c:idx val="0"/>
          <c:order val="0"/>
          <c:tx>
            <c:v>PV</c:v>
          </c:tx>
          <c:spPr>
            <a:ln w="34925" cap="rnd">
              <a:solidFill>
                <a:srgbClr val="66006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Graficcos!$AH$5:$AL$5</c:f>
              <c:strCache>
                <c:ptCount val="5"/>
                <c:pt idx="0">
                  <c:v>SS3</c:v>
                </c:pt>
                <c:pt idx="1">
                  <c:v>SS2</c:v>
                </c:pt>
                <c:pt idx="2">
                  <c:v>SS4</c:v>
                </c:pt>
                <c:pt idx="3">
                  <c:v>SS1</c:v>
                </c:pt>
                <c:pt idx="4">
                  <c:v>SS5</c:v>
                </c:pt>
              </c:strCache>
            </c:strRef>
          </c:cat>
          <c:val>
            <c:numRef>
              <c:f>Graficcos!$AH$16:$AL$16</c:f>
              <c:numCache>
                <c:formatCode>0.00</c:formatCode>
                <c:ptCount val="5"/>
                <c:pt idx="0">
                  <c:v>6.101889149999999</c:v>
                </c:pt>
                <c:pt idx="1">
                  <c:v>4.5216167555555558</c:v>
                </c:pt>
                <c:pt idx="2">
                  <c:v>6.9327711033333337</c:v>
                </c:pt>
                <c:pt idx="3">
                  <c:v>6.8644251187499998</c:v>
                </c:pt>
                <c:pt idx="4">
                  <c:v>10.823242575000002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1-40F2-BE0D-04DC16AD0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002640"/>
        <c:axId val="562068112"/>
      </c:lineChart>
      <c:catAx>
        <c:axId val="49900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2068112"/>
        <c:crosses val="autoZero"/>
        <c:auto val="1"/>
        <c:lblAlgn val="ctr"/>
        <c:lblOffset val="100"/>
        <c:noMultiLvlLbl val="0"/>
      </c:catAx>
      <c:valAx>
        <c:axId val="5620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 b="1">
                    <a:latin typeface="Arial" panose="020B0604020202020204" pitchFamily="34" charset="0"/>
                    <a:cs typeface="Arial" panose="020B0604020202020204" pitchFamily="34" charset="0"/>
                  </a:rPr>
                  <a:t>PV</a:t>
                </a:r>
                <a:r>
                  <a:rPr lang="en-US" sz="10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(mg/L/d)</a:t>
                </a:r>
                <a:endParaRPr lang="en-US" sz="10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9002640"/>
        <c:crosses val="autoZero"/>
        <c:crossBetween val="between"/>
      </c:valAx>
      <c:valAx>
        <c:axId val="4062606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 b="1">
                    <a:latin typeface="Arial" panose="020B0604020202020204" pitchFamily="34" charset="0"/>
                    <a:cs typeface="Arial" panose="020B0604020202020204" pitchFamily="34" charset="0"/>
                  </a:rPr>
                  <a:t>CSPR (nL/cél/d)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159288"/>
        <c:crosses val="max"/>
        <c:crossBetween val="between"/>
      </c:valAx>
      <c:catAx>
        <c:axId val="310159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260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v>CSPR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Graficcos!$AH$5:$AL$5</c15:sqref>
                  </c15:fullRef>
                </c:ext>
              </c:extLst>
              <c:f>Graficcos!$AK$5:$AL$5</c:f>
              <c:strCache>
                <c:ptCount val="2"/>
                <c:pt idx="0">
                  <c:v>SS1</c:v>
                </c:pt>
                <c:pt idx="1">
                  <c:v>SS5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Graficcos!$AH$14:$AL$14</c15:sqref>
                  </c15:fullRef>
                </c:ext>
              </c:extLst>
              <c:f>Graficcos!$AK$14:$AL$14</c:f>
              <c:numCache>
                <c:formatCode>0.000</c:formatCode>
                <c:ptCount val="2"/>
                <c:pt idx="0">
                  <c:v>0.15989758723783931</c:v>
                </c:pt>
                <c:pt idx="1">
                  <c:v>4.3272846547683166E-2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6-4E9E-A1F9-26FB6A518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159288"/>
        <c:axId val="406260688"/>
      </c:barChart>
      <c:lineChart>
        <c:grouping val="standard"/>
        <c:varyColors val="0"/>
        <c:ser>
          <c:idx val="0"/>
          <c:order val="0"/>
          <c:tx>
            <c:v>PV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Graficcos!$AH$5:$AL$5</c15:sqref>
                  </c15:fullRef>
                </c:ext>
              </c:extLst>
              <c:f>Graficcos!$AK$5:$AL$5</c:f>
              <c:strCache>
                <c:ptCount val="2"/>
                <c:pt idx="0">
                  <c:v>SS1</c:v>
                </c:pt>
                <c:pt idx="1">
                  <c:v>SS5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Graficcos!$AH$16:$AL$16</c15:sqref>
                  </c15:fullRef>
                </c:ext>
              </c:extLst>
              <c:f>Graficcos!$AK$16:$AL$16</c:f>
              <c:numCache>
                <c:formatCode>0.00</c:formatCode>
                <c:ptCount val="2"/>
                <c:pt idx="0">
                  <c:v>6.8644251187499998</c:v>
                </c:pt>
                <c:pt idx="1">
                  <c:v>10.823242575000002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6-4E9E-A1F9-26FB6A518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002640"/>
        <c:axId val="562068112"/>
      </c:lineChart>
      <c:catAx>
        <c:axId val="49900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2068112"/>
        <c:crosses val="autoZero"/>
        <c:auto val="1"/>
        <c:lblAlgn val="ctr"/>
        <c:lblOffset val="100"/>
        <c:noMultiLvlLbl val="0"/>
      </c:catAx>
      <c:valAx>
        <c:axId val="5620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PV (mg/L/d)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9002640"/>
        <c:crosses val="autoZero"/>
        <c:crossBetween val="between"/>
      </c:valAx>
      <c:valAx>
        <c:axId val="4062606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CSPR (nL/cel/d)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159288"/>
        <c:crosses val="max"/>
        <c:crossBetween val="between"/>
      </c:valAx>
      <c:catAx>
        <c:axId val="310159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260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v>Xv</c:v>
          </c:tx>
          <c:spPr>
            <a:solidFill>
              <a:srgbClr val="00B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cust"/>
            <c:noEndCap val="0"/>
            <c:plus>
              <c:numRef>
                <c:f>Graficcos!$AH$29:$AL$29</c:f>
                <c:numCache>
                  <c:formatCode>General</c:formatCode>
                  <c:ptCount val="5"/>
                  <c:pt idx="0">
                    <c:v>130274.99404749191</c:v>
                  </c:pt>
                  <c:pt idx="1">
                    <c:v>529000.63011934748</c:v>
                  </c:pt>
                  <c:pt idx="2">
                    <c:v>798226.50642255391</c:v>
                  </c:pt>
                  <c:pt idx="3">
                    <c:v>311408.40210443002</c:v>
                  </c:pt>
                  <c:pt idx="4">
                    <c:v>503793.02040362486</c:v>
                  </c:pt>
                </c:numCache>
              </c:numRef>
            </c:plus>
            <c:minus>
              <c:numRef>
                <c:f>Graficcos!$AH$29:$AL$29</c:f>
                <c:numCache>
                  <c:formatCode>General</c:formatCode>
                  <c:ptCount val="5"/>
                  <c:pt idx="0">
                    <c:v>130274.99404749191</c:v>
                  </c:pt>
                  <c:pt idx="1">
                    <c:v>529000.63011934748</c:v>
                  </c:pt>
                  <c:pt idx="2">
                    <c:v>798226.50642255391</c:v>
                  </c:pt>
                  <c:pt idx="3">
                    <c:v>311408.40210443002</c:v>
                  </c:pt>
                  <c:pt idx="4">
                    <c:v>503793.02040362486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Graficcos!$AH$5:$AL$5</c:f>
              <c:strCache>
                <c:ptCount val="5"/>
                <c:pt idx="0">
                  <c:v>SS3</c:v>
                </c:pt>
                <c:pt idx="1">
                  <c:v>SS2</c:v>
                </c:pt>
                <c:pt idx="2">
                  <c:v>SS4</c:v>
                </c:pt>
                <c:pt idx="3">
                  <c:v>SS1</c:v>
                </c:pt>
                <c:pt idx="4">
                  <c:v>SS5</c:v>
                </c:pt>
              </c:strCache>
            </c:strRef>
          </c:cat>
          <c:val>
            <c:numRef>
              <c:f>Graficcos!$AH$17:$AL$17</c:f>
              <c:numCache>
                <c:formatCode>0.00E+00</c:formatCode>
                <c:ptCount val="5"/>
                <c:pt idx="0">
                  <c:v>5454722.222222222</c:v>
                </c:pt>
                <c:pt idx="1">
                  <c:v>8420000</c:v>
                </c:pt>
                <c:pt idx="2">
                  <c:v>9997666.6666666679</c:v>
                </c:pt>
                <c:pt idx="3">
                  <c:v>2845462.9629629632</c:v>
                </c:pt>
                <c:pt idx="4">
                  <c:v>10380000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E-4E52-A846-2D67B2778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159288"/>
        <c:axId val="406260688"/>
      </c:barChart>
      <c:lineChart>
        <c:grouping val="standard"/>
        <c:varyColors val="0"/>
        <c:ser>
          <c:idx val="0"/>
          <c:order val="0"/>
          <c:tx>
            <c:v>PV</c:v>
          </c:tx>
          <c:spPr>
            <a:ln w="34925" cap="rnd">
              <a:solidFill>
                <a:srgbClr val="66006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Graficcos!$AH$28:$AL$28</c:f>
                <c:numCache>
                  <c:formatCode>General</c:formatCode>
                  <c:ptCount val="5"/>
                  <c:pt idx="0">
                    <c:v>2.0214279951115217</c:v>
                  </c:pt>
                  <c:pt idx="1">
                    <c:v>0.3421387829038755</c:v>
                  </c:pt>
                  <c:pt idx="2">
                    <c:v>1.8554353134009494</c:v>
                  </c:pt>
                  <c:pt idx="3">
                    <c:v>0.49884490212601129</c:v>
                  </c:pt>
                  <c:pt idx="4">
                    <c:v>0.3611324421578635</c:v>
                  </c:pt>
                </c:numCache>
              </c:numRef>
            </c:plus>
            <c:minus>
              <c:numRef>
                <c:f>Graficcos!$AH$28:$AL$28</c:f>
                <c:numCache>
                  <c:formatCode>General</c:formatCode>
                  <c:ptCount val="5"/>
                  <c:pt idx="0">
                    <c:v>2.0214279951115217</c:v>
                  </c:pt>
                  <c:pt idx="1">
                    <c:v>0.3421387829038755</c:v>
                  </c:pt>
                  <c:pt idx="2">
                    <c:v>1.8554353134009494</c:v>
                  </c:pt>
                  <c:pt idx="3">
                    <c:v>0.49884490212601129</c:v>
                  </c:pt>
                  <c:pt idx="4">
                    <c:v>0.3611324421578635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Graficcos!$AH$5:$AL$5</c:f>
              <c:strCache>
                <c:ptCount val="5"/>
                <c:pt idx="0">
                  <c:v>SS3</c:v>
                </c:pt>
                <c:pt idx="1">
                  <c:v>SS2</c:v>
                </c:pt>
                <c:pt idx="2">
                  <c:v>SS4</c:v>
                </c:pt>
                <c:pt idx="3">
                  <c:v>SS1</c:v>
                </c:pt>
                <c:pt idx="4">
                  <c:v>SS5</c:v>
                </c:pt>
              </c:strCache>
            </c:strRef>
          </c:cat>
          <c:val>
            <c:numRef>
              <c:f>Graficcos!$AH$16:$AL$16</c:f>
              <c:numCache>
                <c:formatCode>0.00</c:formatCode>
                <c:ptCount val="5"/>
                <c:pt idx="0">
                  <c:v>6.101889149999999</c:v>
                </c:pt>
                <c:pt idx="1">
                  <c:v>4.5216167555555558</c:v>
                </c:pt>
                <c:pt idx="2">
                  <c:v>6.9327711033333337</c:v>
                </c:pt>
                <c:pt idx="3">
                  <c:v>6.8644251187499998</c:v>
                </c:pt>
                <c:pt idx="4">
                  <c:v>10.823242575000002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9E-4E52-A846-2D67B2778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002640"/>
        <c:axId val="562068112"/>
      </c:lineChart>
      <c:catAx>
        <c:axId val="49900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2068112"/>
        <c:crosses val="autoZero"/>
        <c:auto val="1"/>
        <c:lblAlgn val="ctr"/>
        <c:lblOffset val="100"/>
        <c:noMultiLvlLbl val="0"/>
      </c:catAx>
      <c:valAx>
        <c:axId val="5620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 b="1">
                    <a:latin typeface="Arial" panose="020B0604020202020204" pitchFamily="34" charset="0"/>
                    <a:cs typeface="Arial" panose="020B0604020202020204" pitchFamily="34" charset="0"/>
                  </a:rPr>
                  <a:t>PV</a:t>
                </a:r>
                <a:r>
                  <a:rPr lang="en-US" sz="10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(mg/L/d)</a:t>
                </a:r>
                <a:endParaRPr lang="en-US" sz="10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9002640"/>
        <c:crosses val="autoZero"/>
        <c:crossBetween val="between"/>
      </c:valAx>
      <c:valAx>
        <c:axId val="4062606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 b="1">
                    <a:latin typeface="Arial" panose="020B0604020202020204" pitchFamily="34" charset="0"/>
                    <a:cs typeface="Arial" panose="020B0604020202020204" pitchFamily="34" charset="0"/>
                  </a:rPr>
                  <a:t>Xv (cel/mL)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159288"/>
        <c:crosses val="max"/>
        <c:crossBetween val="between"/>
      </c:valAx>
      <c:catAx>
        <c:axId val="310159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260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ferment.!$CO$7</c:f>
              <c:strCache>
                <c:ptCount val="1"/>
                <c:pt idx="0">
                  <c:v>qS(Gluc)(nmol/e6*cel*h)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ferment.!$E$9:$E$70</c:f>
              <c:numCache>
                <c:formatCode>0.00</c:formatCode>
                <c:ptCount val="62"/>
                <c:pt idx="0">
                  <c:v>0.98958333333575865</c:v>
                </c:pt>
                <c:pt idx="1">
                  <c:v>1.9513888888905058</c:v>
                </c:pt>
                <c:pt idx="2">
                  <c:v>2.8993055555547471</c:v>
                </c:pt>
                <c:pt idx="3">
                  <c:v>3.8958333333357587</c:v>
                </c:pt>
                <c:pt idx="4">
                  <c:v>5.03125</c:v>
                </c:pt>
                <c:pt idx="5">
                  <c:v>6.21875</c:v>
                </c:pt>
                <c:pt idx="6">
                  <c:v>6.9652777777810115</c:v>
                </c:pt>
                <c:pt idx="7">
                  <c:v>7.9909722222218988</c:v>
                </c:pt>
                <c:pt idx="8">
                  <c:v>8.9166666666642413</c:v>
                </c:pt>
                <c:pt idx="9">
                  <c:v>9.9097222222189885</c:v>
                </c:pt>
                <c:pt idx="10">
                  <c:v>10.895833333335759</c:v>
                </c:pt>
                <c:pt idx="11">
                  <c:v>12.208333333335759</c:v>
                </c:pt>
                <c:pt idx="12">
                  <c:v>13.017361111109494</c:v>
                </c:pt>
                <c:pt idx="13">
                  <c:v>15.048611111109494</c:v>
                </c:pt>
                <c:pt idx="14">
                  <c:v>15.9375</c:v>
                </c:pt>
                <c:pt idx="15">
                  <c:v>16.899305555554747</c:v>
                </c:pt>
                <c:pt idx="16">
                  <c:v>19.0625</c:v>
                </c:pt>
                <c:pt idx="17">
                  <c:v>19.979166666664241</c:v>
                </c:pt>
                <c:pt idx="18">
                  <c:v>21.225694444445253</c:v>
                </c:pt>
                <c:pt idx="19">
                  <c:v>22.145833333335759</c:v>
                </c:pt>
                <c:pt idx="20">
                  <c:v>23.020833333335759</c:v>
                </c:pt>
                <c:pt idx="21">
                  <c:v>23.90625</c:v>
                </c:pt>
                <c:pt idx="22">
                  <c:v>24.930555555554747</c:v>
                </c:pt>
                <c:pt idx="23">
                  <c:v>26.243055555554747</c:v>
                </c:pt>
                <c:pt idx="24">
                  <c:v>27.03125</c:v>
                </c:pt>
                <c:pt idx="25">
                  <c:v>28.145833333335759</c:v>
                </c:pt>
                <c:pt idx="26">
                  <c:v>29.201388888890506</c:v>
                </c:pt>
                <c:pt idx="27">
                  <c:v>30.041666666664241</c:v>
                </c:pt>
                <c:pt idx="28">
                  <c:v>33.152777777781012</c:v>
                </c:pt>
                <c:pt idx="29">
                  <c:v>35.194444444445253</c:v>
                </c:pt>
                <c:pt idx="30">
                  <c:v>36.274305555554747</c:v>
                </c:pt>
                <c:pt idx="31">
                  <c:v>37.902777777781012</c:v>
                </c:pt>
                <c:pt idx="32">
                  <c:v>38.902777777781012</c:v>
                </c:pt>
                <c:pt idx="33">
                  <c:v>41.1875</c:v>
                </c:pt>
                <c:pt idx="34">
                  <c:v>43.263888888890506</c:v>
                </c:pt>
                <c:pt idx="35">
                  <c:v>43.951388888890506</c:v>
                </c:pt>
                <c:pt idx="36">
                  <c:v>44.902777777781012</c:v>
                </c:pt>
                <c:pt idx="37">
                  <c:v>47.173611111109494</c:v>
                </c:pt>
                <c:pt idx="38">
                  <c:v>47.944444444445253</c:v>
                </c:pt>
                <c:pt idx="39">
                  <c:v>48.989583333335759</c:v>
                </c:pt>
                <c:pt idx="40">
                  <c:v>51.225694444445253</c:v>
                </c:pt>
                <c:pt idx="41">
                  <c:v>54.138888888890506</c:v>
                </c:pt>
                <c:pt idx="42">
                  <c:v>55.180555555554747</c:v>
                </c:pt>
                <c:pt idx="43">
                  <c:v>56.048611111109494</c:v>
                </c:pt>
                <c:pt idx="44">
                  <c:v>57.979166666664241</c:v>
                </c:pt>
                <c:pt idx="45">
                  <c:v>59.003472222218988</c:v>
                </c:pt>
                <c:pt idx="46">
                  <c:v>61.961805555554747</c:v>
                </c:pt>
                <c:pt idx="47">
                  <c:v>62.975694444445253</c:v>
                </c:pt>
                <c:pt idx="48">
                  <c:v>64.034722222218988</c:v>
                </c:pt>
                <c:pt idx="49">
                  <c:v>65.034722222218988</c:v>
                </c:pt>
                <c:pt idx="50">
                  <c:v>67.96875</c:v>
                </c:pt>
                <c:pt idx="51">
                  <c:v>69.048611111109494</c:v>
                </c:pt>
                <c:pt idx="52">
                  <c:v>70.1875</c:v>
                </c:pt>
                <c:pt idx="53">
                  <c:v>71.21875</c:v>
                </c:pt>
                <c:pt idx="54">
                  <c:v>71.951388888890506</c:v>
                </c:pt>
                <c:pt idx="55">
                  <c:v>72.899305555554747</c:v>
                </c:pt>
                <c:pt idx="56">
                  <c:v>77.201388888890506</c:v>
                </c:pt>
                <c:pt idx="57">
                  <c:v>78.201388888890506</c:v>
                </c:pt>
                <c:pt idx="58">
                  <c:v>78.972222222218988</c:v>
                </c:pt>
                <c:pt idx="59">
                  <c:v>81.979166666664241</c:v>
                </c:pt>
                <c:pt idx="60">
                  <c:v>83.197916666664241</c:v>
                </c:pt>
                <c:pt idx="61">
                  <c:v>84.215277777781012</c:v>
                </c:pt>
              </c:numCache>
            </c:numRef>
          </c:xVal>
          <c:yVal>
            <c:numRef>
              <c:f>ferment.!$CO$9:$CO$70</c:f>
              <c:numCache>
                <c:formatCode>0.00</c:formatCode>
                <c:ptCount val="62"/>
                <c:pt idx="0">
                  <c:v>-186.25067963166489</c:v>
                </c:pt>
                <c:pt idx="1">
                  <c:v>-51.170112983965588</c:v>
                </c:pt>
                <c:pt idx="2">
                  <c:v>3.6702394679219323</c:v>
                </c:pt>
                <c:pt idx="3">
                  <c:v>-139.71966583887831</c:v>
                </c:pt>
                <c:pt idx="4">
                  <c:v>-57.423517563535952</c:v>
                </c:pt>
                <c:pt idx="5">
                  <c:v>-90.054730437248281</c:v>
                </c:pt>
                <c:pt idx="6">
                  <c:v>-44.387269772003961</c:v>
                </c:pt>
                <c:pt idx="7">
                  <c:v>-66.262862791548329</c:v>
                </c:pt>
                <c:pt idx="8">
                  <c:v>-97.836343951299114</c:v>
                </c:pt>
                <c:pt idx="9">
                  <c:v>-105.73547980887749</c:v>
                </c:pt>
                <c:pt idx="10">
                  <c:v>-92.198242154381759</c:v>
                </c:pt>
                <c:pt idx="11">
                  <c:v>-97.075073693931358</c:v>
                </c:pt>
                <c:pt idx="12">
                  <c:v>-258.8735786992911</c:v>
                </c:pt>
                <c:pt idx="13">
                  <c:v>-143.26511511863467</c:v>
                </c:pt>
                <c:pt idx="14">
                  <c:v>-112.22644609422953</c:v>
                </c:pt>
                <c:pt idx="15">
                  <c:v>-96.662571566981285</c:v>
                </c:pt>
                <c:pt idx="16">
                  <c:v>-84.119321933843366</c:v>
                </c:pt>
                <c:pt idx="17">
                  <c:v>-69.505602638323339</c:v>
                </c:pt>
                <c:pt idx="18">
                  <c:v>-59.545204999400895</c:v>
                </c:pt>
                <c:pt idx="19">
                  <c:v>-59.821883308612485</c:v>
                </c:pt>
                <c:pt idx="20">
                  <c:v>-57.772283389378174</c:v>
                </c:pt>
                <c:pt idx="21">
                  <c:v>-16.083575620569313</c:v>
                </c:pt>
                <c:pt idx="22">
                  <c:v>-77.883136434764737</c:v>
                </c:pt>
                <c:pt idx="23">
                  <c:v>-52.373054235922247</c:v>
                </c:pt>
                <c:pt idx="24">
                  <c:v>-50.875497277172244</c:v>
                </c:pt>
                <c:pt idx="25">
                  <c:v>-46.741026625709374</c:v>
                </c:pt>
                <c:pt idx="26">
                  <c:v>-45.34260113126966</c:v>
                </c:pt>
                <c:pt idx="27">
                  <c:v>-43.49354704543623</c:v>
                </c:pt>
                <c:pt idx="28">
                  <c:v>-39.795427287543234</c:v>
                </c:pt>
                <c:pt idx="29">
                  <c:v>-37.990622664386635</c:v>
                </c:pt>
                <c:pt idx="30">
                  <c:v>-35.586154315022995</c:v>
                </c:pt>
                <c:pt idx="31">
                  <c:v>-41.969449237427142</c:v>
                </c:pt>
                <c:pt idx="32">
                  <c:v>-48.004946623920588</c:v>
                </c:pt>
                <c:pt idx="33">
                  <c:v>-55.769439937430136</c:v>
                </c:pt>
                <c:pt idx="34">
                  <c:v>-61.973202381040892</c:v>
                </c:pt>
                <c:pt idx="35">
                  <c:v>-67.411592610360742</c:v>
                </c:pt>
                <c:pt idx="36">
                  <c:v>-59.243369331229147</c:v>
                </c:pt>
                <c:pt idx="37">
                  <c:v>-66.158289980916919</c:v>
                </c:pt>
                <c:pt idx="38">
                  <c:v>-60.297047400607646</c:v>
                </c:pt>
                <c:pt idx="39">
                  <c:v>-74.245839676632087</c:v>
                </c:pt>
                <c:pt idx="40">
                  <c:v>-76.35878298672678</c:v>
                </c:pt>
                <c:pt idx="41">
                  <c:v>-46.296481023678446</c:v>
                </c:pt>
                <c:pt idx="42">
                  <c:v>-96.586984485595835</c:v>
                </c:pt>
                <c:pt idx="43">
                  <c:v>-66.351986773095518</c:v>
                </c:pt>
                <c:pt idx="44">
                  <c:v>-62.340670581179175</c:v>
                </c:pt>
                <c:pt idx="45">
                  <c:v>-58.359300739418565</c:v>
                </c:pt>
                <c:pt idx="46">
                  <c:v>-51.511601101298808</c:v>
                </c:pt>
                <c:pt idx="47">
                  <c:v>-44.727175025724605</c:v>
                </c:pt>
                <c:pt idx="48">
                  <c:v>-47.257476467869516</c:v>
                </c:pt>
                <c:pt idx="49">
                  <c:v>-47.884559852007641</c:v>
                </c:pt>
                <c:pt idx="50">
                  <c:v>-39.675258720399768</c:v>
                </c:pt>
                <c:pt idx="51">
                  <c:v>-36.720121110650439</c:v>
                </c:pt>
                <c:pt idx="52">
                  <c:v>-41.607318792372169</c:v>
                </c:pt>
                <c:pt idx="53">
                  <c:v>-41.74746768623114</c:v>
                </c:pt>
                <c:pt idx="54">
                  <c:v>-42.052425255783092</c:v>
                </c:pt>
                <c:pt idx="55">
                  <c:v>-41.175363839143316</c:v>
                </c:pt>
                <c:pt idx="56">
                  <c:v>-40.020057102562397</c:v>
                </c:pt>
                <c:pt idx="57">
                  <c:v>-37.30285591470318</c:v>
                </c:pt>
                <c:pt idx="58">
                  <c:v>-35.680793857612478</c:v>
                </c:pt>
                <c:pt idx="59">
                  <c:v>-41.671544783744231</c:v>
                </c:pt>
                <c:pt idx="60">
                  <c:v>-43.532048497534014</c:v>
                </c:pt>
                <c:pt idx="61">
                  <c:v>-44.063735975634856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95-4705-96E2-C97BD8FC7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05912"/>
        <c:axId val="192010224"/>
      </c:scatterChart>
      <c:scatterChart>
        <c:scatterStyle val="smoothMarker"/>
        <c:varyColors val="0"/>
        <c:ser>
          <c:idx val="1"/>
          <c:order val="1"/>
          <c:tx>
            <c:strRef>
              <c:f>ferment.!$AK$7</c:f>
              <c:strCache>
                <c:ptCount val="1"/>
                <c:pt idx="0">
                  <c:v>CSPR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ferment.!$E$10:$E$71</c:f>
              <c:numCache>
                <c:formatCode>0.00</c:formatCode>
                <c:ptCount val="62"/>
                <c:pt idx="0">
                  <c:v>1.9513888888905058</c:v>
                </c:pt>
                <c:pt idx="1">
                  <c:v>2.8993055555547471</c:v>
                </c:pt>
                <c:pt idx="2">
                  <c:v>3.8958333333357587</c:v>
                </c:pt>
                <c:pt idx="3">
                  <c:v>5.03125</c:v>
                </c:pt>
                <c:pt idx="4">
                  <c:v>6.21875</c:v>
                </c:pt>
                <c:pt idx="5">
                  <c:v>6.9652777777810115</c:v>
                </c:pt>
                <c:pt idx="6">
                  <c:v>7.9909722222218988</c:v>
                </c:pt>
                <c:pt idx="7">
                  <c:v>8.9166666666642413</c:v>
                </c:pt>
                <c:pt idx="8">
                  <c:v>9.9097222222189885</c:v>
                </c:pt>
                <c:pt idx="9">
                  <c:v>10.895833333335759</c:v>
                </c:pt>
                <c:pt idx="10">
                  <c:v>12.208333333335759</c:v>
                </c:pt>
                <c:pt idx="11">
                  <c:v>13.017361111109494</c:v>
                </c:pt>
                <c:pt idx="12">
                  <c:v>15.048611111109494</c:v>
                </c:pt>
                <c:pt idx="13">
                  <c:v>15.9375</c:v>
                </c:pt>
                <c:pt idx="14">
                  <c:v>16.899305555554747</c:v>
                </c:pt>
                <c:pt idx="15">
                  <c:v>19.0625</c:v>
                </c:pt>
                <c:pt idx="16">
                  <c:v>19.979166666664241</c:v>
                </c:pt>
                <c:pt idx="17">
                  <c:v>21.225694444445253</c:v>
                </c:pt>
                <c:pt idx="18">
                  <c:v>22.145833333335759</c:v>
                </c:pt>
                <c:pt idx="19">
                  <c:v>23.020833333335759</c:v>
                </c:pt>
                <c:pt idx="20">
                  <c:v>23.90625</c:v>
                </c:pt>
                <c:pt idx="21">
                  <c:v>24.930555555554747</c:v>
                </c:pt>
                <c:pt idx="22">
                  <c:v>26.243055555554747</c:v>
                </c:pt>
                <c:pt idx="23">
                  <c:v>27.03125</c:v>
                </c:pt>
                <c:pt idx="24">
                  <c:v>28.145833333335759</c:v>
                </c:pt>
                <c:pt idx="25">
                  <c:v>29.201388888890506</c:v>
                </c:pt>
                <c:pt idx="26">
                  <c:v>30.041666666664241</c:v>
                </c:pt>
                <c:pt idx="27">
                  <c:v>33.152777777781012</c:v>
                </c:pt>
                <c:pt idx="28">
                  <c:v>35.194444444445253</c:v>
                </c:pt>
                <c:pt idx="29">
                  <c:v>36.274305555554747</c:v>
                </c:pt>
                <c:pt idx="30">
                  <c:v>37.902777777781012</c:v>
                </c:pt>
                <c:pt idx="31">
                  <c:v>38.902777777781012</c:v>
                </c:pt>
                <c:pt idx="32">
                  <c:v>41.1875</c:v>
                </c:pt>
                <c:pt idx="33">
                  <c:v>43.263888888890506</c:v>
                </c:pt>
                <c:pt idx="34">
                  <c:v>43.951388888890506</c:v>
                </c:pt>
                <c:pt idx="35">
                  <c:v>44.902777777781012</c:v>
                </c:pt>
                <c:pt idx="36">
                  <c:v>47.173611111109494</c:v>
                </c:pt>
                <c:pt idx="37">
                  <c:v>47.944444444445253</c:v>
                </c:pt>
                <c:pt idx="38">
                  <c:v>48.989583333335759</c:v>
                </c:pt>
                <c:pt idx="39">
                  <c:v>51.225694444445253</c:v>
                </c:pt>
                <c:pt idx="40">
                  <c:v>54.138888888890506</c:v>
                </c:pt>
                <c:pt idx="41">
                  <c:v>55.180555555554747</c:v>
                </c:pt>
                <c:pt idx="42">
                  <c:v>56.048611111109494</c:v>
                </c:pt>
                <c:pt idx="43">
                  <c:v>57.979166666664241</c:v>
                </c:pt>
                <c:pt idx="44">
                  <c:v>59.003472222218988</c:v>
                </c:pt>
                <c:pt idx="45">
                  <c:v>61.961805555554747</c:v>
                </c:pt>
                <c:pt idx="46">
                  <c:v>62.975694444445253</c:v>
                </c:pt>
                <c:pt idx="47">
                  <c:v>64.034722222218988</c:v>
                </c:pt>
                <c:pt idx="48">
                  <c:v>65.034722222218988</c:v>
                </c:pt>
                <c:pt idx="49">
                  <c:v>67.96875</c:v>
                </c:pt>
                <c:pt idx="50">
                  <c:v>69.048611111109494</c:v>
                </c:pt>
                <c:pt idx="51">
                  <c:v>70.1875</c:v>
                </c:pt>
                <c:pt idx="52">
                  <c:v>71.21875</c:v>
                </c:pt>
                <c:pt idx="53">
                  <c:v>71.951388888890506</c:v>
                </c:pt>
                <c:pt idx="54">
                  <c:v>72.899305555554747</c:v>
                </c:pt>
                <c:pt idx="55">
                  <c:v>77.201388888890506</c:v>
                </c:pt>
                <c:pt idx="56">
                  <c:v>78.201388888890506</c:v>
                </c:pt>
                <c:pt idx="57">
                  <c:v>78.972222222218988</c:v>
                </c:pt>
                <c:pt idx="58">
                  <c:v>81.979166666664241</c:v>
                </c:pt>
                <c:pt idx="59">
                  <c:v>83.197916666664241</c:v>
                </c:pt>
                <c:pt idx="60">
                  <c:v>84.215277777781012</c:v>
                </c:pt>
                <c:pt idx="61">
                  <c:v>85.267361111109494</c:v>
                </c:pt>
              </c:numCache>
            </c:numRef>
          </c:xVal>
          <c:yVal>
            <c:numRef>
              <c:f>ferment.!$AK$10:$AK$71</c:f>
              <c:numCache>
                <c:formatCode>0.000</c:formatCode>
                <c:ptCount val="62"/>
                <c:pt idx="0">
                  <c:v>0.52974732003220903</c:v>
                </c:pt>
                <c:pt idx="1">
                  <c:v>0.10051014285495094</c:v>
                </c:pt>
                <c:pt idx="2">
                  <c:v>0.13502541316326097</c:v>
                </c:pt>
                <c:pt idx="3">
                  <c:v>0.16425766291364302</c:v>
                </c:pt>
                <c:pt idx="4">
                  <c:v>0.16651798988997915</c:v>
                </c:pt>
                <c:pt idx="5">
                  <c:v>0.19811096118653776</c:v>
                </c:pt>
                <c:pt idx="6">
                  <c:v>0.16460931759387357</c:v>
                </c:pt>
                <c:pt idx="7">
                  <c:v>0.15840647913595721</c:v>
                </c:pt>
                <c:pt idx="8">
                  <c:v>0.15734265734278549</c:v>
                </c:pt>
                <c:pt idx="9">
                  <c:v>0.14216137949108879</c:v>
                </c:pt>
                <c:pt idx="10">
                  <c:v>0.15264642442342782</c:v>
                </c:pt>
                <c:pt idx="11">
                  <c:v>0.1687885454619463</c:v>
                </c:pt>
                <c:pt idx="12">
                  <c:v>0.12111943722281697</c:v>
                </c:pt>
                <c:pt idx="13">
                  <c:v>0.10719147005425138</c:v>
                </c:pt>
                <c:pt idx="14">
                  <c:v>9.1739222764995354E-2</c:v>
                </c:pt>
                <c:pt idx="15">
                  <c:v>7.7937260505264117E-2</c:v>
                </c:pt>
                <c:pt idx="16">
                  <c:v>6.4171122994822194E-2</c:v>
                </c:pt>
                <c:pt idx="17">
                  <c:v>5.5364279658674E-2</c:v>
                </c:pt>
                <c:pt idx="18">
                  <c:v>6.4079743680912682E-2</c:v>
                </c:pt>
                <c:pt idx="19">
                  <c:v>5.7971014492753561E-2</c:v>
                </c:pt>
                <c:pt idx="20">
                  <c:v>5.770717045958295E-2</c:v>
                </c:pt>
                <c:pt idx="21">
                  <c:v>5.1896842306143158E-2</c:v>
                </c:pt>
                <c:pt idx="22">
                  <c:v>5.3547523427041534E-2</c:v>
                </c:pt>
                <c:pt idx="23">
                  <c:v>4.9798889101653469E-2</c:v>
                </c:pt>
                <c:pt idx="24">
                  <c:v>4.5723478794578908E-2</c:v>
                </c:pt>
                <c:pt idx="25">
                  <c:v>4.5962509012291757E-2</c:v>
                </c:pt>
                <c:pt idx="26">
                  <c:v>4.3926957354457029E-2</c:v>
                </c:pt>
                <c:pt idx="27">
                  <c:v>4.017857142849833E-2</c:v>
                </c:pt>
                <c:pt idx="28">
                  <c:v>3.6337255149398145E-2</c:v>
                </c:pt>
                <c:pt idx="29">
                  <c:v>3.7535691318384079E-2</c:v>
                </c:pt>
                <c:pt idx="30">
                  <c:v>4.7173237733345648E-2</c:v>
                </c:pt>
                <c:pt idx="31">
                  <c:v>5.0724637681159368E-2</c:v>
                </c:pt>
                <c:pt idx="32">
                  <c:v>6.3896345927807616E-2</c:v>
                </c:pt>
                <c:pt idx="33">
                  <c:v>6.2406412796852724E-2</c:v>
                </c:pt>
                <c:pt idx="34">
                  <c:v>6.8438462415877727E-2</c:v>
                </c:pt>
                <c:pt idx="35">
                  <c:v>6.3260340632495748E-2</c:v>
                </c:pt>
                <c:pt idx="36">
                  <c:v>6.6137718019224814E-2</c:v>
                </c:pt>
                <c:pt idx="37">
                  <c:v>6.355524170230982E-2</c:v>
                </c:pt>
                <c:pt idx="38">
                  <c:v>7.8351544946396304E-2</c:v>
                </c:pt>
                <c:pt idx="39">
                  <c:v>7.7849994593806551E-2</c:v>
                </c:pt>
                <c:pt idx="40">
                  <c:v>6.6012652425029864E-2</c:v>
                </c:pt>
                <c:pt idx="41">
                  <c:v>7.1227651966792635E-2</c:v>
                </c:pt>
                <c:pt idx="42">
                  <c:v>6.3404162103016498E-2</c:v>
                </c:pt>
                <c:pt idx="43">
                  <c:v>5.9450403394451325E-2</c:v>
                </c:pt>
                <c:pt idx="44">
                  <c:v>5.6643720715032465E-2</c:v>
                </c:pt>
                <c:pt idx="45">
                  <c:v>5.0023060275972787E-2</c:v>
                </c:pt>
                <c:pt idx="46">
                  <c:v>4.2836107268683865E-2</c:v>
                </c:pt>
                <c:pt idx="47">
                  <c:v>5.3723089077826663E-2</c:v>
                </c:pt>
                <c:pt idx="48">
                  <c:v>4.2872454448017377E-2</c:v>
                </c:pt>
                <c:pt idx="49">
                  <c:v>3.7149663523248978E-2</c:v>
                </c:pt>
                <c:pt idx="50">
                  <c:v>3.7506588167095053E-2</c:v>
                </c:pt>
                <c:pt idx="51">
                  <c:v>4.5802390017653058E-2</c:v>
                </c:pt>
                <c:pt idx="52">
                  <c:v>4.0404040404040262E-2</c:v>
                </c:pt>
                <c:pt idx="53">
                  <c:v>4.1983459294416874E-2</c:v>
                </c:pt>
                <c:pt idx="54">
                  <c:v>4.3125479172101133E-2</c:v>
                </c:pt>
                <c:pt idx="55">
                  <c:v>3.7264732621021819E-2</c:v>
                </c:pt>
                <c:pt idx="56">
                  <c:v>3.7313432835821093E-2</c:v>
                </c:pt>
                <c:pt idx="57">
                  <c:v>3.6237354673336983E-2</c:v>
                </c:pt>
                <c:pt idx="58">
                  <c:v>4.3003902205929277E-2</c:v>
                </c:pt>
                <c:pt idx="59">
                  <c:v>4.3785451288685495E-2</c:v>
                </c:pt>
                <c:pt idx="60">
                  <c:v>4.5257928285488094E-2</c:v>
                </c:pt>
                <c:pt idx="61">
                  <c:v>4.1044104410629785E-2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95-4705-96E2-C97BD8FC7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18368"/>
        <c:axId val="304285504"/>
      </c:scatterChart>
      <c:valAx>
        <c:axId val="19200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010224"/>
        <c:crosses val="autoZero"/>
        <c:crossBetween val="midCat"/>
      </c:valAx>
      <c:valAx>
        <c:axId val="192010224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005912"/>
        <c:crosses val="autoZero"/>
        <c:crossBetween val="midCat"/>
      </c:valAx>
      <c:valAx>
        <c:axId val="304285504"/>
        <c:scaling>
          <c:orientation val="minMax"/>
          <c:max val="0.4"/>
        </c:scaling>
        <c:delete val="0"/>
        <c:axPos val="r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718368"/>
        <c:crosses val="max"/>
        <c:crossBetween val="midCat"/>
      </c:valAx>
      <c:valAx>
        <c:axId val="12571836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428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Graficcos!$AG$6</c:f>
              <c:strCache>
                <c:ptCount val="1"/>
                <c:pt idx="0">
                  <c:v>Gluc(mM)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Graficcos!$AH$5:$AL$5</c:f>
              <c:strCache>
                <c:ptCount val="5"/>
                <c:pt idx="0">
                  <c:v>SS3</c:v>
                </c:pt>
                <c:pt idx="1">
                  <c:v>SS2</c:v>
                </c:pt>
                <c:pt idx="2">
                  <c:v>SS4</c:v>
                </c:pt>
                <c:pt idx="3">
                  <c:v>SS1</c:v>
                </c:pt>
                <c:pt idx="4">
                  <c:v>SS5</c:v>
                </c:pt>
              </c:strCache>
            </c:strRef>
          </c:cat>
          <c:val>
            <c:numRef>
              <c:f>Graficcos!$AH$6:$AL$6</c:f>
              <c:numCache>
                <c:formatCode>0.00</c:formatCode>
                <c:ptCount val="5"/>
                <c:pt idx="0">
                  <c:v>0.37251909876240163</c:v>
                </c:pt>
                <c:pt idx="1">
                  <c:v>0.21402380013365632</c:v>
                </c:pt>
                <c:pt idx="2">
                  <c:v>0.14695820161734938</c:v>
                </c:pt>
                <c:pt idx="3">
                  <c:v>12.338725747213305</c:v>
                </c:pt>
                <c:pt idx="4">
                  <c:v>0.23275744698297254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6-4454-A252-DAD34B5E415E}"/>
            </c:ext>
          </c:extLst>
        </c:ser>
        <c:ser>
          <c:idx val="1"/>
          <c:order val="1"/>
          <c:tx>
            <c:strRef>
              <c:f>Graficcos!$AG$7</c:f>
              <c:strCache>
                <c:ptCount val="1"/>
                <c:pt idx="0">
                  <c:v>Lact(mM)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cust"/>
            <c:noEndCap val="0"/>
            <c:plus>
              <c:numRef>
                <c:f>(ferment.!$CY$42,ferment.!$CY$31,ferment.!$CY$58,ferment.!$CY$12,ferment.!$CY$68)</c:f>
                <c:numCache>
                  <c:formatCode>General</c:formatCode>
                  <c:ptCount val="5"/>
                  <c:pt idx="0">
                    <c:v>4.2268398203684461</c:v>
                  </c:pt>
                  <c:pt idx="1">
                    <c:v>3.8414152090424629</c:v>
                  </c:pt>
                  <c:pt idx="2">
                    <c:v>2.5685402882367336</c:v>
                  </c:pt>
                  <c:pt idx="3">
                    <c:v>4.8189810672092968</c:v>
                  </c:pt>
                  <c:pt idx="4">
                    <c:v>1.4088168796578617</c:v>
                  </c:pt>
                </c:numCache>
              </c:numRef>
            </c:plus>
            <c:minus>
              <c:numRef>
                <c:f>(ferment.!$CY$42,ferment.!$CY$31,ferment.!$CY$58,ferment.!$CY$12,ferment.!$CY$68)</c:f>
                <c:numCache>
                  <c:formatCode>General</c:formatCode>
                  <c:ptCount val="5"/>
                  <c:pt idx="0">
                    <c:v>4.2268398203684461</c:v>
                  </c:pt>
                  <c:pt idx="1">
                    <c:v>3.8414152090424629</c:v>
                  </c:pt>
                  <c:pt idx="2">
                    <c:v>2.5685402882367336</c:v>
                  </c:pt>
                  <c:pt idx="3">
                    <c:v>4.8189810672092968</c:v>
                  </c:pt>
                  <c:pt idx="4">
                    <c:v>1.4088168796578617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Graficcos!$AH$5:$AL$5</c:f>
              <c:strCache>
                <c:ptCount val="5"/>
                <c:pt idx="0">
                  <c:v>SS3</c:v>
                </c:pt>
                <c:pt idx="1">
                  <c:v>SS2</c:v>
                </c:pt>
                <c:pt idx="2">
                  <c:v>SS4</c:v>
                </c:pt>
                <c:pt idx="3">
                  <c:v>SS1</c:v>
                </c:pt>
                <c:pt idx="4">
                  <c:v>SS5</c:v>
                </c:pt>
              </c:strCache>
            </c:strRef>
          </c:cat>
          <c:val>
            <c:numRef>
              <c:f>Graficcos!$AH$7:$AL$7</c:f>
              <c:numCache>
                <c:formatCode>0.00</c:formatCode>
                <c:ptCount val="5"/>
                <c:pt idx="0">
                  <c:v>29.623815645476579</c:v>
                </c:pt>
                <c:pt idx="1">
                  <c:v>27.68389049839147</c:v>
                </c:pt>
                <c:pt idx="2">
                  <c:v>25.875889355320226</c:v>
                </c:pt>
                <c:pt idx="3">
                  <c:v>28.062334037784694</c:v>
                </c:pt>
                <c:pt idx="4">
                  <c:v>23.058627821353745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66-4454-A252-DAD34B5E4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002640"/>
        <c:axId val="562068112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Graficcos!$AG$9</c15:sqref>
                        </c15:formulaRef>
                      </c:ext>
                    </c:extLst>
                    <c:strCache>
                      <c:ptCount val="1"/>
                      <c:pt idx="0">
                        <c:v>q(Gluc)(nmol/e6cel/h)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hade val="51000"/>
                          <a:satMod val="130000"/>
                        </a:schemeClr>
                      </a:gs>
                      <a:gs pos="80000">
                        <a:schemeClr val="accent4">
                          <a:shade val="93000"/>
                          <a:satMod val="130000"/>
                        </a:schemeClr>
                      </a:gs>
                      <a:gs pos="100000">
                        <a:schemeClr val="accent4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Graficcos!$AH$5:$AL$5</c15:sqref>
                        </c15:formulaRef>
                      </c:ext>
                    </c:extLst>
                    <c:strCache>
                      <c:ptCount val="5"/>
                      <c:pt idx="0">
                        <c:v>SS3</c:v>
                      </c:pt>
                      <c:pt idx="1">
                        <c:v>SS2</c:v>
                      </c:pt>
                      <c:pt idx="2">
                        <c:v>SS4</c:v>
                      </c:pt>
                      <c:pt idx="3">
                        <c:v>SS1</c:v>
                      </c:pt>
                      <c:pt idx="4">
                        <c:v>SS5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Graficcos!$AH$9:$AL$9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-58.18470366024637</c:v>
                      </c:pt>
                      <c:pt idx="1">
                        <c:v>-48.427707304251562</c:v>
                      </c:pt>
                      <c:pt idx="2">
                        <c:v>-40.128980255389287</c:v>
                      </c:pt>
                      <c:pt idx="3">
                        <c:v>-85.596868387688829</c:v>
                      </c:pt>
                      <c:pt idx="4">
                        <c:v>-42.056110479229908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966-4454-A252-DAD34B5E415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Graficcos!$AG$11</c15:sqref>
                        </c15:formulaRef>
                      </c:ext>
                    </c:extLst>
                    <c:strCache>
                      <c:ptCount val="1"/>
                      <c:pt idx="0">
                        <c:v>q(Lact)(nmol/e6cel/h)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hade val="51000"/>
                          <a:satMod val="130000"/>
                        </a:schemeClr>
                      </a:gs>
                      <a:gs pos="80000">
                        <a:schemeClr val="accent5">
                          <a:shade val="93000"/>
                          <a:satMod val="130000"/>
                        </a:schemeClr>
                      </a:gs>
                      <a:gs pos="100000">
                        <a:schemeClr val="accent5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Graficcos!$AH$5:$AL$5</c15:sqref>
                        </c15:formulaRef>
                      </c:ext>
                    </c:extLst>
                    <c:strCache>
                      <c:ptCount val="5"/>
                      <c:pt idx="0">
                        <c:v>SS3</c:v>
                      </c:pt>
                      <c:pt idx="1">
                        <c:v>SS2</c:v>
                      </c:pt>
                      <c:pt idx="2">
                        <c:v>SS4</c:v>
                      </c:pt>
                      <c:pt idx="3">
                        <c:v>SS1</c:v>
                      </c:pt>
                      <c:pt idx="4">
                        <c:v>SS5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Graficcos!$AH$11:$AL$11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81.28717483433843</c:v>
                      </c:pt>
                      <c:pt idx="1">
                        <c:v>46.947521979220689</c:v>
                      </c:pt>
                      <c:pt idx="2">
                        <c:v>42.263194298100274</c:v>
                      </c:pt>
                      <c:pt idx="3">
                        <c:v>186.41569523031941</c:v>
                      </c:pt>
                      <c:pt idx="4">
                        <c:v>42.021841858237501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966-4454-A252-DAD34B5E415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Graficcos!$AG$8</c:f>
              <c:strCache>
                <c:ptCount val="1"/>
                <c:pt idx="0">
                  <c:v>YLact/Gluc 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Graficcos!$AH$20:$AL$20</c:f>
                <c:numCache>
                  <c:formatCode>General</c:formatCode>
                  <c:ptCount val="5"/>
                  <c:pt idx="0">
                    <c:v>0.1730484388626006</c:v>
                  </c:pt>
                  <c:pt idx="1">
                    <c:v>0.16157986673141189</c:v>
                  </c:pt>
                  <c:pt idx="2">
                    <c:v>0.10801961405643701</c:v>
                  </c:pt>
                  <c:pt idx="3">
                    <c:v>0.55575873498554718</c:v>
                  </c:pt>
                  <c:pt idx="4">
                    <c:v>6.034774350209534E-2</c:v>
                  </c:pt>
                </c:numCache>
              </c:numRef>
            </c:plus>
            <c:minus>
              <c:numRef>
                <c:f>Graficcos!$AH$20:$AL$20</c:f>
                <c:numCache>
                  <c:formatCode>General</c:formatCode>
                  <c:ptCount val="5"/>
                  <c:pt idx="0">
                    <c:v>0.1730484388626006</c:v>
                  </c:pt>
                  <c:pt idx="1">
                    <c:v>0.16157986673141189</c:v>
                  </c:pt>
                  <c:pt idx="2">
                    <c:v>0.10801961405643701</c:v>
                  </c:pt>
                  <c:pt idx="3">
                    <c:v>0.55575873498554718</c:v>
                  </c:pt>
                  <c:pt idx="4">
                    <c:v>6.034774350209534E-2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Graficcos!$AH$5:$AL$5</c:f>
              <c:strCache>
                <c:ptCount val="5"/>
                <c:pt idx="0">
                  <c:v>SS3</c:v>
                </c:pt>
                <c:pt idx="1">
                  <c:v>SS2</c:v>
                </c:pt>
                <c:pt idx="2">
                  <c:v>SS4</c:v>
                </c:pt>
                <c:pt idx="3">
                  <c:v>SS1</c:v>
                </c:pt>
                <c:pt idx="4">
                  <c:v>SS5</c:v>
                </c:pt>
              </c:strCache>
            </c:strRef>
          </c:cat>
          <c:val>
            <c:numRef>
              <c:f>Graficcos!$AH$8:$AL$8</c:f>
              <c:numCache>
                <c:formatCode>0.00</c:formatCode>
                <c:ptCount val="5"/>
                <c:pt idx="0">
                  <c:v>1.2531218358646432</c:v>
                </c:pt>
                <c:pt idx="1">
                  <c:v>1.1623912515255903</c:v>
                </c:pt>
                <c:pt idx="2">
                  <c:v>1.084832524437878</c:v>
                </c:pt>
                <c:pt idx="3">
                  <c:v>2.1567440708952379</c:v>
                </c:pt>
                <c:pt idx="4">
                  <c:v>0.97024294402203082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6-4454-A252-DAD34B5E4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067768"/>
        <c:axId val="582064488"/>
      </c:lineChart>
      <c:catAx>
        <c:axId val="49900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2068112"/>
        <c:crosses val="autoZero"/>
        <c:auto val="1"/>
        <c:lblAlgn val="ctr"/>
        <c:lblOffset val="100"/>
        <c:noMultiLvlLbl val="0"/>
      </c:catAx>
      <c:valAx>
        <c:axId val="5620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Concentración Gluc y Lact </a:t>
                </a:r>
              </a:p>
              <a:p>
                <a:pPr>
                  <a:defRPr sz="1400"/>
                </a:pPr>
                <a:r>
                  <a:rPr lang="en-US" sz="1400"/>
                  <a:t>(mmol/L)</a:t>
                </a:r>
              </a:p>
            </c:rich>
          </c:tx>
          <c:layout>
            <c:manualLayout>
              <c:xMode val="edge"/>
              <c:yMode val="edge"/>
              <c:x val="6.3800277392510402E-2"/>
              <c:y val="0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9002640"/>
        <c:crosses val="autoZero"/>
        <c:crossBetween val="between"/>
      </c:valAx>
      <c:valAx>
        <c:axId val="5820644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Rendimiento observado</a:t>
                </a:r>
              </a:p>
              <a:p>
                <a:pPr>
                  <a:defRPr sz="1400"/>
                </a:pPr>
                <a:r>
                  <a:rPr lang="en-US" sz="1400"/>
                  <a:t>ΔLact/ΔGluc (mol/mol)</a:t>
                </a:r>
              </a:p>
            </c:rich>
          </c:tx>
          <c:layout>
            <c:manualLayout>
              <c:xMode val="edge"/>
              <c:yMode val="edge"/>
              <c:x val="0.88022191400832173"/>
              <c:y val="3.870713987490285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067768"/>
        <c:crosses val="max"/>
        <c:crossBetween val="between"/>
      </c:valAx>
      <c:catAx>
        <c:axId val="582067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206448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22993583901365"/>
          <c:y val="0.10017896177963345"/>
          <c:w val="0.62076912134680184"/>
          <c:h val="0.64273570990946027"/>
        </c:manualLayout>
      </c:layout>
      <c:barChart>
        <c:barDir val="col"/>
        <c:grouping val="clustered"/>
        <c:varyColors val="0"/>
        <c:ser>
          <c:idx val="3"/>
          <c:order val="3"/>
          <c:tx>
            <c:v>qGluc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cust"/>
            <c:noEndCap val="0"/>
            <c:plus>
              <c:numRef>
                <c:f>Graficcos!$AH$21:$AL$21</c:f>
                <c:numCache>
                  <c:formatCode>General</c:formatCode>
                  <c:ptCount val="5"/>
                  <c:pt idx="0">
                    <c:v>6.9624662294485038</c:v>
                  </c:pt>
                  <c:pt idx="1">
                    <c:v>6.8725039208289616</c:v>
                  </c:pt>
                  <c:pt idx="2">
                    <c:v>4.5127928244726618</c:v>
                  </c:pt>
                  <c:pt idx="3">
                    <c:v>15.235567270210286</c:v>
                  </c:pt>
                  <c:pt idx="4">
                    <c:v>1.2904589176027552</c:v>
                  </c:pt>
                </c:numCache>
              </c:numRef>
            </c:plus>
            <c:minus>
              <c:numRef>
                <c:f>Graficcos!$AH$21:$AL$21</c:f>
                <c:numCache>
                  <c:formatCode>General</c:formatCode>
                  <c:ptCount val="5"/>
                  <c:pt idx="0">
                    <c:v>6.9624662294485038</c:v>
                  </c:pt>
                  <c:pt idx="1">
                    <c:v>6.8725039208289616</c:v>
                  </c:pt>
                  <c:pt idx="2">
                    <c:v>4.5127928244726618</c:v>
                  </c:pt>
                  <c:pt idx="3">
                    <c:v>15.235567270210286</c:v>
                  </c:pt>
                  <c:pt idx="4">
                    <c:v>1.2904589176027552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Graficcos!$AH$5:$AL$5</c:f>
              <c:strCache>
                <c:ptCount val="5"/>
                <c:pt idx="0">
                  <c:v>SS3</c:v>
                </c:pt>
                <c:pt idx="1">
                  <c:v>SS2</c:v>
                </c:pt>
                <c:pt idx="2">
                  <c:v>SS4</c:v>
                </c:pt>
                <c:pt idx="3">
                  <c:v>SS1</c:v>
                </c:pt>
                <c:pt idx="4">
                  <c:v>SS5</c:v>
                </c:pt>
              </c:strCache>
            </c:strRef>
          </c:cat>
          <c:val>
            <c:numRef>
              <c:f>Graficcos!$AH$9:$AL$9</c:f>
              <c:numCache>
                <c:formatCode>0.00</c:formatCode>
                <c:ptCount val="5"/>
                <c:pt idx="0">
                  <c:v>-58.18470366024637</c:v>
                </c:pt>
                <c:pt idx="1">
                  <c:v>-48.427707304251562</c:v>
                </c:pt>
                <c:pt idx="2">
                  <c:v>-40.128980255389287</c:v>
                </c:pt>
                <c:pt idx="3">
                  <c:v>-85.596868387688829</c:v>
                </c:pt>
                <c:pt idx="4">
                  <c:v>-42.056110479229908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9-41C8-8222-8A14885DFE24}"/>
            </c:ext>
          </c:extLst>
        </c:ser>
        <c:ser>
          <c:idx val="4"/>
          <c:order val="4"/>
          <c:tx>
            <c:v>qLact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cust"/>
            <c:noEndCap val="0"/>
            <c:plus>
              <c:numRef>
                <c:f>Graficcos!$AH$22:$AL$22</c:f>
                <c:numCache>
                  <c:formatCode>General</c:formatCode>
                  <c:ptCount val="5"/>
                  <c:pt idx="0">
                    <c:v>15.287810406340947</c:v>
                  </c:pt>
                  <c:pt idx="1">
                    <c:v>7.4009733890400557</c:v>
                  </c:pt>
                  <c:pt idx="2">
                    <c:v>6.5652455344164729</c:v>
                  </c:pt>
                  <c:pt idx="3">
                    <c:v>20.090822942050892</c:v>
                  </c:pt>
                  <c:pt idx="4">
                    <c:v>9.146914383072243</c:v>
                  </c:pt>
                </c:numCache>
              </c:numRef>
            </c:plus>
            <c:minus>
              <c:numRef>
                <c:f>Graficcos!$AH$22:$AL$22</c:f>
                <c:numCache>
                  <c:formatCode>General</c:formatCode>
                  <c:ptCount val="5"/>
                  <c:pt idx="0">
                    <c:v>15.287810406340947</c:v>
                  </c:pt>
                  <c:pt idx="1">
                    <c:v>7.4009733890400557</c:v>
                  </c:pt>
                  <c:pt idx="2">
                    <c:v>6.5652455344164729</c:v>
                  </c:pt>
                  <c:pt idx="3">
                    <c:v>20.090822942050892</c:v>
                  </c:pt>
                  <c:pt idx="4">
                    <c:v>9.146914383072243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Graficcos!$AH$5:$AL$5</c:f>
              <c:strCache>
                <c:ptCount val="5"/>
                <c:pt idx="0">
                  <c:v>SS3</c:v>
                </c:pt>
                <c:pt idx="1">
                  <c:v>SS2</c:v>
                </c:pt>
                <c:pt idx="2">
                  <c:v>SS4</c:v>
                </c:pt>
                <c:pt idx="3">
                  <c:v>SS1</c:v>
                </c:pt>
                <c:pt idx="4">
                  <c:v>SS5</c:v>
                </c:pt>
              </c:strCache>
            </c:strRef>
          </c:cat>
          <c:val>
            <c:numRef>
              <c:f>Graficcos!$AH$11:$AL$11</c:f>
              <c:numCache>
                <c:formatCode>0.00</c:formatCode>
                <c:ptCount val="5"/>
                <c:pt idx="0">
                  <c:v>81.28717483433843</c:v>
                </c:pt>
                <c:pt idx="1">
                  <c:v>46.947521979220689</c:v>
                </c:pt>
                <c:pt idx="2">
                  <c:v>42.263194298100274</c:v>
                </c:pt>
                <c:pt idx="3">
                  <c:v>186.41569523031941</c:v>
                </c:pt>
                <c:pt idx="4">
                  <c:v>42.021841858237501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9-41C8-8222-8A14885DF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002640"/>
        <c:axId val="562068112"/>
      </c:barChart>
      <c:lineChart>
        <c:grouping val="standard"/>
        <c:varyColors val="0"/>
        <c:ser>
          <c:idx val="5"/>
          <c:order val="5"/>
          <c:tx>
            <c:v>qGLN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4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Graficcos!$AH$23:$AL$23</c:f>
                <c:numCache>
                  <c:formatCode>General</c:formatCode>
                  <c:ptCount val="5"/>
                  <c:pt idx="0">
                    <c:v>0.57634093719822344</c:v>
                  </c:pt>
                  <c:pt idx="1">
                    <c:v>1.1206945334115055</c:v>
                  </c:pt>
                  <c:pt idx="2">
                    <c:v>0.861378708133546</c:v>
                  </c:pt>
                  <c:pt idx="3">
                    <c:v>1.7495690848482106</c:v>
                  </c:pt>
                  <c:pt idx="4">
                    <c:v>0.54980447347091888</c:v>
                  </c:pt>
                </c:numCache>
              </c:numRef>
            </c:plus>
            <c:minus>
              <c:numRef>
                <c:f>Graficcos!$AH$23:$AL$23</c:f>
                <c:numCache>
                  <c:formatCode>General</c:formatCode>
                  <c:ptCount val="5"/>
                  <c:pt idx="0">
                    <c:v>0.57634093719822344</c:v>
                  </c:pt>
                  <c:pt idx="1">
                    <c:v>1.1206945334115055</c:v>
                  </c:pt>
                  <c:pt idx="2">
                    <c:v>0.861378708133546</c:v>
                  </c:pt>
                  <c:pt idx="3">
                    <c:v>1.7495690848482106</c:v>
                  </c:pt>
                  <c:pt idx="4">
                    <c:v>0.54980447347091888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Graficcos!$AH$5:$AL$5</c:f>
              <c:strCache>
                <c:ptCount val="5"/>
                <c:pt idx="0">
                  <c:v>SS3</c:v>
                </c:pt>
                <c:pt idx="1">
                  <c:v>SS2</c:v>
                </c:pt>
                <c:pt idx="2">
                  <c:v>SS4</c:v>
                </c:pt>
                <c:pt idx="3">
                  <c:v>SS1</c:v>
                </c:pt>
                <c:pt idx="4">
                  <c:v>SS5</c:v>
                </c:pt>
              </c:strCache>
            </c:strRef>
          </c:cat>
          <c:val>
            <c:numRef>
              <c:f>Graficcos!$AH$10:$AL$10</c:f>
              <c:numCache>
                <c:formatCode>0.00</c:formatCode>
                <c:ptCount val="5"/>
                <c:pt idx="0">
                  <c:v>-8.8042072134960971</c:v>
                </c:pt>
                <c:pt idx="1">
                  <c:v>-9.6063340446919376</c:v>
                </c:pt>
                <c:pt idx="2">
                  <c:v>-7.8000590108083188</c:v>
                </c:pt>
                <c:pt idx="3">
                  <c:v>-20.305132794689314</c:v>
                </c:pt>
                <c:pt idx="4">
                  <c:v>-8.1496168524202961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F9-41C8-8222-8A14885DF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231872"/>
        <c:axId val="406230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Graficcos!$AG$6</c15:sqref>
                        </c15:formulaRef>
                      </c:ext>
                    </c:extLst>
                    <c:strCache>
                      <c:ptCount val="1"/>
                      <c:pt idx="0">
                        <c:v>Gluc(mM)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Graficcos!$AH$5:$AL$5</c15:sqref>
                        </c15:formulaRef>
                      </c:ext>
                    </c:extLst>
                    <c:strCache>
                      <c:ptCount val="5"/>
                      <c:pt idx="0">
                        <c:v>SS3</c:v>
                      </c:pt>
                      <c:pt idx="1">
                        <c:v>SS2</c:v>
                      </c:pt>
                      <c:pt idx="2">
                        <c:v>SS4</c:v>
                      </c:pt>
                      <c:pt idx="3">
                        <c:v>SS1</c:v>
                      </c:pt>
                      <c:pt idx="4">
                        <c:v>SS5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Graficcos!$AH$6:$AL$6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0.37251909876240163</c:v>
                      </c:pt>
                      <c:pt idx="1">
                        <c:v>0.21402380013365632</c:v>
                      </c:pt>
                      <c:pt idx="2">
                        <c:v>0.14695820161734938</c:v>
                      </c:pt>
                      <c:pt idx="3">
                        <c:v>12.338725747213305</c:v>
                      </c:pt>
                      <c:pt idx="4">
                        <c:v>0.23275744698297254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0F9-41C8-8222-8A14885DFE2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Graficcos!$AG$7</c15:sqref>
                        </c15:formulaRef>
                      </c:ext>
                    </c:extLst>
                    <c:strCache>
                      <c:ptCount val="1"/>
                      <c:pt idx="0">
                        <c:v>Lact(mM)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Graficcos!$AH$5:$AL$5</c15:sqref>
                        </c15:formulaRef>
                      </c:ext>
                    </c:extLst>
                    <c:strCache>
                      <c:ptCount val="5"/>
                      <c:pt idx="0">
                        <c:v>SS3</c:v>
                      </c:pt>
                      <c:pt idx="1">
                        <c:v>SS2</c:v>
                      </c:pt>
                      <c:pt idx="2">
                        <c:v>SS4</c:v>
                      </c:pt>
                      <c:pt idx="3">
                        <c:v>SS1</c:v>
                      </c:pt>
                      <c:pt idx="4">
                        <c:v>SS5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Graficcos!$AH$7:$AL$7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29.623815645476579</c:v>
                      </c:pt>
                      <c:pt idx="1">
                        <c:v>27.68389049839147</c:v>
                      </c:pt>
                      <c:pt idx="2">
                        <c:v>25.875889355320226</c:v>
                      </c:pt>
                      <c:pt idx="3">
                        <c:v>28.062334037784694</c:v>
                      </c:pt>
                      <c:pt idx="4">
                        <c:v>23.058627821353745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0F9-41C8-8222-8A14885DFE2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Graficcos!$AG$8</c15:sqref>
                        </c15:formulaRef>
                      </c:ext>
                    </c:extLst>
                    <c:strCache>
                      <c:ptCount val="1"/>
                      <c:pt idx="0">
                        <c:v>YLact/Gluc  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Graficcos!$AH$5:$AL$5</c15:sqref>
                        </c15:formulaRef>
                      </c:ext>
                    </c:extLst>
                    <c:strCache>
                      <c:ptCount val="5"/>
                      <c:pt idx="0">
                        <c:v>SS3</c:v>
                      </c:pt>
                      <c:pt idx="1">
                        <c:v>SS2</c:v>
                      </c:pt>
                      <c:pt idx="2">
                        <c:v>SS4</c:v>
                      </c:pt>
                      <c:pt idx="3">
                        <c:v>SS1</c:v>
                      </c:pt>
                      <c:pt idx="4">
                        <c:v>SS5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Graficcos!$AH$8:$AL$8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1.2531218358646432</c:v>
                      </c:pt>
                      <c:pt idx="1">
                        <c:v>1.1623912515255903</c:v>
                      </c:pt>
                      <c:pt idx="2">
                        <c:v>1.084832524437878</c:v>
                      </c:pt>
                      <c:pt idx="3">
                        <c:v>2.1567440708952379</c:v>
                      </c:pt>
                      <c:pt idx="4">
                        <c:v>0.97024294402203082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0F9-41C8-8222-8A14885DFE24}"/>
                  </c:ext>
                </c:extLst>
              </c15:ser>
            </c15:filteredLineSeries>
          </c:ext>
        </c:extLst>
      </c:lineChart>
      <c:catAx>
        <c:axId val="49900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2068112"/>
        <c:crosses val="autoZero"/>
        <c:auto val="1"/>
        <c:lblAlgn val="ctr"/>
        <c:lblOffset val="100"/>
        <c:noMultiLvlLbl val="0"/>
      </c:catAx>
      <c:valAx>
        <c:axId val="5620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qGluc and qLact </a:t>
                </a:r>
              </a:p>
              <a:p>
                <a:pPr>
                  <a:defRPr sz="1400"/>
                </a:pPr>
                <a:r>
                  <a:rPr lang="en-US" sz="1400"/>
                  <a:t>(nmol/e6cel/h)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9002640"/>
        <c:crosses val="autoZero"/>
        <c:crossBetween val="between"/>
        <c:majorUnit val="50"/>
      </c:valAx>
      <c:valAx>
        <c:axId val="4062305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baseline="0">
                    <a:effectLst/>
                  </a:rPr>
                  <a:t>qGLN (nmol/e6cel/h)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231872"/>
        <c:crosses val="max"/>
        <c:crossBetween val="between"/>
      </c:valAx>
      <c:catAx>
        <c:axId val="40623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23056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43066491688538"/>
          <c:y val="4.583333333333333E-2"/>
          <c:w val="0.62584951881014883"/>
          <c:h val="0.696160761154855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Graficcos!$AG$6</c:f>
              <c:strCache>
                <c:ptCount val="1"/>
                <c:pt idx="0">
                  <c:v>Gluc(mM)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Graficcos!$AH$5:$AL$5</c:f>
              <c:strCache>
                <c:ptCount val="5"/>
                <c:pt idx="0">
                  <c:v>SS3</c:v>
                </c:pt>
                <c:pt idx="1">
                  <c:v>SS2</c:v>
                </c:pt>
                <c:pt idx="2">
                  <c:v>SS4</c:v>
                </c:pt>
                <c:pt idx="3">
                  <c:v>SS1</c:v>
                </c:pt>
                <c:pt idx="4">
                  <c:v>SS5</c:v>
                </c:pt>
              </c:strCache>
            </c:strRef>
          </c:cat>
          <c:val>
            <c:numRef>
              <c:f>Graficcos!$AH$6:$AL$6</c:f>
              <c:numCache>
                <c:formatCode>0.00</c:formatCode>
                <c:ptCount val="5"/>
                <c:pt idx="0">
                  <c:v>0.37251909876240163</c:v>
                </c:pt>
                <c:pt idx="1">
                  <c:v>0.21402380013365632</c:v>
                </c:pt>
                <c:pt idx="2">
                  <c:v>0.14695820161734938</c:v>
                </c:pt>
                <c:pt idx="3">
                  <c:v>12.338725747213305</c:v>
                </c:pt>
                <c:pt idx="4">
                  <c:v>0.23275744698297254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2-4046-8E12-A47BDC95FEE7}"/>
            </c:ext>
          </c:extLst>
        </c:ser>
        <c:ser>
          <c:idx val="1"/>
          <c:order val="1"/>
          <c:tx>
            <c:strRef>
              <c:f>Graficcos!$AG$7</c:f>
              <c:strCache>
                <c:ptCount val="1"/>
                <c:pt idx="0">
                  <c:v>Lact(mM)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cust"/>
            <c:noEndCap val="0"/>
            <c:plus>
              <c:numRef>
                <c:f>Graficcos!$AH$30:$AL$30</c:f>
                <c:numCache>
                  <c:formatCode>General</c:formatCode>
                  <c:ptCount val="5"/>
                  <c:pt idx="0">
                    <c:v>4.2268398203684461</c:v>
                  </c:pt>
                  <c:pt idx="1">
                    <c:v>3.8414152090424629</c:v>
                  </c:pt>
                  <c:pt idx="2">
                    <c:v>2.5685402882367336</c:v>
                  </c:pt>
                  <c:pt idx="3">
                    <c:v>4.8189810672092968</c:v>
                  </c:pt>
                  <c:pt idx="4">
                    <c:v>1.4088168796578617</c:v>
                  </c:pt>
                </c:numCache>
              </c:numRef>
            </c:plus>
            <c:minus>
              <c:numRef>
                <c:f>Graficcos!$AH$30:$AL$30</c:f>
                <c:numCache>
                  <c:formatCode>General</c:formatCode>
                  <c:ptCount val="5"/>
                  <c:pt idx="0">
                    <c:v>4.2268398203684461</c:v>
                  </c:pt>
                  <c:pt idx="1">
                    <c:v>3.8414152090424629</c:v>
                  </c:pt>
                  <c:pt idx="2">
                    <c:v>2.5685402882367336</c:v>
                  </c:pt>
                  <c:pt idx="3">
                    <c:v>4.8189810672092968</c:v>
                  </c:pt>
                  <c:pt idx="4">
                    <c:v>1.4088168796578617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Graficcos!$AH$5:$AL$5</c:f>
              <c:strCache>
                <c:ptCount val="5"/>
                <c:pt idx="0">
                  <c:v>SS3</c:v>
                </c:pt>
                <c:pt idx="1">
                  <c:v>SS2</c:v>
                </c:pt>
                <c:pt idx="2">
                  <c:v>SS4</c:v>
                </c:pt>
                <c:pt idx="3">
                  <c:v>SS1</c:v>
                </c:pt>
                <c:pt idx="4">
                  <c:v>SS5</c:v>
                </c:pt>
              </c:strCache>
            </c:strRef>
          </c:cat>
          <c:val>
            <c:numRef>
              <c:f>Graficcos!$AH$7:$AL$7</c:f>
              <c:numCache>
                <c:formatCode>0.00</c:formatCode>
                <c:ptCount val="5"/>
                <c:pt idx="0">
                  <c:v>29.623815645476579</c:v>
                </c:pt>
                <c:pt idx="1">
                  <c:v>27.68389049839147</c:v>
                </c:pt>
                <c:pt idx="2">
                  <c:v>25.875889355320226</c:v>
                </c:pt>
                <c:pt idx="3">
                  <c:v>28.062334037784694</c:v>
                </c:pt>
                <c:pt idx="4">
                  <c:v>23.058627821353745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2-4046-8E12-A47BDC95F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002640"/>
        <c:axId val="562068112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Graficcos!$AG$9</c15:sqref>
                        </c15:formulaRef>
                      </c:ext>
                    </c:extLst>
                    <c:strCache>
                      <c:ptCount val="1"/>
                      <c:pt idx="0">
                        <c:v>q(Gluc)(nmol/e6cel/h)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hade val="51000"/>
                          <a:satMod val="130000"/>
                        </a:schemeClr>
                      </a:gs>
                      <a:gs pos="80000">
                        <a:schemeClr val="accent4">
                          <a:shade val="93000"/>
                          <a:satMod val="130000"/>
                        </a:schemeClr>
                      </a:gs>
                      <a:gs pos="100000">
                        <a:schemeClr val="accent4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Graficcos!$AH$5:$AL$5</c15:sqref>
                        </c15:formulaRef>
                      </c:ext>
                    </c:extLst>
                    <c:strCache>
                      <c:ptCount val="5"/>
                      <c:pt idx="0">
                        <c:v>SS3</c:v>
                      </c:pt>
                      <c:pt idx="1">
                        <c:v>SS2</c:v>
                      </c:pt>
                      <c:pt idx="2">
                        <c:v>SS4</c:v>
                      </c:pt>
                      <c:pt idx="3">
                        <c:v>SS1</c:v>
                      </c:pt>
                      <c:pt idx="4">
                        <c:v>SS5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Graficcos!$AH$9:$AL$9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-58.18470366024637</c:v>
                      </c:pt>
                      <c:pt idx="1">
                        <c:v>-48.427707304251562</c:v>
                      </c:pt>
                      <c:pt idx="2">
                        <c:v>-40.128980255389287</c:v>
                      </c:pt>
                      <c:pt idx="3">
                        <c:v>-85.596868387688829</c:v>
                      </c:pt>
                      <c:pt idx="4">
                        <c:v>-42.056110479229908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DA2-4046-8E12-A47BDC95FEE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Graficcos!$AG$11</c15:sqref>
                        </c15:formulaRef>
                      </c:ext>
                    </c:extLst>
                    <c:strCache>
                      <c:ptCount val="1"/>
                      <c:pt idx="0">
                        <c:v>q(Lact)(nmol/e6cel/h)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hade val="51000"/>
                          <a:satMod val="130000"/>
                        </a:schemeClr>
                      </a:gs>
                      <a:gs pos="80000">
                        <a:schemeClr val="accent5">
                          <a:shade val="93000"/>
                          <a:satMod val="130000"/>
                        </a:schemeClr>
                      </a:gs>
                      <a:gs pos="100000">
                        <a:schemeClr val="accent5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Graficcos!$AH$5:$AL$5</c15:sqref>
                        </c15:formulaRef>
                      </c:ext>
                    </c:extLst>
                    <c:strCache>
                      <c:ptCount val="5"/>
                      <c:pt idx="0">
                        <c:v>SS3</c:v>
                      </c:pt>
                      <c:pt idx="1">
                        <c:v>SS2</c:v>
                      </c:pt>
                      <c:pt idx="2">
                        <c:v>SS4</c:v>
                      </c:pt>
                      <c:pt idx="3">
                        <c:v>SS1</c:v>
                      </c:pt>
                      <c:pt idx="4">
                        <c:v>SS5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Graficcos!$AH$11:$AL$11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81.28717483433843</c:v>
                      </c:pt>
                      <c:pt idx="1">
                        <c:v>46.947521979220689</c:v>
                      </c:pt>
                      <c:pt idx="2">
                        <c:v>42.263194298100274</c:v>
                      </c:pt>
                      <c:pt idx="3">
                        <c:v>186.41569523031941</c:v>
                      </c:pt>
                      <c:pt idx="4">
                        <c:v>42.021841858237501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DA2-4046-8E12-A47BDC95FEE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Graficcos!$AG$8</c:f>
              <c:strCache>
                <c:ptCount val="1"/>
                <c:pt idx="0">
                  <c:v>YLact/Gluc 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Graficcos!$AH$20:$AL$20</c:f>
                <c:numCache>
                  <c:formatCode>General</c:formatCode>
                  <c:ptCount val="5"/>
                  <c:pt idx="0">
                    <c:v>0.1730484388626006</c:v>
                  </c:pt>
                  <c:pt idx="1">
                    <c:v>0.16157986673141189</c:v>
                  </c:pt>
                  <c:pt idx="2">
                    <c:v>0.10801961405643701</c:v>
                  </c:pt>
                  <c:pt idx="3">
                    <c:v>0.55575873498554718</c:v>
                  </c:pt>
                  <c:pt idx="4">
                    <c:v>6.034774350209534E-2</c:v>
                  </c:pt>
                </c:numCache>
              </c:numRef>
            </c:plus>
            <c:minus>
              <c:numRef>
                <c:f>Graficcos!$AH$20:$AL$20</c:f>
                <c:numCache>
                  <c:formatCode>General</c:formatCode>
                  <c:ptCount val="5"/>
                  <c:pt idx="0">
                    <c:v>0.1730484388626006</c:v>
                  </c:pt>
                  <c:pt idx="1">
                    <c:v>0.16157986673141189</c:v>
                  </c:pt>
                  <c:pt idx="2">
                    <c:v>0.10801961405643701</c:v>
                  </c:pt>
                  <c:pt idx="3">
                    <c:v>0.55575873498554718</c:v>
                  </c:pt>
                  <c:pt idx="4">
                    <c:v>6.034774350209534E-2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Graficcos!$AH$5:$AL$5</c:f>
              <c:strCache>
                <c:ptCount val="5"/>
                <c:pt idx="0">
                  <c:v>SS3</c:v>
                </c:pt>
                <c:pt idx="1">
                  <c:v>SS2</c:v>
                </c:pt>
                <c:pt idx="2">
                  <c:v>SS4</c:v>
                </c:pt>
                <c:pt idx="3">
                  <c:v>SS1</c:v>
                </c:pt>
                <c:pt idx="4">
                  <c:v>SS5</c:v>
                </c:pt>
              </c:strCache>
            </c:strRef>
          </c:cat>
          <c:val>
            <c:numRef>
              <c:f>Graficcos!$AH$8:$AL$8</c:f>
              <c:numCache>
                <c:formatCode>0.00</c:formatCode>
                <c:ptCount val="5"/>
                <c:pt idx="0">
                  <c:v>1.2531218358646432</c:v>
                </c:pt>
                <c:pt idx="1">
                  <c:v>1.1623912515255903</c:v>
                </c:pt>
                <c:pt idx="2">
                  <c:v>1.084832524437878</c:v>
                </c:pt>
                <c:pt idx="3">
                  <c:v>2.1567440708952379</c:v>
                </c:pt>
                <c:pt idx="4">
                  <c:v>0.97024294402203082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A2-4046-8E12-A47BDC95F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067768"/>
        <c:axId val="582064488"/>
      </c:lineChart>
      <c:catAx>
        <c:axId val="49900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2068112"/>
        <c:crosses val="autoZero"/>
        <c:auto val="1"/>
        <c:lblAlgn val="ctr"/>
        <c:lblOffset val="100"/>
        <c:noMultiLvlLbl val="0"/>
      </c:catAx>
      <c:valAx>
        <c:axId val="5620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Gluc and Lact concentration (mM)</a:t>
                </a:r>
              </a:p>
            </c:rich>
          </c:tx>
          <c:layout>
            <c:manualLayout>
              <c:xMode val="edge"/>
              <c:yMode val="edge"/>
              <c:x val="2.911351706036746E-2"/>
              <c:y val="0.11250721784776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9002640"/>
        <c:crosses val="autoZero"/>
        <c:crossBetween val="between"/>
      </c:valAx>
      <c:valAx>
        <c:axId val="5820644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yield ΔLact/ΔGluc </a:t>
                </a:r>
              </a:p>
              <a:p>
                <a:pPr>
                  <a:defRPr/>
                </a:pPr>
                <a:r>
                  <a:rPr lang="en-US"/>
                  <a:t>(mol/mol)</a:t>
                </a:r>
              </a:p>
            </c:rich>
          </c:tx>
          <c:layout>
            <c:manualLayout>
              <c:xMode val="edge"/>
              <c:yMode val="edge"/>
              <c:x val="0.93059711286089242"/>
              <c:y val="0.188144867308253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067768"/>
        <c:crosses val="max"/>
        <c:crossBetween val="between"/>
      </c:valAx>
      <c:catAx>
        <c:axId val="582067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206448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29265091863518"/>
          <c:y val="0.10017896177963345"/>
          <c:w val="0.69691797900262464"/>
          <c:h val="0.64273570990946027"/>
        </c:manualLayout>
      </c:layout>
      <c:barChart>
        <c:barDir val="col"/>
        <c:grouping val="clustered"/>
        <c:varyColors val="0"/>
        <c:ser>
          <c:idx val="3"/>
          <c:order val="3"/>
          <c:tx>
            <c:v>qGluc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cust"/>
            <c:noEndCap val="0"/>
            <c:plus>
              <c:numRef>
                <c:f>Graficcos!$AH$21:$AL$21</c:f>
                <c:numCache>
                  <c:formatCode>General</c:formatCode>
                  <c:ptCount val="5"/>
                  <c:pt idx="0">
                    <c:v>6.9624662294485038</c:v>
                  </c:pt>
                  <c:pt idx="1">
                    <c:v>6.8725039208289616</c:v>
                  </c:pt>
                  <c:pt idx="2">
                    <c:v>4.5127928244726618</c:v>
                  </c:pt>
                  <c:pt idx="3">
                    <c:v>15.235567270210286</c:v>
                  </c:pt>
                  <c:pt idx="4">
                    <c:v>1.2904589176027552</c:v>
                  </c:pt>
                </c:numCache>
              </c:numRef>
            </c:plus>
            <c:minus>
              <c:numRef>
                <c:f>Graficcos!$AH$21:$AL$21</c:f>
                <c:numCache>
                  <c:formatCode>General</c:formatCode>
                  <c:ptCount val="5"/>
                  <c:pt idx="0">
                    <c:v>6.9624662294485038</c:v>
                  </c:pt>
                  <c:pt idx="1">
                    <c:v>6.8725039208289616</c:v>
                  </c:pt>
                  <c:pt idx="2">
                    <c:v>4.5127928244726618</c:v>
                  </c:pt>
                  <c:pt idx="3">
                    <c:v>15.235567270210286</c:v>
                  </c:pt>
                  <c:pt idx="4">
                    <c:v>1.2904589176027552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Graficcos!$AH$5:$AL$5</c:f>
              <c:strCache>
                <c:ptCount val="5"/>
                <c:pt idx="0">
                  <c:v>SS3</c:v>
                </c:pt>
                <c:pt idx="1">
                  <c:v>SS2</c:v>
                </c:pt>
                <c:pt idx="2">
                  <c:v>SS4</c:v>
                </c:pt>
                <c:pt idx="3">
                  <c:v>SS1</c:v>
                </c:pt>
                <c:pt idx="4">
                  <c:v>SS5</c:v>
                </c:pt>
              </c:strCache>
            </c:strRef>
          </c:cat>
          <c:val>
            <c:numRef>
              <c:f>Graficcos!$AH$9:$AL$9</c:f>
              <c:numCache>
                <c:formatCode>0.00</c:formatCode>
                <c:ptCount val="5"/>
                <c:pt idx="0">
                  <c:v>-58.18470366024637</c:v>
                </c:pt>
                <c:pt idx="1">
                  <c:v>-48.427707304251562</c:v>
                </c:pt>
                <c:pt idx="2">
                  <c:v>-40.128980255389287</c:v>
                </c:pt>
                <c:pt idx="3">
                  <c:v>-85.596868387688829</c:v>
                </c:pt>
                <c:pt idx="4">
                  <c:v>-42.056110479229908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D-4131-AE42-22D6A879A6A9}"/>
            </c:ext>
          </c:extLst>
        </c:ser>
        <c:ser>
          <c:idx val="4"/>
          <c:order val="4"/>
          <c:tx>
            <c:v>qLact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cust"/>
            <c:noEndCap val="0"/>
            <c:plus>
              <c:numRef>
                <c:f>Graficcos!$AH$22:$AL$22</c:f>
                <c:numCache>
                  <c:formatCode>General</c:formatCode>
                  <c:ptCount val="5"/>
                  <c:pt idx="0">
                    <c:v>15.287810406340947</c:v>
                  </c:pt>
                  <c:pt idx="1">
                    <c:v>7.4009733890400557</c:v>
                  </c:pt>
                  <c:pt idx="2">
                    <c:v>6.5652455344164729</c:v>
                  </c:pt>
                  <c:pt idx="3">
                    <c:v>20.090822942050892</c:v>
                  </c:pt>
                  <c:pt idx="4">
                    <c:v>9.146914383072243</c:v>
                  </c:pt>
                </c:numCache>
              </c:numRef>
            </c:plus>
            <c:minus>
              <c:numRef>
                <c:f>Graficcos!$AH$22:$AL$22</c:f>
                <c:numCache>
                  <c:formatCode>General</c:formatCode>
                  <c:ptCount val="5"/>
                  <c:pt idx="0">
                    <c:v>15.287810406340947</c:v>
                  </c:pt>
                  <c:pt idx="1">
                    <c:v>7.4009733890400557</c:v>
                  </c:pt>
                  <c:pt idx="2">
                    <c:v>6.5652455344164729</c:v>
                  </c:pt>
                  <c:pt idx="3">
                    <c:v>20.090822942050892</c:v>
                  </c:pt>
                  <c:pt idx="4">
                    <c:v>9.146914383072243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Graficcos!$AH$5:$AL$5</c:f>
              <c:strCache>
                <c:ptCount val="5"/>
                <c:pt idx="0">
                  <c:v>SS3</c:v>
                </c:pt>
                <c:pt idx="1">
                  <c:v>SS2</c:v>
                </c:pt>
                <c:pt idx="2">
                  <c:v>SS4</c:v>
                </c:pt>
                <c:pt idx="3">
                  <c:v>SS1</c:v>
                </c:pt>
                <c:pt idx="4">
                  <c:v>SS5</c:v>
                </c:pt>
              </c:strCache>
            </c:strRef>
          </c:cat>
          <c:val>
            <c:numRef>
              <c:f>Graficcos!$AH$11:$AL$11</c:f>
              <c:numCache>
                <c:formatCode>0.00</c:formatCode>
                <c:ptCount val="5"/>
                <c:pt idx="0">
                  <c:v>81.28717483433843</c:v>
                </c:pt>
                <c:pt idx="1">
                  <c:v>46.947521979220689</c:v>
                </c:pt>
                <c:pt idx="2">
                  <c:v>42.263194298100274</c:v>
                </c:pt>
                <c:pt idx="3">
                  <c:v>186.41569523031941</c:v>
                </c:pt>
                <c:pt idx="4">
                  <c:v>42.021841858237501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D-4131-AE42-22D6A879A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002640"/>
        <c:axId val="562068112"/>
      </c:barChart>
      <c:lineChart>
        <c:grouping val="standard"/>
        <c:varyColors val="0"/>
        <c:ser>
          <c:idx val="5"/>
          <c:order val="5"/>
          <c:tx>
            <c:v>qGLN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4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Graficcos!$AH$23:$AL$23</c:f>
                <c:numCache>
                  <c:formatCode>General</c:formatCode>
                  <c:ptCount val="5"/>
                  <c:pt idx="0">
                    <c:v>0.57634093719822344</c:v>
                  </c:pt>
                  <c:pt idx="1">
                    <c:v>1.1206945334115055</c:v>
                  </c:pt>
                  <c:pt idx="2">
                    <c:v>0.861378708133546</c:v>
                  </c:pt>
                  <c:pt idx="3">
                    <c:v>1.7495690848482106</c:v>
                  </c:pt>
                  <c:pt idx="4">
                    <c:v>0.54980447347091888</c:v>
                  </c:pt>
                </c:numCache>
              </c:numRef>
            </c:plus>
            <c:minus>
              <c:numRef>
                <c:f>Graficcos!$AH$23:$AL$23</c:f>
                <c:numCache>
                  <c:formatCode>General</c:formatCode>
                  <c:ptCount val="5"/>
                  <c:pt idx="0">
                    <c:v>0.57634093719822344</c:v>
                  </c:pt>
                  <c:pt idx="1">
                    <c:v>1.1206945334115055</c:v>
                  </c:pt>
                  <c:pt idx="2">
                    <c:v>0.861378708133546</c:v>
                  </c:pt>
                  <c:pt idx="3">
                    <c:v>1.7495690848482106</c:v>
                  </c:pt>
                  <c:pt idx="4">
                    <c:v>0.54980447347091888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Graficcos!$AH$5:$AL$5</c:f>
              <c:strCache>
                <c:ptCount val="5"/>
                <c:pt idx="0">
                  <c:v>SS3</c:v>
                </c:pt>
                <c:pt idx="1">
                  <c:v>SS2</c:v>
                </c:pt>
                <c:pt idx="2">
                  <c:v>SS4</c:v>
                </c:pt>
                <c:pt idx="3">
                  <c:v>SS1</c:v>
                </c:pt>
                <c:pt idx="4">
                  <c:v>SS5</c:v>
                </c:pt>
              </c:strCache>
            </c:strRef>
          </c:cat>
          <c:val>
            <c:numRef>
              <c:f>Graficcos!$AH$10:$AL$10</c:f>
              <c:numCache>
                <c:formatCode>0.00</c:formatCode>
                <c:ptCount val="5"/>
                <c:pt idx="0">
                  <c:v>-8.8042072134960971</c:v>
                </c:pt>
                <c:pt idx="1">
                  <c:v>-9.6063340446919376</c:v>
                </c:pt>
                <c:pt idx="2">
                  <c:v>-7.8000590108083188</c:v>
                </c:pt>
                <c:pt idx="3">
                  <c:v>-20.305132794689314</c:v>
                </c:pt>
                <c:pt idx="4">
                  <c:v>-8.1496168524202961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9D-4131-AE42-22D6A879A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231872"/>
        <c:axId val="406230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Graficcos!$AG$6</c15:sqref>
                        </c15:formulaRef>
                      </c:ext>
                    </c:extLst>
                    <c:strCache>
                      <c:ptCount val="1"/>
                      <c:pt idx="0">
                        <c:v>Gluc(mM)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Graficcos!$AH$5:$AL$5</c15:sqref>
                        </c15:formulaRef>
                      </c:ext>
                    </c:extLst>
                    <c:strCache>
                      <c:ptCount val="5"/>
                      <c:pt idx="0">
                        <c:v>SS3</c:v>
                      </c:pt>
                      <c:pt idx="1">
                        <c:v>SS2</c:v>
                      </c:pt>
                      <c:pt idx="2">
                        <c:v>SS4</c:v>
                      </c:pt>
                      <c:pt idx="3">
                        <c:v>SS1</c:v>
                      </c:pt>
                      <c:pt idx="4">
                        <c:v>SS5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Graficcos!$AH$6:$AL$6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0.37251909876240163</c:v>
                      </c:pt>
                      <c:pt idx="1">
                        <c:v>0.21402380013365632</c:v>
                      </c:pt>
                      <c:pt idx="2">
                        <c:v>0.14695820161734938</c:v>
                      </c:pt>
                      <c:pt idx="3">
                        <c:v>12.338725747213305</c:v>
                      </c:pt>
                      <c:pt idx="4">
                        <c:v>0.23275744698297254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09D-4131-AE42-22D6A879A6A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Graficcos!$AG$7</c15:sqref>
                        </c15:formulaRef>
                      </c:ext>
                    </c:extLst>
                    <c:strCache>
                      <c:ptCount val="1"/>
                      <c:pt idx="0">
                        <c:v>Lact(mM)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Graficcos!$AH$5:$AL$5</c15:sqref>
                        </c15:formulaRef>
                      </c:ext>
                    </c:extLst>
                    <c:strCache>
                      <c:ptCount val="5"/>
                      <c:pt idx="0">
                        <c:v>SS3</c:v>
                      </c:pt>
                      <c:pt idx="1">
                        <c:v>SS2</c:v>
                      </c:pt>
                      <c:pt idx="2">
                        <c:v>SS4</c:v>
                      </c:pt>
                      <c:pt idx="3">
                        <c:v>SS1</c:v>
                      </c:pt>
                      <c:pt idx="4">
                        <c:v>SS5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Graficcos!$AH$7:$AL$7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29.623815645476579</c:v>
                      </c:pt>
                      <c:pt idx="1">
                        <c:v>27.68389049839147</c:v>
                      </c:pt>
                      <c:pt idx="2">
                        <c:v>25.875889355320226</c:v>
                      </c:pt>
                      <c:pt idx="3">
                        <c:v>28.062334037784694</c:v>
                      </c:pt>
                      <c:pt idx="4">
                        <c:v>23.058627821353745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9D-4131-AE42-22D6A879A6A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Graficcos!$AG$8</c15:sqref>
                        </c15:formulaRef>
                      </c:ext>
                    </c:extLst>
                    <c:strCache>
                      <c:ptCount val="1"/>
                      <c:pt idx="0">
                        <c:v>YLact/Gluc  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Graficcos!$AH$5:$AL$5</c15:sqref>
                        </c15:formulaRef>
                      </c:ext>
                    </c:extLst>
                    <c:strCache>
                      <c:ptCount val="5"/>
                      <c:pt idx="0">
                        <c:v>SS3</c:v>
                      </c:pt>
                      <c:pt idx="1">
                        <c:v>SS2</c:v>
                      </c:pt>
                      <c:pt idx="2">
                        <c:v>SS4</c:v>
                      </c:pt>
                      <c:pt idx="3">
                        <c:v>SS1</c:v>
                      </c:pt>
                      <c:pt idx="4">
                        <c:v>SS5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Graficcos!$AH$8:$AL$8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1.2531218358646432</c:v>
                      </c:pt>
                      <c:pt idx="1">
                        <c:v>1.1623912515255903</c:v>
                      </c:pt>
                      <c:pt idx="2">
                        <c:v>1.084832524437878</c:v>
                      </c:pt>
                      <c:pt idx="3">
                        <c:v>2.1567440708952379</c:v>
                      </c:pt>
                      <c:pt idx="4">
                        <c:v>0.97024294402203082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09D-4131-AE42-22D6A879A6A9}"/>
                  </c:ext>
                </c:extLst>
              </c15:ser>
            </c15:filteredLineSeries>
          </c:ext>
        </c:extLst>
      </c:lineChart>
      <c:catAx>
        <c:axId val="49900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2068112"/>
        <c:crosses val="autoZero"/>
        <c:auto val="1"/>
        <c:lblAlgn val="ctr"/>
        <c:lblOffset val="100"/>
        <c:noMultiLvlLbl val="0"/>
      </c:catAx>
      <c:valAx>
        <c:axId val="5620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qGluc y qLact (nmol/e6cel/h)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9002640"/>
        <c:crosses val="autoZero"/>
        <c:crossBetween val="between"/>
        <c:majorUnit val="50"/>
      </c:valAx>
      <c:valAx>
        <c:axId val="4062305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baseline="0">
                    <a:effectLst/>
                  </a:rPr>
                  <a:t>qGLN (nmol/e6cel/h)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231872"/>
        <c:crosses val="max"/>
        <c:crossBetween val="between"/>
      </c:valAx>
      <c:catAx>
        <c:axId val="40623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23056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835436733505798"/>
          <c:y val="4.3197521821400235E-2"/>
          <c:w val="0.71164563266494196"/>
          <c:h val="0.598503021424647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Graficcos!$AO$9</c:f>
              <c:strCache>
                <c:ptCount val="1"/>
                <c:pt idx="0">
                  <c:v>qGluc(nmol/e6cel/h)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cust"/>
            <c:noEndCap val="0"/>
            <c:plus>
              <c:numRef>
                <c:f>(Graficcos!$AP$16,Graficcos!$AQ$16,Graficcos!$AR$16)</c:f>
                <c:numCache>
                  <c:formatCode>General</c:formatCode>
                  <c:ptCount val="3"/>
                  <c:pt idx="0">
                    <c:v>15.235567270210286</c:v>
                  </c:pt>
                  <c:pt idx="1">
                    <c:v>1.2904589176027552</c:v>
                  </c:pt>
                  <c:pt idx="2">
                    <c:v>12.028462628624753</c:v>
                  </c:pt>
                </c:numCache>
              </c:numRef>
            </c:plus>
            <c:minus>
              <c:numRef>
                <c:f>(Graficcos!$AP$16,Graficcos!$AQ$16,Graficcos!$AR$16)</c:f>
                <c:numCache>
                  <c:formatCode>General</c:formatCode>
                  <c:ptCount val="3"/>
                  <c:pt idx="0">
                    <c:v>15.235567270210286</c:v>
                  </c:pt>
                  <c:pt idx="1">
                    <c:v>1.2904589176027552</c:v>
                  </c:pt>
                  <c:pt idx="2">
                    <c:v>12.028462628624753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Graficcos!$AP$5:$AR$5</c:f>
              <c:strCache>
                <c:ptCount val="3"/>
                <c:pt idx="0">
                  <c:v>Cultivo Continuo-SS1</c:v>
                </c:pt>
                <c:pt idx="1">
                  <c:v>Cultivo Continuo-SS5</c:v>
                </c:pt>
                <c:pt idx="2">
                  <c:v>Cultivo en lote-Etapa exponencial </c:v>
                </c:pt>
              </c:strCache>
            </c:strRef>
          </c:cat>
          <c:val>
            <c:numRef>
              <c:f>Graficcos!$AP$9:$AR$9</c:f>
              <c:numCache>
                <c:formatCode>0.00</c:formatCode>
                <c:ptCount val="3"/>
                <c:pt idx="0">
                  <c:v>-85.596868387688829</c:v>
                </c:pt>
                <c:pt idx="1">
                  <c:v>-42.056110479229908</c:v>
                </c:pt>
                <c:pt idx="2">
                  <c:v>-84.377635238640508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3-4BE9-ACA8-62AE3A3BB086}"/>
            </c:ext>
          </c:extLst>
        </c:ser>
        <c:ser>
          <c:idx val="1"/>
          <c:order val="1"/>
          <c:tx>
            <c:strRef>
              <c:f>Graficcos!$AO$10</c:f>
              <c:strCache>
                <c:ptCount val="1"/>
                <c:pt idx="0">
                  <c:v>qGLN(nmol/e6cel/h)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cust"/>
            <c:noEndCap val="0"/>
            <c:plus>
              <c:numRef>
                <c:f>Graficcos!$AP$17:$AR$17</c:f>
                <c:numCache>
                  <c:formatCode>General</c:formatCode>
                  <c:ptCount val="3"/>
                  <c:pt idx="0">
                    <c:v>1.7495690848482099</c:v>
                  </c:pt>
                  <c:pt idx="1">
                    <c:v>0.54980447347091888</c:v>
                  </c:pt>
                  <c:pt idx="2">
                    <c:v>5.2458820498085492</c:v>
                  </c:pt>
                </c:numCache>
              </c:numRef>
            </c:plus>
            <c:minus>
              <c:numRef>
                <c:f>Graficcos!$AP$17:$AR$17</c:f>
                <c:numCache>
                  <c:formatCode>General</c:formatCode>
                  <c:ptCount val="3"/>
                  <c:pt idx="0">
                    <c:v>1.7495690848482099</c:v>
                  </c:pt>
                  <c:pt idx="1">
                    <c:v>0.54980447347091888</c:v>
                  </c:pt>
                  <c:pt idx="2">
                    <c:v>5.2458820498085492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Graficcos!$AP$5:$AR$5</c:f>
              <c:strCache>
                <c:ptCount val="3"/>
                <c:pt idx="0">
                  <c:v>Cultivo Continuo-SS1</c:v>
                </c:pt>
                <c:pt idx="1">
                  <c:v>Cultivo Continuo-SS5</c:v>
                </c:pt>
                <c:pt idx="2">
                  <c:v>Cultivo en lote-Etapa exponencial </c:v>
                </c:pt>
              </c:strCache>
            </c:strRef>
          </c:cat>
          <c:val>
            <c:numRef>
              <c:f>Graficcos!$AP$10:$AR$10</c:f>
              <c:numCache>
                <c:formatCode>0.00</c:formatCode>
                <c:ptCount val="3"/>
                <c:pt idx="0">
                  <c:v>-20.305132794689314</c:v>
                </c:pt>
                <c:pt idx="1">
                  <c:v>-8.1496168524202961</c:v>
                </c:pt>
                <c:pt idx="2">
                  <c:v>-20.967611633767049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43-4BE9-ACA8-62AE3A3BB086}"/>
            </c:ext>
          </c:extLst>
        </c:ser>
        <c:ser>
          <c:idx val="2"/>
          <c:order val="2"/>
          <c:tx>
            <c:strRef>
              <c:f>Graficcos!$AO$11</c:f>
              <c:strCache>
                <c:ptCount val="1"/>
                <c:pt idx="0">
                  <c:v>qLact(nmol/e6cel/h)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cust"/>
            <c:noEndCap val="0"/>
            <c:plus>
              <c:numRef>
                <c:f>Graficcos!$AP$18:$AR$18</c:f>
                <c:numCache>
                  <c:formatCode>General</c:formatCode>
                  <c:ptCount val="3"/>
                  <c:pt idx="0">
                    <c:v>20.090822942050892</c:v>
                  </c:pt>
                  <c:pt idx="1">
                    <c:v>9.146914383072243</c:v>
                  </c:pt>
                  <c:pt idx="2">
                    <c:v>19.717837416314172</c:v>
                  </c:pt>
                </c:numCache>
              </c:numRef>
            </c:plus>
            <c:minus>
              <c:numRef>
                <c:f>Graficcos!$AP$18:$AR$18</c:f>
                <c:numCache>
                  <c:formatCode>General</c:formatCode>
                  <c:ptCount val="3"/>
                  <c:pt idx="0">
                    <c:v>20.090822942050892</c:v>
                  </c:pt>
                  <c:pt idx="1">
                    <c:v>9.146914383072243</c:v>
                  </c:pt>
                  <c:pt idx="2">
                    <c:v>19.717837416314172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Graficcos!$AP$5:$AR$5</c:f>
              <c:strCache>
                <c:ptCount val="3"/>
                <c:pt idx="0">
                  <c:v>Cultivo Continuo-SS1</c:v>
                </c:pt>
                <c:pt idx="1">
                  <c:v>Cultivo Continuo-SS5</c:v>
                </c:pt>
                <c:pt idx="2">
                  <c:v>Cultivo en lote-Etapa exponencial </c:v>
                </c:pt>
              </c:strCache>
            </c:strRef>
          </c:cat>
          <c:val>
            <c:numRef>
              <c:f>Graficcos!$AP$11:$AR$11</c:f>
              <c:numCache>
                <c:formatCode>0.00</c:formatCode>
                <c:ptCount val="3"/>
                <c:pt idx="0">
                  <c:v>186.41569523031941</c:v>
                </c:pt>
                <c:pt idx="1">
                  <c:v>42.021841858237501</c:v>
                </c:pt>
                <c:pt idx="2">
                  <c:v>85.423690237900885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43-4BE9-ACA8-62AE3A3BB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9330128"/>
        <c:axId val="1399327216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Graficcos!$AO$8</c15:sqref>
                        </c15:formulaRef>
                      </c:ext>
                    </c:extLst>
                    <c:strCache>
                      <c:ptCount val="1"/>
                      <c:pt idx="0">
                        <c:v>YLact/Gluc  (mol/mol)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hade val="51000"/>
                          <a:satMod val="130000"/>
                        </a:schemeClr>
                      </a:gs>
                      <a:gs pos="80000">
                        <a:schemeClr val="accent4">
                          <a:shade val="93000"/>
                          <a:satMod val="130000"/>
                        </a:schemeClr>
                      </a:gs>
                      <a:gs pos="100000">
                        <a:schemeClr val="accent4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Graficcos!$AP$5:$AR$5</c15:sqref>
                        </c15:formulaRef>
                      </c:ext>
                    </c:extLst>
                    <c:strCache>
                      <c:ptCount val="3"/>
                      <c:pt idx="0">
                        <c:v>Cultivo Continuo-SS1</c:v>
                      </c:pt>
                      <c:pt idx="1">
                        <c:v>Cultivo Continuo-SS5</c:v>
                      </c:pt>
                      <c:pt idx="2">
                        <c:v>Cultivo en lote-Etapa exponencial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Graficcos!$AP$8:$AR$8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2.1567440708952379</c:v>
                      </c:pt>
                      <c:pt idx="1">
                        <c:v>0.97024294402203082</c:v>
                      </c:pt>
                      <c:pt idx="2">
                        <c:v>1.0742475763456756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243-4BE9-ACA8-62AE3A3BB08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Graficcos!$AO$6</c15:sqref>
                        </c15:formulaRef>
                      </c:ext>
                    </c:extLst>
                    <c:strCache>
                      <c:ptCount val="1"/>
                      <c:pt idx="0">
                        <c:v>µ(1/h)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hade val="51000"/>
                          <a:satMod val="130000"/>
                        </a:schemeClr>
                      </a:gs>
                      <a:gs pos="80000">
                        <a:schemeClr val="accent5">
                          <a:shade val="93000"/>
                          <a:satMod val="130000"/>
                        </a:schemeClr>
                      </a:gs>
                      <a:gs pos="100000">
                        <a:schemeClr val="accent5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Graficcos!$AP$5:$AR$5</c15:sqref>
                        </c15:formulaRef>
                      </c:ext>
                    </c:extLst>
                    <c:strCache>
                      <c:ptCount val="3"/>
                      <c:pt idx="0">
                        <c:v>Cultivo Continuo-SS1</c:v>
                      </c:pt>
                      <c:pt idx="1">
                        <c:v>Cultivo Continuo-SS5</c:v>
                      </c:pt>
                      <c:pt idx="2">
                        <c:v>Cultivo en lote-Etapa exponencial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Graficcos!$AP$6:$AR$6</c15:sqref>
                        </c15:formulaRef>
                      </c:ext>
                    </c:extLst>
                    <c:numCache>
                      <c:formatCode>0.0000</c:formatCode>
                      <c:ptCount val="3"/>
                      <c:pt idx="0">
                        <c:v>1.8749999999999999E-2</c:v>
                      </c:pt>
                      <c:pt idx="1">
                        <c:v>1.8749999999999999E-2</c:v>
                      </c:pt>
                      <c:pt idx="2">
                        <c:v>2.2099999999999998E-2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243-4BE9-ACA8-62AE3A3BB086}"/>
                  </c:ext>
                </c:extLst>
              </c15:ser>
            </c15:filteredBarSeries>
          </c:ext>
        </c:extLst>
      </c:barChart>
      <c:catAx>
        <c:axId val="139933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9327216"/>
        <c:crosses val="autoZero"/>
        <c:auto val="1"/>
        <c:lblAlgn val="ctr"/>
        <c:lblOffset val="100"/>
        <c:noMultiLvlLbl val="0"/>
      </c:catAx>
      <c:valAx>
        <c:axId val="13993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qS (nmol/e6cél/h)</a:t>
                </a:r>
              </a:p>
            </c:rich>
          </c:tx>
          <c:layout>
            <c:manualLayout>
              <c:xMode val="edge"/>
              <c:yMode val="edge"/>
              <c:x val="8.1690122725934844E-2"/>
              <c:y val="0.15790392480009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399330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99558482572349"/>
          <c:y val="2.3817676860159922E-2"/>
          <c:w val="0.52768055082492271"/>
          <c:h val="0.56115760239272416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Graficcos!$AO$6</c:f>
              <c:strCache>
                <c:ptCount val="1"/>
                <c:pt idx="0">
                  <c:v>µ(1/h)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cust"/>
            <c:noEndCap val="0"/>
            <c:plus>
              <c:numRef>
                <c:f>Graficcos!$AP$13:$AR$13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2.8844410203711919E-3</c:v>
                  </c:pt>
                </c:numCache>
              </c:numRef>
            </c:plus>
            <c:minus>
              <c:numRef>
                <c:f>Graficcos!$AP$13:$AR$13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2.8844410203711919E-3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Graficcos!$AP$5:$AR$5</c:f>
              <c:strCache>
                <c:ptCount val="3"/>
                <c:pt idx="0">
                  <c:v>Cultivo Continuo-SS1</c:v>
                </c:pt>
                <c:pt idx="1">
                  <c:v>Cultivo Continuo-SS5</c:v>
                </c:pt>
                <c:pt idx="2">
                  <c:v>Cultivo en lote-Etapa exponencial </c:v>
                </c:pt>
              </c:strCache>
            </c:strRef>
          </c:cat>
          <c:val>
            <c:numRef>
              <c:f>Graficcos!$AP$6:$AR$6</c:f>
              <c:numCache>
                <c:formatCode>0.0000</c:formatCode>
                <c:ptCount val="3"/>
                <c:pt idx="0">
                  <c:v>1.8749999999999999E-2</c:v>
                </c:pt>
                <c:pt idx="1">
                  <c:v>1.8749999999999999E-2</c:v>
                </c:pt>
                <c:pt idx="2">
                  <c:v>2.2099999999999998E-2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C9-475A-B1A4-73481E36D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9330128"/>
        <c:axId val="13993272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Graficcos!$AO$9</c15:sqref>
                        </c15:formulaRef>
                      </c:ext>
                    </c:extLst>
                    <c:strCache>
                      <c:ptCount val="1"/>
                      <c:pt idx="0">
                        <c:v>qGluc(nmol/e6cel/h)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hade val="51000"/>
                          <a:satMod val="130000"/>
                        </a:schemeClr>
                      </a:gs>
                      <a:gs pos="80000">
                        <a:schemeClr val="accent1">
                          <a:shade val="93000"/>
                          <a:satMod val="130000"/>
                        </a:schemeClr>
                      </a:gs>
                      <a:gs pos="100000">
                        <a:schemeClr val="accent1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Graficcos!$AP$5:$AR$5</c15:sqref>
                        </c15:formulaRef>
                      </c:ext>
                    </c:extLst>
                    <c:strCache>
                      <c:ptCount val="3"/>
                      <c:pt idx="0">
                        <c:v>Cultivo Continuo-SS1</c:v>
                      </c:pt>
                      <c:pt idx="1">
                        <c:v>Cultivo Continuo-SS5</c:v>
                      </c:pt>
                      <c:pt idx="2">
                        <c:v>Cultivo en lote-Etapa exponencial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Graficcos!$AP$9:$AR$9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-85.596868387688829</c:v>
                      </c:pt>
                      <c:pt idx="1">
                        <c:v>-42.056110479229908</c:v>
                      </c:pt>
                      <c:pt idx="2">
                        <c:v>-84.377635238640508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3C9-475A-B1A4-73481E36DAC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Graficcos!$AO$10</c15:sqref>
                        </c15:formulaRef>
                      </c:ext>
                    </c:extLst>
                    <c:strCache>
                      <c:ptCount val="1"/>
                      <c:pt idx="0">
                        <c:v>qGLN(nmol/e6cel/h)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1000"/>
                          <a:satMod val="130000"/>
                        </a:schemeClr>
                      </a:gs>
                      <a:gs pos="80000">
                        <a:schemeClr val="accent2">
                          <a:shade val="93000"/>
                          <a:satMod val="130000"/>
                        </a:schemeClr>
                      </a:gs>
                      <a:gs pos="100000">
                        <a:schemeClr val="accent2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Graficcos!$AP$5:$AR$5</c15:sqref>
                        </c15:formulaRef>
                      </c:ext>
                    </c:extLst>
                    <c:strCache>
                      <c:ptCount val="3"/>
                      <c:pt idx="0">
                        <c:v>Cultivo Continuo-SS1</c:v>
                      </c:pt>
                      <c:pt idx="1">
                        <c:v>Cultivo Continuo-SS5</c:v>
                      </c:pt>
                      <c:pt idx="2">
                        <c:v>Cultivo en lote-Etapa exponencial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Graficcos!$AP$10:$AR$10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-20.305132794689314</c:v>
                      </c:pt>
                      <c:pt idx="1">
                        <c:v>-8.1496168524202961</c:v>
                      </c:pt>
                      <c:pt idx="2">
                        <c:v>-20.967611633767049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3C9-475A-B1A4-73481E36DAC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Graficcos!$AO$11</c15:sqref>
                        </c15:formulaRef>
                      </c:ext>
                    </c:extLst>
                    <c:strCache>
                      <c:ptCount val="1"/>
                      <c:pt idx="0">
                        <c:v>qLact(nmol/e6cel/h)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hade val="51000"/>
                          <a:satMod val="130000"/>
                        </a:schemeClr>
                      </a:gs>
                      <a:gs pos="80000">
                        <a:schemeClr val="accent3">
                          <a:shade val="93000"/>
                          <a:satMod val="130000"/>
                        </a:schemeClr>
                      </a:gs>
                      <a:gs pos="100000">
                        <a:schemeClr val="accent3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Graficcos!$AP$5:$AR$5</c15:sqref>
                        </c15:formulaRef>
                      </c:ext>
                    </c:extLst>
                    <c:strCache>
                      <c:ptCount val="3"/>
                      <c:pt idx="0">
                        <c:v>Cultivo Continuo-SS1</c:v>
                      </c:pt>
                      <c:pt idx="1">
                        <c:v>Cultivo Continuo-SS5</c:v>
                      </c:pt>
                      <c:pt idx="2">
                        <c:v>Cultivo en lote-Etapa exponencial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Graficcos!$AP$11:$AR$11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186.41569523031941</c:v>
                      </c:pt>
                      <c:pt idx="1">
                        <c:v>42.021841858237501</c:v>
                      </c:pt>
                      <c:pt idx="2">
                        <c:v>85.423690237900885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3C9-475A-B1A4-73481E36DACE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3"/>
          <c:order val="3"/>
          <c:tx>
            <c:strRef>
              <c:f>Graficcos!$AO$8</c:f>
              <c:strCache>
                <c:ptCount val="1"/>
                <c:pt idx="0">
                  <c:v>YLact/Gluc  (mol/mol)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cust"/>
            <c:noEndCap val="0"/>
            <c:plus>
              <c:numRef>
                <c:f>Graficcos!$AP$15:$AR$15</c:f>
                <c:numCache>
                  <c:formatCode>General</c:formatCode>
                  <c:ptCount val="3"/>
                  <c:pt idx="0">
                    <c:v>0.55575873498554718</c:v>
                  </c:pt>
                  <c:pt idx="1">
                    <c:v>6.034774350209534E-2</c:v>
                  </c:pt>
                  <c:pt idx="2">
                    <c:v>0.32058239499097491</c:v>
                  </c:pt>
                </c:numCache>
              </c:numRef>
            </c:plus>
            <c:minus>
              <c:numRef>
                <c:f>Graficcos!$AP$15:$AR$15</c:f>
                <c:numCache>
                  <c:formatCode>General</c:formatCode>
                  <c:ptCount val="3"/>
                  <c:pt idx="0">
                    <c:v>0.55575873498554718</c:v>
                  </c:pt>
                  <c:pt idx="1">
                    <c:v>6.034774350209534E-2</c:v>
                  </c:pt>
                  <c:pt idx="2">
                    <c:v>0.32058239499097491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Graficcos!$AP$5:$AR$5</c:f>
              <c:strCache>
                <c:ptCount val="3"/>
                <c:pt idx="0">
                  <c:v>Cultivo Continuo-SS1</c:v>
                </c:pt>
                <c:pt idx="1">
                  <c:v>Cultivo Continuo-SS5</c:v>
                </c:pt>
                <c:pt idx="2">
                  <c:v>Cultivo en lote-Etapa exponencial </c:v>
                </c:pt>
              </c:strCache>
            </c:strRef>
          </c:cat>
          <c:val>
            <c:numRef>
              <c:f>Graficcos!$AP$8:$AR$8</c:f>
              <c:numCache>
                <c:formatCode>0.00</c:formatCode>
                <c:ptCount val="3"/>
                <c:pt idx="0">
                  <c:v>2.1567440708952379</c:v>
                </c:pt>
                <c:pt idx="1">
                  <c:v>0.97024294402203082</c:v>
                </c:pt>
                <c:pt idx="2">
                  <c:v>1.0742475763456756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C9-475A-B1A4-73481E36D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487974624"/>
        <c:axId val="1487973376"/>
      </c:barChart>
      <c:catAx>
        <c:axId val="139933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9327216"/>
        <c:crosses val="autoZero"/>
        <c:auto val="1"/>
        <c:lblAlgn val="ctr"/>
        <c:lblOffset val="100"/>
        <c:noMultiLvlLbl val="0"/>
      </c:catAx>
      <c:valAx>
        <c:axId val="13993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s-ES" sz="1400">
                    <a:latin typeface="Arial Black" panose="020B0A04020102020204" pitchFamily="34" charset="0"/>
                    <a:cs typeface="Calibri" panose="020F0502020204030204" pitchFamily="34" charset="0"/>
                  </a:rPr>
                  <a:t>µ (1/h)</a:t>
                </a:r>
                <a:endParaRPr lang="es-ES" sz="1400">
                  <a:latin typeface="Arial Black" panose="020B0A040201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6.1971817240364373E-2"/>
              <c:y val="0.361992919489714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399330128"/>
        <c:crosses val="autoZero"/>
        <c:crossBetween val="between"/>
      </c:valAx>
      <c:valAx>
        <c:axId val="14879733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Y Lact/Gluc (mol/mol)</a:t>
                </a:r>
              </a:p>
            </c:rich>
          </c:tx>
          <c:layout>
            <c:manualLayout>
              <c:xMode val="edge"/>
              <c:yMode val="edge"/>
              <c:x val="0.94628459835433731"/>
              <c:y val="0.104648416041018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487974624"/>
        <c:crosses val="max"/>
        <c:crossBetween val="between"/>
      </c:valAx>
      <c:catAx>
        <c:axId val="14879746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8797337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91426071741033"/>
          <c:y val="5.0925925925925923E-2"/>
          <c:w val="0.63069488188976375"/>
          <c:h val="0.74915135608048999"/>
        </c:manualLayout>
      </c:layout>
      <c:barChart>
        <c:barDir val="col"/>
        <c:grouping val="clustered"/>
        <c:varyColors val="0"/>
        <c:ser>
          <c:idx val="0"/>
          <c:order val="0"/>
          <c:tx>
            <c:v>CSPR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cust"/>
            <c:noEndCap val="0"/>
            <c:plus>
              <c:numRef>
                <c:f>Graficcos!$AH$26:$AL$26</c:f>
                <c:numCache>
                  <c:formatCode>General</c:formatCode>
                  <c:ptCount val="5"/>
                  <c:pt idx="0">
                    <c:v>2.2490016614159021E-3</c:v>
                  </c:pt>
                  <c:pt idx="1">
                    <c:v>4.6480097763265211E-3</c:v>
                  </c:pt>
                  <c:pt idx="2">
                    <c:v>3.3161468205447431E-3</c:v>
                  </c:pt>
                  <c:pt idx="3">
                    <c:v>1.7817936480550692E-2</c:v>
                  </c:pt>
                  <c:pt idx="4">
                    <c:v>1.7552716502679769E-3</c:v>
                  </c:pt>
                </c:numCache>
              </c:numRef>
            </c:plus>
            <c:minus>
              <c:numRef>
                <c:f>Graficcos!$AH$26:$AL$26</c:f>
                <c:numCache>
                  <c:formatCode>General</c:formatCode>
                  <c:ptCount val="5"/>
                  <c:pt idx="0">
                    <c:v>2.2490016614159021E-3</c:v>
                  </c:pt>
                  <c:pt idx="1">
                    <c:v>4.6480097763265211E-3</c:v>
                  </c:pt>
                  <c:pt idx="2">
                    <c:v>3.3161468205447431E-3</c:v>
                  </c:pt>
                  <c:pt idx="3">
                    <c:v>1.7817936480550692E-2</c:v>
                  </c:pt>
                  <c:pt idx="4">
                    <c:v>1.7552716502679769E-3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Graficcos!$AH$5:$AL$5</c:f>
              <c:strCache>
                <c:ptCount val="5"/>
                <c:pt idx="0">
                  <c:v>SS3</c:v>
                </c:pt>
                <c:pt idx="1">
                  <c:v>SS2</c:v>
                </c:pt>
                <c:pt idx="2">
                  <c:v>SS4</c:v>
                </c:pt>
                <c:pt idx="3">
                  <c:v>SS1</c:v>
                </c:pt>
                <c:pt idx="4">
                  <c:v>SS5</c:v>
                </c:pt>
              </c:strCache>
            </c:strRef>
          </c:cat>
          <c:val>
            <c:numRef>
              <c:f>Graficcos!$AH$14:$AL$14</c:f>
              <c:numCache>
                <c:formatCode>0.000</c:formatCode>
                <c:ptCount val="5"/>
                <c:pt idx="0">
                  <c:v>6.4615753582428062E-2</c:v>
                </c:pt>
                <c:pt idx="1">
                  <c:v>4.6522988186420172E-2</c:v>
                </c:pt>
                <c:pt idx="2">
                  <c:v>3.9965959515675262E-2</c:v>
                </c:pt>
                <c:pt idx="3">
                  <c:v>0.15989758723783931</c:v>
                </c:pt>
                <c:pt idx="4">
                  <c:v>4.3272846547683166E-2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0-4D30-A2E0-120972A5A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100"/>
        <c:axId val="1077855551"/>
        <c:axId val="1077844319"/>
      </c:barChart>
      <c:scatterChart>
        <c:scatterStyle val="lineMarker"/>
        <c:varyColors val="0"/>
        <c:ser>
          <c:idx val="1"/>
          <c:order val="1"/>
          <c:tx>
            <c:v>C(Her1)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Graficcos!$AH$27:$AL$27</c:f>
                <c:numCache>
                  <c:formatCode>General</c:formatCode>
                  <c:ptCount val="5"/>
                  <c:pt idx="0">
                    <c:v>4.4920622113589319</c:v>
                  </c:pt>
                  <c:pt idx="1">
                    <c:v>0.76030840645305664</c:v>
                  </c:pt>
                  <c:pt idx="2">
                    <c:v>4.1231895853354548</c:v>
                  </c:pt>
                  <c:pt idx="3">
                    <c:v>1.1085442269466919</c:v>
                  </c:pt>
                  <c:pt idx="4">
                    <c:v>0.80251653812858592</c:v>
                  </c:pt>
                </c:numCache>
              </c:numRef>
            </c:plus>
            <c:minus>
              <c:numRef>
                <c:f>Graficcos!$AH$27:$AL$27</c:f>
                <c:numCache>
                  <c:formatCode>General</c:formatCode>
                  <c:ptCount val="5"/>
                  <c:pt idx="0">
                    <c:v>4.4920622113589319</c:v>
                  </c:pt>
                  <c:pt idx="1">
                    <c:v>0.76030840645305664</c:v>
                  </c:pt>
                  <c:pt idx="2">
                    <c:v>4.1231895853354548</c:v>
                  </c:pt>
                  <c:pt idx="3">
                    <c:v>1.1085442269466919</c:v>
                  </c:pt>
                  <c:pt idx="4">
                    <c:v>0.80251653812858592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Graficcos!$AH$5:$AL$5</c:f>
              <c:strCache>
                <c:ptCount val="5"/>
                <c:pt idx="0">
                  <c:v>SS3</c:v>
                </c:pt>
                <c:pt idx="1">
                  <c:v>SS2</c:v>
                </c:pt>
                <c:pt idx="2">
                  <c:v>SS4</c:v>
                </c:pt>
                <c:pt idx="3">
                  <c:v>SS1</c:v>
                </c:pt>
                <c:pt idx="4">
                  <c:v>SS5</c:v>
                </c:pt>
              </c:strCache>
            </c:strRef>
          </c:xVal>
          <c:yVal>
            <c:numRef>
              <c:f>Graficcos!$AH$15:$AL$15</c:f>
              <c:numCache>
                <c:formatCode>0.00</c:formatCode>
                <c:ptCount val="5"/>
                <c:pt idx="0">
                  <c:v>17.433968999999998</c:v>
                </c:pt>
                <c:pt idx="1">
                  <c:v>11.304041888888889</c:v>
                </c:pt>
                <c:pt idx="2">
                  <c:v>17.331927758333332</c:v>
                </c:pt>
                <c:pt idx="3">
                  <c:v>15.254278041666666</c:v>
                </c:pt>
                <c:pt idx="4">
                  <c:v>24.051650166666668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F0-4D30-A2E0-120972A5A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12399"/>
        <c:axId val="1131221135"/>
      </c:scatterChart>
      <c:catAx>
        <c:axId val="107785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7844319"/>
        <c:crosses val="autoZero"/>
        <c:auto val="1"/>
        <c:lblAlgn val="ctr"/>
        <c:lblOffset val="100"/>
        <c:noMultiLvlLbl val="0"/>
      </c:catAx>
      <c:valAx>
        <c:axId val="107784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baseline="0">
                    <a:effectLst/>
                  </a:rPr>
                  <a:t>CSPR (nL/cel/d)</a:t>
                </a:r>
                <a:endParaRPr lang="es-E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7855551"/>
        <c:crosses val="autoZero"/>
        <c:crossBetween val="between"/>
      </c:valAx>
      <c:valAx>
        <c:axId val="113122113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C(Her1) (mg/L)</a:t>
                </a:r>
                <a:endParaRPr lang="es-E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1212399"/>
        <c:crosses val="max"/>
        <c:crossBetween val="midCat"/>
      </c:valAx>
      <c:valAx>
        <c:axId val="11312123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122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01900699912511"/>
          <c:y val="0.92650408282298047"/>
          <c:w val="0.89703215223097099"/>
          <c:h val="4.97696121318168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92969580218586"/>
          <c:y val="4.9943246311010214E-2"/>
          <c:w val="0.61702027583054897"/>
          <c:h val="0.74845263524806283"/>
        </c:manualLayout>
      </c:layout>
      <c:scatterChart>
        <c:scatterStyle val="smoothMarker"/>
        <c:varyColors val="0"/>
        <c:ser>
          <c:idx val="0"/>
          <c:order val="0"/>
          <c:tx>
            <c:v>Xv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(Graficcos!$U$4,Graficcos!$U$14,Graficcos!$U$21,Graficcos!$U$28,Graficcos!$U$38)</c:f>
                <c:numCache>
                  <c:formatCode>General</c:formatCode>
                  <c:ptCount val="5"/>
                  <c:pt idx="0">
                    <c:v>311408.40210443002</c:v>
                  </c:pt>
                  <c:pt idx="1">
                    <c:v>529000.63011934748</c:v>
                  </c:pt>
                  <c:pt idx="2">
                    <c:v>130274.99404749191</c:v>
                  </c:pt>
                  <c:pt idx="3">
                    <c:v>798226.50642255391</c:v>
                  </c:pt>
                  <c:pt idx="4">
                    <c:v>503793.02040362486</c:v>
                  </c:pt>
                </c:numCache>
              </c:numRef>
            </c:plus>
            <c:minus>
              <c:numRef>
                <c:f>(Graficcos!$U$4,Graficcos!$U$14,Graficcos!$U$21,Graficcos!$U$28,Graficcos!$U$38)</c:f>
                <c:numCache>
                  <c:formatCode>General</c:formatCode>
                  <c:ptCount val="5"/>
                  <c:pt idx="0">
                    <c:v>311408.40210443002</c:v>
                  </c:pt>
                  <c:pt idx="1">
                    <c:v>529000.63011934748</c:v>
                  </c:pt>
                  <c:pt idx="2">
                    <c:v>130274.99404749191</c:v>
                  </c:pt>
                  <c:pt idx="3">
                    <c:v>798226.50642255391</c:v>
                  </c:pt>
                  <c:pt idx="4">
                    <c:v>503793.02040362486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(Graficcos!$P$4,Graficcos!$P$14,Graficcos!$P$21,Graficcos!$P$28,Graficcos!$P$38)</c:f>
              <c:numCache>
                <c:formatCode>General</c:formatCode>
                <c:ptCount val="5"/>
                <c:pt idx="0">
                  <c:v>0.45</c:v>
                </c:pt>
                <c:pt idx="1">
                  <c:v>0.4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</c:numCache>
            </c:numRef>
          </c:xVal>
          <c:yVal>
            <c:numRef>
              <c:f>(Graficcos!$T$4,Graficcos!$T$14,Graficcos!$T$21,Graficcos!$T$28,Graficcos!$T$38)</c:f>
              <c:numCache>
                <c:formatCode>General</c:formatCode>
                <c:ptCount val="5"/>
                <c:pt idx="0">
                  <c:v>2845462.9629629632</c:v>
                </c:pt>
                <c:pt idx="1">
                  <c:v>8420000</c:v>
                </c:pt>
                <c:pt idx="2">
                  <c:v>5454722.222222222</c:v>
                </c:pt>
                <c:pt idx="3">
                  <c:v>9997666.6666666679</c:v>
                </c:pt>
                <c:pt idx="4">
                  <c:v>10380000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3F-4A63-9314-54B48FD1E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08960"/>
        <c:axId val="395604368"/>
      </c:scatterChart>
      <c:scatterChart>
        <c:scatterStyle val="smoothMarker"/>
        <c:varyColors val="0"/>
        <c:ser>
          <c:idx val="1"/>
          <c:order val="1"/>
          <c:tx>
            <c:v>C(Her1)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(Graficcos!$AK$27,Graficcos!$AI$27,Graficcos!$AH$27,Graficcos!$AJ$27,Graficcos!$AL$27)</c:f>
                <c:numCache>
                  <c:formatCode>General</c:formatCode>
                  <c:ptCount val="5"/>
                  <c:pt idx="0">
                    <c:v>1.1085442269466919</c:v>
                  </c:pt>
                  <c:pt idx="1">
                    <c:v>0.76030840645305664</c:v>
                  </c:pt>
                  <c:pt idx="2">
                    <c:v>4.4920622113589319</c:v>
                  </c:pt>
                  <c:pt idx="3">
                    <c:v>4.1231895853354548</c:v>
                  </c:pt>
                  <c:pt idx="4">
                    <c:v>0.80251653812858592</c:v>
                  </c:pt>
                </c:numCache>
              </c:numRef>
            </c:plus>
            <c:minus>
              <c:numRef>
                <c:f>(Graficcos!$AK$27,Graficcos!$AI$27,Graficcos!$AH$27,Graficcos!$AJ$27,Graficcos!$AL$27)</c:f>
                <c:numCache>
                  <c:formatCode>General</c:formatCode>
                  <c:ptCount val="5"/>
                  <c:pt idx="0">
                    <c:v>1.1085442269466919</c:v>
                  </c:pt>
                  <c:pt idx="1">
                    <c:v>0.76030840645305664</c:v>
                  </c:pt>
                  <c:pt idx="2">
                    <c:v>4.4920622113589319</c:v>
                  </c:pt>
                  <c:pt idx="3">
                    <c:v>4.1231895853354548</c:v>
                  </c:pt>
                  <c:pt idx="4">
                    <c:v>0.80251653812858592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(Graficcos!$P$4,Graficcos!$P$14,Graficcos!$P$21,Graficcos!$P$28,Graficcos!$P$38)</c:f>
              <c:numCache>
                <c:formatCode>General</c:formatCode>
                <c:ptCount val="5"/>
                <c:pt idx="0">
                  <c:v>0.45</c:v>
                </c:pt>
                <c:pt idx="1">
                  <c:v>0.4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</c:numCache>
            </c:numRef>
          </c:xVal>
          <c:yVal>
            <c:numRef>
              <c:f>(Graficcos!$AK$15,Graficcos!$AI$15,Graficcos!$AH$15,Graficcos!$AJ$15,Graficcos!$AL$15)</c:f>
              <c:numCache>
                <c:formatCode>0.00</c:formatCode>
                <c:ptCount val="5"/>
                <c:pt idx="0">
                  <c:v>15.254278041666666</c:v>
                </c:pt>
                <c:pt idx="1">
                  <c:v>11.304041888888889</c:v>
                </c:pt>
                <c:pt idx="2">
                  <c:v>17.433968999999998</c:v>
                </c:pt>
                <c:pt idx="3">
                  <c:v>17.331927758333332</c:v>
                </c:pt>
                <c:pt idx="4">
                  <c:v>24.051650166666668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3F-4A63-9314-54B48FD1E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445568"/>
        <c:axId val="475453768"/>
      </c:scatterChart>
      <c:valAx>
        <c:axId val="395608960"/>
        <c:scaling>
          <c:orientation val="minMax"/>
          <c:max val="0.47000000000000003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D</a:t>
                </a:r>
                <a:r>
                  <a:rPr lang="en-US" sz="1400" b="1" baseline="0"/>
                  <a:t> (vvd)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5604368"/>
        <c:crosses val="autoZero"/>
        <c:crossBetween val="midCat"/>
        <c:majorUnit val="5.000000000000001E-2"/>
      </c:valAx>
      <c:valAx>
        <c:axId val="3956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Xv</a:t>
                </a:r>
                <a:r>
                  <a:rPr lang="en-US" sz="1400" b="1" baseline="0"/>
                  <a:t> (cel/mL)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5608960"/>
        <c:crossesAt val="0.33000000000000007"/>
        <c:crossBetween val="midCat"/>
        <c:majorUnit val="2000000"/>
        <c:minorUnit val="1000000"/>
      </c:valAx>
      <c:valAx>
        <c:axId val="4754537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C(Her1)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5445568"/>
        <c:crosses val="max"/>
        <c:crossBetween val="midCat"/>
        <c:majorUnit val="5"/>
      </c:valAx>
      <c:valAx>
        <c:axId val="47544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5453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95666553502786"/>
          <c:y val="0.88195161189414317"/>
          <c:w val="0.29766364044550064"/>
          <c:h val="0.10783308159124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Lact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(ferment.!$CY$12,ferment.!$CY$21,ferment.!$CY$31,ferment.!$CY$42,ferment.!$CY$58,ferment.!$CY$68)</c:f>
                <c:numCache>
                  <c:formatCode>General</c:formatCode>
                  <c:ptCount val="6"/>
                  <c:pt idx="0">
                    <c:v>4.8189810672092968</c:v>
                  </c:pt>
                  <c:pt idx="1">
                    <c:v>0.37571671877334867</c:v>
                  </c:pt>
                  <c:pt idx="2">
                    <c:v>3.8414152090424629</c:v>
                  </c:pt>
                  <c:pt idx="3">
                    <c:v>4.2268398203684461</c:v>
                  </c:pt>
                  <c:pt idx="4">
                    <c:v>2.5685402882367336</c:v>
                  </c:pt>
                  <c:pt idx="5">
                    <c:v>1.4088168796578617</c:v>
                  </c:pt>
                </c:numCache>
              </c:numRef>
            </c:plus>
            <c:minus>
              <c:numRef>
                <c:f>(ferment.!$CY$12,ferment.!$CY$21,ferment.!$CY$31,ferment.!$CY$42,ferment.!$CY$58,ferment.!$CY$68)</c:f>
                <c:numCache>
                  <c:formatCode>General</c:formatCode>
                  <c:ptCount val="6"/>
                  <c:pt idx="0">
                    <c:v>4.8189810672092968</c:v>
                  </c:pt>
                  <c:pt idx="1">
                    <c:v>0.37571671877334867</c:v>
                  </c:pt>
                  <c:pt idx="2">
                    <c:v>3.8414152090424629</c:v>
                  </c:pt>
                  <c:pt idx="3">
                    <c:v>4.2268398203684461</c:v>
                  </c:pt>
                  <c:pt idx="4">
                    <c:v>2.5685402882367336</c:v>
                  </c:pt>
                  <c:pt idx="5">
                    <c:v>1.4088168796578617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(Graficcos!$S$100,Graficcos!$S$101,Graficcos!$S$102,Graficcos!$S$103,Graficcos!$S$104,Graficcos!$S$105)</c:f>
              <c:strCache>
                <c:ptCount val="6"/>
                <c:pt idx="0">
                  <c:v>SS1</c:v>
                </c:pt>
                <c:pt idx="1">
                  <c:v>Transición</c:v>
                </c:pt>
                <c:pt idx="2">
                  <c:v>SS2</c:v>
                </c:pt>
                <c:pt idx="3">
                  <c:v>SS3</c:v>
                </c:pt>
                <c:pt idx="4">
                  <c:v>SS4</c:v>
                </c:pt>
                <c:pt idx="5">
                  <c:v>SS5</c:v>
                </c:pt>
              </c:strCache>
            </c:strRef>
          </c:cat>
          <c:val>
            <c:numRef>
              <c:f>(ferment.!$CX$12,ferment.!$CX$21,ferment.!$CX$31,ferment.!$CX$42,ferment.!$CX$58,ferment.!$CX$68)</c:f>
              <c:numCache>
                <c:formatCode>0.00</c:formatCode>
                <c:ptCount val="6"/>
                <c:pt idx="0">
                  <c:v>28.062334037784694</c:v>
                </c:pt>
                <c:pt idx="1">
                  <c:v>39.913722402522659</c:v>
                </c:pt>
                <c:pt idx="2">
                  <c:v>27.68389049839147</c:v>
                </c:pt>
                <c:pt idx="3">
                  <c:v>29.623815645476579</c:v>
                </c:pt>
                <c:pt idx="4">
                  <c:v>25.875889355320226</c:v>
                </c:pt>
                <c:pt idx="5" formatCode="General">
                  <c:v>23.058627821353745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6-4B32-BAAA-AE6D154F48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55006479"/>
        <c:axId val="1354995663"/>
      </c:barChart>
      <c:catAx>
        <c:axId val="135500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4995663"/>
        <c:crosses val="autoZero"/>
        <c:auto val="1"/>
        <c:lblAlgn val="ctr"/>
        <c:lblOffset val="100"/>
        <c:noMultiLvlLbl val="0"/>
      </c:catAx>
      <c:valAx>
        <c:axId val="135499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C(Lact) (mmol/L)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5006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91426071741033"/>
          <c:y val="5.0925925925925923E-2"/>
          <c:w val="0.63069488188976375"/>
          <c:h val="0.65655876348789732"/>
        </c:manualLayout>
      </c:layout>
      <c:scatterChart>
        <c:scatterStyle val="lineMarker"/>
        <c:varyColors val="0"/>
        <c:ser>
          <c:idx val="1"/>
          <c:order val="0"/>
          <c:tx>
            <c:v>C(Lact)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(ferment.!$CY$12,ferment.!$CY$21,ferment.!$CY$31,ferment.!$CY$42,ferment.!$CY$58,ferment.!$CY$68)</c:f>
                <c:numCache>
                  <c:formatCode>General</c:formatCode>
                  <c:ptCount val="6"/>
                  <c:pt idx="0">
                    <c:v>4.8189810672092968</c:v>
                  </c:pt>
                  <c:pt idx="1">
                    <c:v>0.37571671877334867</c:v>
                  </c:pt>
                  <c:pt idx="2">
                    <c:v>3.8414152090424629</c:v>
                  </c:pt>
                  <c:pt idx="3">
                    <c:v>4.2268398203684461</c:v>
                  </c:pt>
                  <c:pt idx="4">
                    <c:v>2.5685402882367336</c:v>
                  </c:pt>
                  <c:pt idx="5">
                    <c:v>1.4088168796578617</c:v>
                  </c:pt>
                </c:numCache>
              </c:numRef>
            </c:plus>
            <c:minus>
              <c:numRef>
                <c:f>(ferment.!$CY$12,ferment.!$CY$21,ferment.!$CY$31,ferment.!$CY$42,ferment.!$CY$58,ferment.!$CY$68)</c:f>
                <c:numCache>
                  <c:formatCode>General</c:formatCode>
                  <c:ptCount val="6"/>
                  <c:pt idx="0">
                    <c:v>4.8189810672092968</c:v>
                  </c:pt>
                  <c:pt idx="1">
                    <c:v>0.37571671877334867</c:v>
                  </c:pt>
                  <c:pt idx="2">
                    <c:v>3.8414152090424629</c:v>
                  </c:pt>
                  <c:pt idx="3">
                    <c:v>4.2268398203684461</c:v>
                  </c:pt>
                  <c:pt idx="4">
                    <c:v>2.5685402882367336</c:v>
                  </c:pt>
                  <c:pt idx="5">
                    <c:v>1.4088168796578617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Graficcos!$S$100:$S$105</c:f>
              <c:strCache>
                <c:ptCount val="6"/>
                <c:pt idx="0">
                  <c:v>SS1</c:v>
                </c:pt>
                <c:pt idx="1">
                  <c:v>Transición</c:v>
                </c:pt>
                <c:pt idx="2">
                  <c:v>SS2</c:v>
                </c:pt>
                <c:pt idx="3">
                  <c:v>SS3</c:v>
                </c:pt>
                <c:pt idx="4">
                  <c:v>SS4</c:v>
                </c:pt>
                <c:pt idx="5">
                  <c:v>SS5</c:v>
                </c:pt>
              </c:strCache>
            </c:strRef>
          </c:xVal>
          <c:yVal>
            <c:numRef>
              <c:f>(ferment.!$CX$12,ferment.!$CX$21,ferment.!$CX$31,ferment.!$CX$42,ferment.!$CX$58,ferment.!$CX$68)</c:f>
              <c:numCache>
                <c:formatCode>0.00</c:formatCode>
                <c:ptCount val="6"/>
                <c:pt idx="0">
                  <c:v>28.062334037784694</c:v>
                </c:pt>
                <c:pt idx="1">
                  <c:v>39.913722402522659</c:v>
                </c:pt>
                <c:pt idx="2">
                  <c:v>27.68389049839147</c:v>
                </c:pt>
                <c:pt idx="3">
                  <c:v>29.623815645476579</c:v>
                </c:pt>
                <c:pt idx="4">
                  <c:v>25.875889355320226</c:v>
                </c:pt>
                <c:pt idx="5" formatCode="General">
                  <c:v>23.058627821353745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E1-461D-A035-DCC1D383C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855551"/>
        <c:axId val="1077844319"/>
      </c:scatterChart>
      <c:catAx>
        <c:axId val="107785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7844319"/>
        <c:crosses val="autoZero"/>
        <c:auto val="1"/>
        <c:lblAlgn val="ctr"/>
        <c:lblOffset val="100"/>
        <c:noMultiLvlLbl val="0"/>
      </c:catAx>
      <c:valAx>
        <c:axId val="107784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baseline="0">
                    <a:effectLst/>
                  </a:rPr>
                  <a:t>C(Lact)  (mmol/L)</a:t>
                </a:r>
                <a:endParaRPr lang="es-E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785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ferment.!$Y$6</c:f>
              <c:strCache>
                <c:ptCount val="1"/>
                <c:pt idx="0">
                  <c:v>SXv</c:v>
                </c:pt>
              </c:strCache>
            </c:strRef>
          </c:tx>
          <c:xVal>
            <c:numRef>
              <c:f>ferment.!$E$8:$E$63</c:f>
              <c:numCache>
                <c:formatCode>0.00</c:formatCode>
                <c:ptCount val="56"/>
                <c:pt idx="0">
                  <c:v>2.0833333335758653E-2</c:v>
                </c:pt>
                <c:pt idx="1">
                  <c:v>0.98958333333575865</c:v>
                </c:pt>
                <c:pt idx="2">
                  <c:v>1.9513888888905058</c:v>
                </c:pt>
                <c:pt idx="3">
                  <c:v>2.8993055555547471</c:v>
                </c:pt>
                <c:pt idx="4">
                  <c:v>3.8958333333357587</c:v>
                </c:pt>
                <c:pt idx="5">
                  <c:v>5.03125</c:v>
                </c:pt>
                <c:pt idx="6">
                  <c:v>6.21875</c:v>
                </c:pt>
                <c:pt idx="7">
                  <c:v>6.9652777777810115</c:v>
                </c:pt>
                <c:pt idx="8">
                  <c:v>7.9909722222218988</c:v>
                </c:pt>
                <c:pt idx="9">
                  <c:v>8.9166666666642413</c:v>
                </c:pt>
                <c:pt idx="10">
                  <c:v>9.9097222222189885</c:v>
                </c:pt>
                <c:pt idx="11">
                  <c:v>10.895833333335759</c:v>
                </c:pt>
                <c:pt idx="12">
                  <c:v>12.208333333335759</c:v>
                </c:pt>
                <c:pt idx="13">
                  <c:v>13.017361111109494</c:v>
                </c:pt>
                <c:pt idx="14">
                  <c:v>15.048611111109494</c:v>
                </c:pt>
                <c:pt idx="15">
                  <c:v>15.9375</c:v>
                </c:pt>
                <c:pt idx="16">
                  <c:v>16.899305555554747</c:v>
                </c:pt>
                <c:pt idx="17">
                  <c:v>19.0625</c:v>
                </c:pt>
                <c:pt idx="18">
                  <c:v>19.979166666664241</c:v>
                </c:pt>
                <c:pt idx="19">
                  <c:v>21.225694444445253</c:v>
                </c:pt>
                <c:pt idx="20">
                  <c:v>22.145833333335759</c:v>
                </c:pt>
                <c:pt idx="21">
                  <c:v>23.020833333335759</c:v>
                </c:pt>
                <c:pt idx="22">
                  <c:v>23.90625</c:v>
                </c:pt>
                <c:pt idx="23">
                  <c:v>24.930555555554747</c:v>
                </c:pt>
                <c:pt idx="24">
                  <c:v>26.243055555554747</c:v>
                </c:pt>
                <c:pt idx="25">
                  <c:v>27.03125</c:v>
                </c:pt>
                <c:pt idx="26">
                  <c:v>28.145833333335759</c:v>
                </c:pt>
                <c:pt idx="27">
                  <c:v>29.201388888890506</c:v>
                </c:pt>
                <c:pt idx="28">
                  <c:v>30.041666666664241</c:v>
                </c:pt>
                <c:pt idx="29">
                  <c:v>33.152777777781012</c:v>
                </c:pt>
                <c:pt idx="30">
                  <c:v>35.194444444445253</c:v>
                </c:pt>
                <c:pt idx="31">
                  <c:v>36.274305555554747</c:v>
                </c:pt>
                <c:pt idx="32">
                  <c:v>37.902777777781012</c:v>
                </c:pt>
                <c:pt idx="33">
                  <c:v>38.902777777781012</c:v>
                </c:pt>
                <c:pt idx="34">
                  <c:v>41.1875</c:v>
                </c:pt>
                <c:pt idx="35">
                  <c:v>43.263888888890506</c:v>
                </c:pt>
                <c:pt idx="36">
                  <c:v>43.951388888890506</c:v>
                </c:pt>
                <c:pt idx="37">
                  <c:v>44.902777777781012</c:v>
                </c:pt>
                <c:pt idx="38">
                  <c:v>47.173611111109494</c:v>
                </c:pt>
                <c:pt idx="39">
                  <c:v>47.944444444445253</c:v>
                </c:pt>
                <c:pt idx="40">
                  <c:v>48.989583333335759</c:v>
                </c:pt>
                <c:pt idx="41">
                  <c:v>51.225694444445253</c:v>
                </c:pt>
                <c:pt idx="42">
                  <c:v>54.138888888890506</c:v>
                </c:pt>
                <c:pt idx="43">
                  <c:v>55.180555555554747</c:v>
                </c:pt>
                <c:pt idx="44">
                  <c:v>56.048611111109494</c:v>
                </c:pt>
                <c:pt idx="45">
                  <c:v>57.979166666664241</c:v>
                </c:pt>
                <c:pt idx="46">
                  <c:v>59.003472222218988</c:v>
                </c:pt>
                <c:pt idx="47">
                  <c:v>61.961805555554747</c:v>
                </c:pt>
                <c:pt idx="48">
                  <c:v>62.975694444445253</c:v>
                </c:pt>
                <c:pt idx="49">
                  <c:v>64.034722222218988</c:v>
                </c:pt>
                <c:pt idx="50">
                  <c:v>65.034722222218988</c:v>
                </c:pt>
                <c:pt idx="51">
                  <c:v>67.96875</c:v>
                </c:pt>
                <c:pt idx="52">
                  <c:v>69.048611111109494</c:v>
                </c:pt>
                <c:pt idx="53">
                  <c:v>70.1875</c:v>
                </c:pt>
                <c:pt idx="54">
                  <c:v>71.21875</c:v>
                </c:pt>
                <c:pt idx="55">
                  <c:v>71.951388888890506</c:v>
                </c:pt>
              </c:numCache>
            </c:numRef>
          </c:xVal>
          <c:yVal>
            <c:numRef>
              <c:f>ferment.!$Y$8:$Y$63</c:f>
              <c:numCache>
                <c:formatCode>0.00E+00</c:formatCode>
                <c:ptCount val="56"/>
                <c:pt idx="0">
                  <c:v>0</c:v>
                </c:pt>
                <c:pt idx="1">
                  <c:v>15257812.5</c:v>
                </c:pt>
                <c:pt idx="2">
                  <c:v>45304618.055530295</c:v>
                </c:pt>
                <c:pt idx="3">
                  <c:v>99275201.388725534</c:v>
                </c:pt>
                <c:pt idx="4">
                  <c:v>174150312.50007963</c:v>
                </c:pt>
                <c:pt idx="5">
                  <c:v>257058437.49990255</c:v>
                </c:pt>
                <c:pt idx="6">
                  <c:v>335005937.49990255</c:v>
                </c:pt>
                <c:pt idx="7">
                  <c:v>378476250.00009084</c:v>
                </c:pt>
                <c:pt idx="8">
                  <c:v>440151256.94432139</c:v>
                </c:pt>
                <c:pt idx="9">
                  <c:v>503598354.16639954</c:v>
                </c:pt>
                <c:pt idx="10">
                  <c:v>572456826.38856566</c:v>
                </c:pt>
                <c:pt idx="11">
                  <c:v>644521826.3889792</c:v>
                </c:pt>
                <c:pt idx="12">
                  <c:v>740281826.3889792</c:v>
                </c:pt>
                <c:pt idx="13">
                  <c:v>791250576.38872457</c:v>
                </c:pt>
                <c:pt idx="14">
                  <c:v>931000576.38872457</c:v>
                </c:pt>
                <c:pt idx="15">
                  <c:v>1005951687.499972</c:v>
                </c:pt>
                <c:pt idx="16">
                  <c:v>1097400159.7221174</c:v>
                </c:pt>
                <c:pt idx="17">
                  <c:v>1342446826.3888757</c:v>
                </c:pt>
                <c:pt idx="18">
                  <c:v>1469661826.3885391</c:v>
                </c:pt>
                <c:pt idx="19">
                  <c:v>1673394326.3890676</c:v>
                </c:pt>
                <c:pt idx="20">
                  <c:v>1823616201.3893316</c:v>
                </c:pt>
                <c:pt idx="21">
                  <c:v>1962846201.3893316</c:v>
                </c:pt>
                <c:pt idx="22">
                  <c:v>2108939951.3889313</c:v>
                </c:pt>
                <c:pt idx="23">
                  <c:v>2291409743.0554538</c:v>
                </c:pt>
                <c:pt idx="24">
                  <c:v>2534983493.0554538</c:v>
                </c:pt>
                <c:pt idx="25">
                  <c:v>2683952243.0556064</c:v>
                </c:pt>
                <c:pt idx="26">
                  <c:v>2912798493.0561042</c:v>
                </c:pt>
                <c:pt idx="27">
                  <c:v>3135605159.7226</c:v>
                </c:pt>
                <c:pt idx="28">
                  <c:v>3312718909.7217479</c:v>
                </c:pt>
                <c:pt idx="29">
                  <c:v>3969972243.0562768</c:v>
                </c:pt>
                <c:pt idx="30">
                  <c:v>4423344743.0557384</c:v>
                </c:pt>
                <c:pt idx="31">
                  <c:v>4670589743.0553684</c:v>
                </c:pt>
                <c:pt idx="32">
                  <c:v>5000062243.0561867</c:v>
                </c:pt>
                <c:pt idx="33">
                  <c:v>5172682243.0561867</c:v>
                </c:pt>
                <c:pt idx="34">
                  <c:v>5512100576.38904</c:v>
                </c:pt>
                <c:pt idx="35">
                  <c:v>5788052659.7225885</c:v>
                </c:pt>
                <c:pt idx="36">
                  <c:v>5878046409.7225885</c:v>
                </c:pt>
                <c:pt idx="37">
                  <c:v>6000356965.2783518</c:v>
                </c:pt>
                <c:pt idx="38">
                  <c:v>6292658631.9443941</c:v>
                </c:pt>
                <c:pt idx="39">
                  <c:v>6393853631.9447126</c:v>
                </c:pt>
                <c:pt idx="40">
                  <c:v>6529345437.5004778</c:v>
                </c:pt>
                <c:pt idx="41">
                  <c:v>6807338770.8336105</c:v>
                </c:pt>
                <c:pt idx="42">
                  <c:v>7201668770.8337202</c:v>
                </c:pt>
                <c:pt idx="43">
                  <c:v>7347960437.5000458</c:v>
                </c:pt>
                <c:pt idx="44">
                  <c:v>7469627104.1665993</c:v>
                </c:pt>
                <c:pt idx="45">
                  <c:v>7767067798.610919</c:v>
                </c:pt>
                <c:pt idx="46">
                  <c:v>7940103736.1107826</c:v>
                </c:pt>
                <c:pt idx="47">
                  <c:v>8482011236.111227</c:v>
                </c:pt>
                <c:pt idx="48">
                  <c:v>8690669569.4448929</c:v>
                </c:pt>
                <c:pt idx="49">
                  <c:v>8902644569.4440842</c:v>
                </c:pt>
                <c:pt idx="50">
                  <c:v>9104244569.4440842</c:v>
                </c:pt>
                <c:pt idx="51">
                  <c:v>9812284152.7781982</c:v>
                </c:pt>
                <c:pt idx="52">
                  <c:v>10087951097.222229</c:v>
                </c:pt>
                <c:pt idx="53">
                  <c:v>10349257763.889267</c:v>
                </c:pt>
                <c:pt idx="54">
                  <c:v>10574812763.889267</c:v>
                </c:pt>
                <c:pt idx="55">
                  <c:v>10744960819.445198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67-4C71-885F-D50589C80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411720"/>
        <c:axId val="315412112"/>
      </c:scatterChart>
      <c:valAx>
        <c:axId val="31541172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15412112"/>
        <c:crosses val="autoZero"/>
        <c:crossBetween val="midCat"/>
      </c:valAx>
      <c:valAx>
        <c:axId val="315412112"/>
        <c:scaling>
          <c:orientation val="minMax"/>
          <c:max val="1500000000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15411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1364402195114"/>
          <c:y val="0.11778463613847451"/>
          <c:w val="0.77314738097064994"/>
          <c:h val="0.7264559839578849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ferment.!$E$8:$E$71</c:f>
              <c:numCache>
                <c:formatCode>0.00</c:formatCode>
                <c:ptCount val="64"/>
                <c:pt idx="0">
                  <c:v>2.0833333335758653E-2</c:v>
                </c:pt>
                <c:pt idx="1">
                  <c:v>0.98958333333575865</c:v>
                </c:pt>
                <c:pt idx="2">
                  <c:v>1.9513888888905058</c:v>
                </c:pt>
                <c:pt idx="3">
                  <c:v>2.8993055555547471</c:v>
                </c:pt>
                <c:pt idx="4">
                  <c:v>3.8958333333357587</c:v>
                </c:pt>
                <c:pt idx="5">
                  <c:v>5.03125</c:v>
                </c:pt>
                <c:pt idx="6">
                  <c:v>6.21875</c:v>
                </c:pt>
                <c:pt idx="7">
                  <c:v>6.9652777777810115</c:v>
                </c:pt>
                <c:pt idx="8">
                  <c:v>7.9909722222218988</c:v>
                </c:pt>
                <c:pt idx="9">
                  <c:v>8.9166666666642413</c:v>
                </c:pt>
                <c:pt idx="10">
                  <c:v>9.9097222222189885</c:v>
                </c:pt>
                <c:pt idx="11">
                  <c:v>10.895833333335759</c:v>
                </c:pt>
                <c:pt idx="12">
                  <c:v>12.208333333335759</c:v>
                </c:pt>
                <c:pt idx="13">
                  <c:v>13.017361111109494</c:v>
                </c:pt>
                <c:pt idx="14">
                  <c:v>15.048611111109494</c:v>
                </c:pt>
                <c:pt idx="15">
                  <c:v>15.9375</c:v>
                </c:pt>
                <c:pt idx="16">
                  <c:v>16.899305555554747</c:v>
                </c:pt>
                <c:pt idx="17">
                  <c:v>19.0625</c:v>
                </c:pt>
                <c:pt idx="18">
                  <c:v>19.979166666664241</c:v>
                </c:pt>
                <c:pt idx="19">
                  <c:v>21.225694444445253</c:v>
                </c:pt>
                <c:pt idx="20">
                  <c:v>22.145833333335759</c:v>
                </c:pt>
                <c:pt idx="21">
                  <c:v>23.020833333335759</c:v>
                </c:pt>
                <c:pt idx="22">
                  <c:v>23.90625</c:v>
                </c:pt>
                <c:pt idx="23">
                  <c:v>24.930555555554747</c:v>
                </c:pt>
                <c:pt idx="24">
                  <c:v>26.243055555554747</c:v>
                </c:pt>
                <c:pt idx="25">
                  <c:v>27.03125</c:v>
                </c:pt>
                <c:pt idx="26">
                  <c:v>28.145833333335759</c:v>
                </c:pt>
                <c:pt idx="27">
                  <c:v>29.201388888890506</c:v>
                </c:pt>
                <c:pt idx="28">
                  <c:v>30.041666666664241</c:v>
                </c:pt>
                <c:pt idx="29">
                  <c:v>33.152777777781012</c:v>
                </c:pt>
                <c:pt idx="30">
                  <c:v>35.194444444445253</c:v>
                </c:pt>
                <c:pt idx="31">
                  <c:v>36.274305555554747</c:v>
                </c:pt>
                <c:pt idx="32">
                  <c:v>37.902777777781012</c:v>
                </c:pt>
                <c:pt idx="33">
                  <c:v>38.902777777781012</c:v>
                </c:pt>
                <c:pt idx="34">
                  <c:v>41.1875</c:v>
                </c:pt>
                <c:pt idx="35">
                  <c:v>43.263888888890506</c:v>
                </c:pt>
                <c:pt idx="36">
                  <c:v>43.951388888890506</c:v>
                </c:pt>
                <c:pt idx="37">
                  <c:v>44.902777777781012</c:v>
                </c:pt>
                <c:pt idx="38">
                  <c:v>47.173611111109494</c:v>
                </c:pt>
                <c:pt idx="39">
                  <c:v>47.944444444445253</c:v>
                </c:pt>
                <c:pt idx="40">
                  <c:v>48.989583333335759</c:v>
                </c:pt>
                <c:pt idx="41">
                  <c:v>51.225694444445253</c:v>
                </c:pt>
                <c:pt idx="42">
                  <c:v>54.138888888890506</c:v>
                </c:pt>
                <c:pt idx="43">
                  <c:v>55.180555555554747</c:v>
                </c:pt>
                <c:pt idx="44">
                  <c:v>56.048611111109494</c:v>
                </c:pt>
                <c:pt idx="45">
                  <c:v>57.979166666664241</c:v>
                </c:pt>
                <c:pt idx="46">
                  <c:v>59.003472222218988</c:v>
                </c:pt>
                <c:pt idx="47">
                  <c:v>61.961805555554747</c:v>
                </c:pt>
                <c:pt idx="48">
                  <c:v>62.975694444445253</c:v>
                </c:pt>
                <c:pt idx="49">
                  <c:v>64.034722222218988</c:v>
                </c:pt>
                <c:pt idx="50">
                  <c:v>65.034722222218988</c:v>
                </c:pt>
                <c:pt idx="51">
                  <c:v>67.96875</c:v>
                </c:pt>
                <c:pt idx="52">
                  <c:v>69.048611111109494</c:v>
                </c:pt>
                <c:pt idx="53">
                  <c:v>70.1875</c:v>
                </c:pt>
                <c:pt idx="54">
                  <c:v>71.21875</c:v>
                </c:pt>
                <c:pt idx="55">
                  <c:v>71.951388888890506</c:v>
                </c:pt>
                <c:pt idx="56">
                  <c:v>72.899305555554747</c:v>
                </c:pt>
                <c:pt idx="57">
                  <c:v>77.201388888890506</c:v>
                </c:pt>
                <c:pt idx="58">
                  <c:v>78.201388888890506</c:v>
                </c:pt>
                <c:pt idx="59">
                  <c:v>78.972222222218988</c:v>
                </c:pt>
                <c:pt idx="60">
                  <c:v>81.979166666664241</c:v>
                </c:pt>
                <c:pt idx="61">
                  <c:v>83.197916666664241</c:v>
                </c:pt>
                <c:pt idx="62">
                  <c:v>84.215277777781012</c:v>
                </c:pt>
                <c:pt idx="63">
                  <c:v>85.267361111109494</c:v>
                </c:pt>
              </c:numCache>
            </c:numRef>
          </c:xVal>
          <c:yVal>
            <c:numRef>
              <c:f>ferment.!$G$8:$G$71</c:f>
              <c:numCache>
                <c:formatCode>0.00E+00</c:formatCode>
                <c:ptCount val="64"/>
                <c:pt idx="0">
                  <c:v>475000</c:v>
                </c:pt>
                <c:pt idx="1">
                  <c:v>740000</c:v>
                </c:pt>
                <c:pt idx="2">
                  <c:v>1630000</c:v>
                </c:pt>
                <c:pt idx="3">
                  <c:v>2270000</c:v>
                </c:pt>
                <c:pt idx="4">
                  <c:v>3480000</c:v>
                </c:pt>
                <c:pt idx="5">
                  <c:v>2770000</c:v>
                </c:pt>
                <c:pt idx="6">
                  <c:v>2680000</c:v>
                </c:pt>
                <c:pt idx="7">
                  <c:v>2355000</c:v>
                </c:pt>
                <c:pt idx="8">
                  <c:v>2600000</c:v>
                </c:pt>
                <c:pt idx="9">
                  <c:v>2775000</c:v>
                </c:pt>
                <c:pt idx="10">
                  <c:v>2550000</c:v>
                </c:pt>
                <c:pt idx="11">
                  <c:v>3195000</c:v>
                </c:pt>
                <c:pt idx="12">
                  <c:v>3015000</c:v>
                </c:pt>
                <c:pt idx="13">
                  <c:v>2080000</c:v>
                </c:pt>
                <c:pt idx="14">
                  <c:v>3760000</c:v>
                </c:pt>
                <c:pt idx="15">
                  <c:v>3260000</c:v>
                </c:pt>
                <c:pt idx="16">
                  <c:v>4260000</c:v>
                </c:pt>
                <c:pt idx="17">
                  <c:v>5940000</c:v>
                </c:pt>
                <c:pt idx="18">
                  <c:v>6390000</c:v>
                </c:pt>
                <c:pt idx="19">
                  <c:v>7050000</c:v>
                </c:pt>
                <c:pt idx="20">
                  <c:v>6780000</c:v>
                </c:pt>
                <c:pt idx="21">
                  <c:v>6720000</c:v>
                </c:pt>
                <c:pt idx="22">
                  <c:v>7560000</c:v>
                </c:pt>
                <c:pt idx="23">
                  <c:v>7920000</c:v>
                </c:pt>
                <c:pt idx="24">
                  <c:v>7350000</c:v>
                </c:pt>
                <c:pt idx="25">
                  <c:v>8730000</c:v>
                </c:pt>
                <c:pt idx="26">
                  <c:v>9150000</c:v>
                </c:pt>
                <c:pt idx="27">
                  <c:v>9870000</c:v>
                </c:pt>
                <c:pt idx="28">
                  <c:v>8610000</c:v>
                </c:pt>
                <c:pt idx="29">
                  <c:v>9900000</c:v>
                </c:pt>
                <c:pt idx="30">
                  <c:v>9960000</c:v>
                </c:pt>
                <c:pt idx="31">
                  <c:v>9420000</c:v>
                </c:pt>
                <c:pt idx="32">
                  <c:v>7830000</c:v>
                </c:pt>
                <c:pt idx="33">
                  <c:v>6870000</c:v>
                </c:pt>
                <c:pt idx="34">
                  <c:v>5340000</c:v>
                </c:pt>
                <c:pt idx="35">
                  <c:v>5640000</c:v>
                </c:pt>
                <c:pt idx="36">
                  <c:v>5440000</c:v>
                </c:pt>
                <c:pt idx="37">
                  <c:v>5460000</c:v>
                </c:pt>
                <c:pt idx="38">
                  <c:v>5960000</c:v>
                </c:pt>
                <c:pt idx="39">
                  <c:v>6260000</c:v>
                </c:pt>
                <c:pt idx="40">
                  <c:v>5460000</c:v>
                </c:pt>
                <c:pt idx="41">
                  <c:v>5200000</c:v>
                </c:pt>
                <c:pt idx="42">
                  <c:v>5860000</c:v>
                </c:pt>
                <c:pt idx="43">
                  <c:v>5080000</c:v>
                </c:pt>
                <c:pt idx="44">
                  <c:v>6600000</c:v>
                </c:pt>
                <c:pt idx="45">
                  <c:v>6480000</c:v>
                </c:pt>
                <c:pt idx="46">
                  <c:v>7325000</c:v>
                </c:pt>
                <c:pt idx="47">
                  <c:v>7620000</c:v>
                </c:pt>
                <c:pt idx="48">
                  <c:v>9270000</c:v>
                </c:pt>
                <c:pt idx="49">
                  <c:v>7860000</c:v>
                </c:pt>
                <c:pt idx="50">
                  <c:v>9870000</c:v>
                </c:pt>
                <c:pt idx="51">
                  <c:v>11250000</c:v>
                </c:pt>
                <c:pt idx="52">
                  <c:v>9920000</c:v>
                </c:pt>
                <c:pt idx="53">
                  <c:v>9000000</c:v>
                </c:pt>
                <c:pt idx="54">
                  <c:v>9720000</c:v>
                </c:pt>
                <c:pt idx="55">
                  <c:v>9900000</c:v>
                </c:pt>
                <c:pt idx="56">
                  <c:v>9520000</c:v>
                </c:pt>
                <c:pt idx="57">
                  <c:v>10240000</c:v>
                </c:pt>
                <c:pt idx="58">
                  <c:v>10840000</c:v>
                </c:pt>
                <c:pt idx="59">
                  <c:v>10720000</c:v>
                </c:pt>
                <c:pt idx="60">
                  <c:v>10400000</c:v>
                </c:pt>
                <c:pt idx="61">
                  <c:v>10000000</c:v>
                </c:pt>
                <c:pt idx="62">
                  <c:v>11000000</c:v>
                </c:pt>
                <c:pt idx="63">
                  <c:v>9920000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9-413E-A166-4FFCCC708E9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ferment.!$E$8:$E$71</c:f>
              <c:numCache>
                <c:formatCode>0.00</c:formatCode>
                <c:ptCount val="64"/>
                <c:pt idx="0">
                  <c:v>2.0833333335758653E-2</c:v>
                </c:pt>
                <c:pt idx="1">
                  <c:v>0.98958333333575865</c:v>
                </c:pt>
                <c:pt idx="2">
                  <c:v>1.9513888888905058</c:v>
                </c:pt>
                <c:pt idx="3">
                  <c:v>2.8993055555547471</c:v>
                </c:pt>
                <c:pt idx="4">
                  <c:v>3.8958333333357587</c:v>
                </c:pt>
                <c:pt idx="5">
                  <c:v>5.03125</c:v>
                </c:pt>
                <c:pt idx="6">
                  <c:v>6.21875</c:v>
                </c:pt>
                <c:pt idx="7">
                  <c:v>6.9652777777810115</c:v>
                </c:pt>
                <c:pt idx="8">
                  <c:v>7.9909722222218988</c:v>
                </c:pt>
                <c:pt idx="9">
                  <c:v>8.9166666666642413</c:v>
                </c:pt>
                <c:pt idx="10">
                  <c:v>9.9097222222189885</c:v>
                </c:pt>
                <c:pt idx="11">
                  <c:v>10.895833333335759</c:v>
                </c:pt>
                <c:pt idx="12">
                  <c:v>12.208333333335759</c:v>
                </c:pt>
                <c:pt idx="13">
                  <c:v>13.017361111109494</c:v>
                </c:pt>
                <c:pt idx="14">
                  <c:v>15.048611111109494</c:v>
                </c:pt>
                <c:pt idx="15">
                  <c:v>15.9375</c:v>
                </c:pt>
                <c:pt idx="16">
                  <c:v>16.899305555554747</c:v>
                </c:pt>
                <c:pt idx="17">
                  <c:v>19.0625</c:v>
                </c:pt>
                <c:pt idx="18">
                  <c:v>19.979166666664241</c:v>
                </c:pt>
                <c:pt idx="19">
                  <c:v>21.225694444445253</c:v>
                </c:pt>
                <c:pt idx="20">
                  <c:v>22.145833333335759</c:v>
                </c:pt>
                <c:pt idx="21">
                  <c:v>23.020833333335759</c:v>
                </c:pt>
                <c:pt idx="22">
                  <c:v>23.90625</c:v>
                </c:pt>
                <c:pt idx="23">
                  <c:v>24.930555555554747</c:v>
                </c:pt>
                <c:pt idx="24">
                  <c:v>26.243055555554747</c:v>
                </c:pt>
                <c:pt idx="25">
                  <c:v>27.03125</c:v>
                </c:pt>
                <c:pt idx="26">
                  <c:v>28.145833333335759</c:v>
                </c:pt>
                <c:pt idx="27">
                  <c:v>29.201388888890506</c:v>
                </c:pt>
                <c:pt idx="28">
                  <c:v>30.041666666664241</c:v>
                </c:pt>
                <c:pt idx="29">
                  <c:v>33.152777777781012</c:v>
                </c:pt>
                <c:pt idx="30">
                  <c:v>35.194444444445253</c:v>
                </c:pt>
                <c:pt idx="31">
                  <c:v>36.274305555554747</c:v>
                </c:pt>
                <c:pt idx="32">
                  <c:v>37.902777777781012</c:v>
                </c:pt>
                <c:pt idx="33">
                  <c:v>38.902777777781012</c:v>
                </c:pt>
                <c:pt idx="34">
                  <c:v>41.1875</c:v>
                </c:pt>
                <c:pt idx="35">
                  <c:v>43.263888888890506</c:v>
                </c:pt>
                <c:pt idx="36">
                  <c:v>43.951388888890506</c:v>
                </c:pt>
                <c:pt idx="37">
                  <c:v>44.902777777781012</c:v>
                </c:pt>
                <c:pt idx="38">
                  <c:v>47.173611111109494</c:v>
                </c:pt>
                <c:pt idx="39">
                  <c:v>47.944444444445253</c:v>
                </c:pt>
                <c:pt idx="40">
                  <c:v>48.989583333335759</c:v>
                </c:pt>
                <c:pt idx="41">
                  <c:v>51.225694444445253</c:v>
                </c:pt>
                <c:pt idx="42">
                  <c:v>54.138888888890506</c:v>
                </c:pt>
                <c:pt idx="43">
                  <c:v>55.180555555554747</c:v>
                </c:pt>
                <c:pt idx="44">
                  <c:v>56.048611111109494</c:v>
                </c:pt>
                <c:pt idx="45">
                  <c:v>57.979166666664241</c:v>
                </c:pt>
                <c:pt idx="46">
                  <c:v>59.003472222218988</c:v>
                </c:pt>
                <c:pt idx="47">
                  <c:v>61.961805555554747</c:v>
                </c:pt>
                <c:pt idx="48">
                  <c:v>62.975694444445253</c:v>
                </c:pt>
                <c:pt idx="49">
                  <c:v>64.034722222218988</c:v>
                </c:pt>
                <c:pt idx="50">
                  <c:v>65.034722222218988</c:v>
                </c:pt>
                <c:pt idx="51">
                  <c:v>67.96875</c:v>
                </c:pt>
                <c:pt idx="52">
                  <c:v>69.048611111109494</c:v>
                </c:pt>
                <c:pt idx="53">
                  <c:v>70.1875</c:v>
                </c:pt>
                <c:pt idx="54">
                  <c:v>71.21875</c:v>
                </c:pt>
                <c:pt idx="55">
                  <c:v>71.951388888890506</c:v>
                </c:pt>
                <c:pt idx="56">
                  <c:v>72.899305555554747</c:v>
                </c:pt>
                <c:pt idx="57">
                  <c:v>77.201388888890506</c:v>
                </c:pt>
                <c:pt idx="58">
                  <c:v>78.201388888890506</c:v>
                </c:pt>
                <c:pt idx="59">
                  <c:v>78.972222222218988</c:v>
                </c:pt>
                <c:pt idx="60">
                  <c:v>81.979166666664241</c:v>
                </c:pt>
                <c:pt idx="61">
                  <c:v>83.197916666664241</c:v>
                </c:pt>
                <c:pt idx="62">
                  <c:v>84.215277777781012</c:v>
                </c:pt>
                <c:pt idx="63">
                  <c:v>85.267361111109494</c:v>
                </c:pt>
              </c:numCache>
            </c:numRef>
          </c:xVal>
          <c:yVal>
            <c:numRef>
              <c:f>ferment.!$H$8:$H$71</c:f>
              <c:numCache>
                <c:formatCode>0.00E+00</c:formatCode>
                <c:ptCount val="64"/>
                <c:pt idx="0">
                  <c:v>450000</c:v>
                </c:pt>
                <c:pt idx="1">
                  <c:v>890000</c:v>
                </c:pt>
                <c:pt idx="2">
                  <c:v>1960000</c:v>
                </c:pt>
                <c:pt idx="3">
                  <c:v>1960000</c:v>
                </c:pt>
                <c:pt idx="4">
                  <c:v>3060000</c:v>
                </c:pt>
                <c:pt idx="5">
                  <c:v>2860000</c:v>
                </c:pt>
                <c:pt idx="6">
                  <c:v>2630000</c:v>
                </c:pt>
                <c:pt idx="7">
                  <c:v>2040000</c:v>
                </c:pt>
                <c:pt idx="8">
                  <c:v>3420000</c:v>
                </c:pt>
                <c:pt idx="9">
                  <c:v>3360000</c:v>
                </c:pt>
                <c:pt idx="10">
                  <c:v>3300000</c:v>
                </c:pt>
                <c:pt idx="11">
                  <c:v>3225000</c:v>
                </c:pt>
                <c:pt idx="12">
                  <c:v>2715000</c:v>
                </c:pt>
                <c:pt idx="13">
                  <c:v>2680000</c:v>
                </c:pt>
                <c:pt idx="14">
                  <c:v>2980000</c:v>
                </c:pt>
                <c:pt idx="15">
                  <c:v>3840000</c:v>
                </c:pt>
                <c:pt idx="16">
                  <c:v>4240000</c:v>
                </c:pt>
                <c:pt idx="17">
                  <c:v>5190000</c:v>
                </c:pt>
                <c:pt idx="18">
                  <c:v>6360000</c:v>
                </c:pt>
                <c:pt idx="19">
                  <c:v>7440000</c:v>
                </c:pt>
                <c:pt idx="20">
                  <c:v>5940000</c:v>
                </c:pt>
                <c:pt idx="21">
                  <c:v>7080000</c:v>
                </c:pt>
                <c:pt idx="22">
                  <c:v>6690000</c:v>
                </c:pt>
                <c:pt idx="23">
                  <c:v>8070000</c:v>
                </c:pt>
                <c:pt idx="24">
                  <c:v>7590000</c:v>
                </c:pt>
                <c:pt idx="25">
                  <c:v>9300000</c:v>
                </c:pt>
                <c:pt idx="26">
                  <c:v>8730000</c:v>
                </c:pt>
                <c:pt idx="27">
                  <c:v>7650000</c:v>
                </c:pt>
                <c:pt idx="28">
                  <c:v>9000000</c:v>
                </c:pt>
                <c:pt idx="29">
                  <c:v>8430000</c:v>
                </c:pt>
                <c:pt idx="30">
                  <c:v>9450000</c:v>
                </c:pt>
                <c:pt idx="31">
                  <c:v>9330000</c:v>
                </c:pt>
                <c:pt idx="32">
                  <c:v>7140000</c:v>
                </c:pt>
                <c:pt idx="33">
                  <c:v>6930000</c:v>
                </c:pt>
                <c:pt idx="34">
                  <c:v>5620000</c:v>
                </c:pt>
                <c:pt idx="35">
                  <c:v>5550000</c:v>
                </c:pt>
                <c:pt idx="36">
                  <c:v>5900000</c:v>
                </c:pt>
                <c:pt idx="37">
                  <c:v>4800000</c:v>
                </c:pt>
                <c:pt idx="38">
                  <c:v>4780000</c:v>
                </c:pt>
                <c:pt idx="39">
                  <c:v>4740000</c:v>
                </c:pt>
                <c:pt idx="40">
                  <c:v>4920000</c:v>
                </c:pt>
                <c:pt idx="41">
                  <c:v>5140000</c:v>
                </c:pt>
                <c:pt idx="42">
                  <c:v>6360000</c:v>
                </c:pt>
                <c:pt idx="43">
                  <c:v>5820000</c:v>
                </c:pt>
                <c:pt idx="44">
                  <c:v>5540000</c:v>
                </c:pt>
                <c:pt idx="45">
                  <c:v>7025000</c:v>
                </c:pt>
                <c:pt idx="46">
                  <c:v>7325000</c:v>
                </c:pt>
                <c:pt idx="47">
                  <c:v>8130000</c:v>
                </c:pt>
                <c:pt idx="48">
                  <c:v>9150000</c:v>
                </c:pt>
                <c:pt idx="49">
                  <c:v>7080000</c:v>
                </c:pt>
                <c:pt idx="50">
                  <c:v>8790000</c:v>
                </c:pt>
                <c:pt idx="51">
                  <c:v>10290000</c:v>
                </c:pt>
                <c:pt idx="52">
                  <c:v>11000000</c:v>
                </c:pt>
                <c:pt idx="53">
                  <c:v>8560000</c:v>
                </c:pt>
                <c:pt idx="54">
                  <c:v>9480000</c:v>
                </c:pt>
                <c:pt idx="55">
                  <c:v>10120000</c:v>
                </c:pt>
                <c:pt idx="56">
                  <c:v>8920000</c:v>
                </c:pt>
                <c:pt idx="57">
                  <c:v>11280000</c:v>
                </c:pt>
                <c:pt idx="58">
                  <c:v>10600000</c:v>
                </c:pt>
                <c:pt idx="59">
                  <c:v>10760000</c:v>
                </c:pt>
                <c:pt idx="60">
                  <c:v>10480000</c:v>
                </c:pt>
                <c:pt idx="61">
                  <c:v>9640000</c:v>
                </c:pt>
                <c:pt idx="62">
                  <c:v>10080000</c:v>
                </c:pt>
                <c:pt idx="63">
                  <c:v>11600000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E9-413E-A166-4FFCCC708E9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(ferment.!$E$9:$E$11,ferment.!$E$16:$E$18,ferment.!$E$20,ferment.!$E$22:$E$23,ferment.!$E$25,ferment.!$E$30,ferment.!$E$33:$E$35,ferment.!$E$37,ferment.!$E$44:$E$47,ferment.!$E$51:$E$52,ferment.!$E$59:$E$61,ferment.!$E$63:$E$65,ferment.!$E$69:$E$71)</c:f>
              <c:numCache>
                <c:formatCode>0.00</c:formatCode>
                <c:ptCount val="30"/>
                <c:pt idx="0">
                  <c:v>0.98958333333575865</c:v>
                </c:pt>
                <c:pt idx="1">
                  <c:v>1.9513888888905058</c:v>
                </c:pt>
                <c:pt idx="2">
                  <c:v>2.8993055555547471</c:v>
                </c:pt>
                <c:pt idx="3">
                  <c:v>7.9909722222218988</c:v>
                </c:pt>
                <c:pt idx="4">
                  <c:v>8.9166666666642413</c:v>
                </c:pt>
                <c:pt idx="5">
                  <c:v>9.9097222222189885</c:v>
                </c:pt>
                <c:pt idx="6">
                  <c:v>12.208333333335759</c:v>
                </c:pt>
                <c:pt idx="7">
                  <c:v>15.048611111109494</c:v>
                </c:pt>
                <c:pt idx="8">
                  <c:v>15.9375</c:v>
                </c:pt>
                <c:pt idx="9">
                  <c:v>19.0625</c:v>
                </c:pt>
                <c:pt idx="10">
                  <c:v>23.90625</c:v>
                </c:pt>
                <c:pt idx="11">
                  <c:v>27.03125</c:v>
                </c:pt>
                <c:pt idx="12">
                  <c:v>28.145833333335759</c:v>
                </c:pt>
                <c:pt idx="13">
                  <c:v>29.201388888890506</c:v>
                </c:pt>
                <c:pt idx="14">
                  <c:v>33.152777777781012</c:v>
                </c:pt>
                <c:pt idx="15">
                  <c:v>43.951388888890506</c:v>
                </c:pt>
                <c:pt idx="16">
                  <c:v>44.902777777781012</c:v>
                </c:pt>
                <c:pt idx="17">
                  <c:v>47.173611111109494</c:v>
                </c:pt>
                <c:pt idx="18">
                  <c:v>47.944444444445253</c:v>
                </c:pt>
                <c:pt idx="19">
                  <c:v>55.180555555554747</c:v>
                </c:pt>
                <c:pt idx="20">
                  <c:v>56.048611111109494</c:v>
                </c:pt>
                <c:pt idx="21">
                  <c:v>67.96875</c:v>
                </c:pt>
                <c:pt idx="22">
                  <c:v>69.048611111109494</c:v>
                </c:pt>
                <c:pt idx="23">
                  <c:v>70.1875</c:v>
                </c:pt>
                <c:pt idx="24">
                  <c:v>71.951388888890506</c:v>
                </c:pt>
                <c:pt idx="25">
                  <c:v>72.899305555554747</c:v>
                </c:pt>
                <c:pt idx="26">
                  <c:v>77.201388888890506</c:v>
                </c:pt>
                <c:pt idx="27">
                  <c:v>83.197916666664241</c:v>
                </c:pt>
                <c:pt idx="28">
                  <c:v>84.215277777781012</c:v>
                </c:pt>
                <c:pt idx="29">
                  <c:v>85.267361111109494</c:v>
                </c:pt>
              </c:numCache>
            </c:numRef>
          </c:xVal>
          <c:yVal>
            <c:numRef>
              <c:f>(ferment.!$I$9:$I$11,ferment.!$I$16:$I$18,ferment.!$I$20,ferment.!$I$22:$I$23,ferment.!$I$25,ferment.!$I$30,ferment.!$I$33:$I$35,ferment.!$I$37,ferment.!$I$44:$I$47,ferment.!$I$51:$I$52,ferment.!$I$55,ferment.!$I$59:$I$61,ferment.!$I$63:$I$65,ferment.!$I$69:$I$71)</c:f>
              <c:numCache>
                <c:formatCode>0.00E+00</c:formatCode>
                <c:ptCount val="31"/>
                <c:pt idx="0">
                  <c:v>920000</c:v>
                </c:pt>
                <c:pt idx="1">
                  <c:v>1670000</c:v>
                </c:pt>
                <c:pt idx="2">
                  <c:v>2180000</c:v>
                </c:pt>
                <c:pt idx="3">
                  <c:v>2420000</c:v>
                </c:pt>
                <c:pt idx="4">
                  <c:v>2560000</c:v>
                </c:pt>
                <c:pt idx="5">
                  <c:v>2790000</c:v>
                </c:pt>
                <c:pt idx="6">
                  <c:v>2880000</c:v>
                </c:pt>
                <c:pt idx="7">
                  <c:v>3320000</c:v>
                </c:pt>
                <c:pt idx="8">
                  <c:v>3920000</c:v>
                </c:pt>
                <c:pt idx="9">
                  <c:v>4440000</c:v>
                </c:pt>
                <c:pt idx="10">
                  <c:v>6300000</c:v>
                </c:pt>
                <c:pt idx="11">
                  <c:v>6810000</c:v>
                </c:pt>
                <c:pt idx="12">
                  <c:v>8610000</c:v>
                </c:pt>
                <c:pt idx="13">
                  <c:v>8760000</c:v>
                </c:pt>
                <c:pt idx="14">
                  <c:v>8070000</c:v>
                </c:pt>
                <c:pt idx="15">
                  <c:v>4600000</c:v>
                </c:pt>
                <c:pt idx="16">
                  <c:v>5940000</c:v>
                </c:pt>
                <c:pt idx="17">
                  <c:v>5240000</c:v>
                </c:pt>
                <c:pt idx="18">
                  <c:v>5840000</c:v>
                </c:pt>
                <c:pt idx="19">
                  <c:v>5880000</c:v>
                </c:pt>
                <c:pt idx="20">
                  <c:v>6120000</c:v>
                </c:pt>
                <c:pt idx="21">
                  <c:v>8070000</c:v>
                </c:pt>
                <c:pt idx="22">
                  <c:v>10800000</c:v>
                </c:pt>
                <c:pt idx="23">
                  <c:v>10560000</c:v>
                </c:pt>
                <c:pt idx="24">
                  <c:v>8320000</c:v>
                </c:pt>
                <c:pt idx="25">
                  <c:v>9240000</c:v>
                </c:pt>
                <c:pt idx="26">
                  <c:v>9080000</c:v>
                </c:pt>
                <c:pt idx="27">
                  <c:v>10760000</c:v>
                </c:pt>
                <c:pt idx="28">
                  <c:v>11280000</c:v>
                </c:pt>
                <c:pt idx="29">
                  <c:v>8240000</c:v>
                </c:pt>
                <c:pt idx="30">
                  <c:v>11480000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E9-413E-A166-4FFCCC708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27839"/>
        <c:axId val="246715359"/>
      </c:scatterChart>
      <c:valAx>
        <c:axId val="24672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Culture</a:t>
                </a:r>
                <a:r>
                  <a:rPr lang="es-E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time (d)</a:t>
                </a:r>
                <a:endParaRPr lang="es-ES" sz="14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46715359"/>
        <c:crosses val="autoZero"/>
        <c:crossBetween val="midCat"/>
      </c:valAx>
      <c:valAx>
        <c:axId val="24671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>
                    <a:latin typeface="Arial" panose="020B0604020202020204" pitchFamily="34" charset="0"/>
                    <a:cs typeface="Arial" panose="020B0604020202020204" pitchFamily="34" charset="0"/>
                  </a:rPr>
                  <a:t>Viable cell density (cell/mL)</a:t>
                </a:r>
              </a:p>
            </c:rich>
          </c:tx>
          <c:layout>
            <c:manualLayout>
              <c:xMode val="edge"/>
              <c:yMode val="edge"/>
              <c:x val="5.6101248296525682E-3"/>
              <c:y val="0.179987631944378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4672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6456879607354"/>
          <c:y val="6.0185185185185182E-2"/>
          <c:w val="0.68310559633818735"/>
          <c:h val="0.665087530725325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'Analisis economico'!$C$6</c:f>
              <c:strCache>
                <c:ptCount val="1"/>
                <c:pt idx="0">
                  <c:v>C(Her1) (mg/L)</c:v>
                </c:pt>
              </c:strCache>
            </c:strRef>
          </c:tx>
          <c:spPr>
            <a:pattFill prst="wdDnDiag">
              <a:fgClr>
                <a:schemeClr val="bg1">
                  <a:lumMod val="65000"/>
                </a:schemeClr>
              </a:fgClr>
              <a:bgClr>
                <a:schemeClr val="tx1">
                  <a:lumMod val="50000"/>
                  <a:lumOff val="50000"/>
                </a:schemeClr>
              </a:bgClr>
            </a:patt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cust"/>
            <c:noEndCap val="0"/>
            <c:plus>
              <c:numRef>
                <c:f>'Analisis economico'!$D$7:$D$11</c:f>
                <c:numCache>
                  <c:formatCode>General</c:formatCode>
                  <c:ptCount val="5"/>
                  <c:pt idx="0">
                    <c:v>1.1085442269466919</c:v>
                  </c:pt>
                  <c:pt idx="1">
                    <c:v>0.76030840645305664</c:v>
                  </c:pt>
                  <c:pt idx="2">
                    <c:v>4.4920622113589319</c:v>
                  </c:pt>
                  <c:pt idx="3">
                    <c:v>4.1231895853354548</c:v>
                  </c:pt>
                  <c:pt idx="4">
                    <c:v>0.80251653812858592</c:v>
                  </c:pt>
                </c:numCache>
              </c:numRef>
            </c:plus>
            <c:minus>
              <c:numRef>
                <c:f>'Analisis economico'!$D$7:$D$11</c:f>
                <c:numCache>
                  <c:formatCode>General</c:formatCode>
                  <c:ptCount val="5"/>
                  <c:pt idx="0">
                    <c:v>1.1085442269466919</c:v>
                  </c:pt>
                  <c:pt idx="1">
                    <c:v>0.76030840645305664</c:v>
                  </c:pt>
                  <c:pt idx="2">
                    <c:v>4.4920622113589319</c:v>
                  </c:pt>
                  <c:pt idx="3">
                    <c:v>4.1231895853354548</c:v>
                  </c:pt>
                  <c:pt idx="4">
                    <c:v>0.80251653812858592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'Analisis economico'!$B$7:$B$11</c:f>
              <c:strCache>
                <c:ptCount val="5"/>
                <c:pt idx="0">
                  <c:v>SS1</c:v>
                </c:pt>
                <c:pt idx="1">
                  <c:v>SS2</c:v>
                </c:pt>
                <c:pt idx="2">
                  <c:v>SS3</c:v>
                </c:pt>
                <c:pt idx="3">
                  <c:v>SS4</c:v>
                </c:pt>
                <c:pt idx="4">
                  <c:v>SS5</c:v>
                </c:pt>
              </c:strCache>
            </c:strRef>
          </c:cat>
          <c:val>
            <c:numRef>
              <c:f>'Analisis economico'!$C$7:$C$11</c:f>
              <c:numCache>
                <c:formatCode>0.00</c:formatCode>
                <c:ptCount val="5"/>
                <c:pt idx="0">
                  <c:v>15.254278041666666</c:v>
                </c:pt>
                <c:pt idx="1">
                  <c:v>11.304041888888889</c:v>
                </c:pt>
                <c:pt idx="2">
                  <c:v>17.433968999999998</c:v>
                </c:pt>
                <c:pt idx="3">
                  <c:v>17.331927758333332</c:v>
                </c:pt>
                <c:pt idx="4">
                  <c:v>24.051650166666668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4-4DC5-9D81-C02F96F28FBA}"/>
            </c:ext>
          </c:extLst>
        </c:ser>
        <c:ser>
          <c:idx val="1"/>
          <c:order val="1"/>
          <c:tx>
            <c:strRef>
              <c:f>'Analisis economico'!$E$6</c:f>
              <c:strCache>
                <c:ptCount val="1"/>
                <c:pt idx="0">
                  <c:v>PV (mg/L/d)</c:v>
                </c:pt>
              </c:strCache>
            </c:strRef>
          </c:tx>
          <c:spPr>
            <a:pattFill prst="dkUpDiag">
              <a:fgClr>
                <a:schemeClr val="tx1">
                  <a:lumMod val="50000"/>
                  <a:lumOff val="50000"/>
                </a:schemeClr>
              </a:fgClr>
              <a:bgClr>
                <a:schemeClr val="tx2">
                  <a:lumMod val="40000"/>
                  <a:lumOff val="60000"/>
                </a:schemeClr>
              </a:bgClr>
            </a:patt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cust"/>
            <c:noEndCap val="0"/>
            <c:plus>
              <c:numRef>
                <c:f>'Analisis economico'!$F$7:$F$11</c:f>
                <c:numCache>
                  <c:formatCode>General</c:formatCode>
                  <c:ptCount val="5"/>
                  <c:pt idx="0">
                    <c:v>0.49884490212601129</c:v>
                  </c:pt>
                  <c:pt idx="1">
                    <c:v>0.3421387829038755</c:v>
                  </c:pt>
                  <c:pt idx="2">
                    <c:v>2.0214279951115217</c:v>
                  </c:pt>
                  <c:pt idx="3">
                    <c:v>1.8554353134009494</c:v>
                  </c:pt>
                  <c:pt idx="4">
                    <c:v>0.3611324421578635</c:v>
                  </c:pt>
                </c:numCache>
              </c:numRef>
            </c:plus>
            <c:minus>
              <c:numRef>
                <c:f>'Analisis economico'!$F$7:$F$11</c:f>
                <c:numCache>
                  <c:formatCode>General</c:formatCode>
                  <c:ptCount val="5"/>
                  <c:pt idx="0">
                    <c:v>0.49884490212601129</c:v>
                  </c:pt>
                  <c:pt idx="1">
                    <c:v>0.3421387829038755</c:v>
                  </c:pt>
                  <c:pt idx="2">
                    <c:v>2.0214279951115217</c:v>
                  </c:pt>
                  <c:pt idx="3">
                    <c:v>1.8554353134009494</c:v>
                  </c:pt>
                  <c:pt idx="4">
                    <c:v>0.3611324421578635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'Analisis economico'!$B$7:$B$11</c:f>
              <c:strCache>
                <c:ptCount val="5"/>
                <c:pt idx="0">
                  <c:v>SS1</c:v>
                </c:pt>
                <c:pt idx="1">
                  <c:v>SS2</c:v>
                </c:pt>
                <c:pt idx="2">
                  <c:v>SS3</c:v>
                </c:pt>
                <c:pt idx="3">
                  <c:v>SS4</c:v>
                </c:pt>
                <c:pt idx="4">
                  <c:v>SS5</c:v>
                </c:pt>
              </c:strCache>
            </c:strRef>
          </c:cat>
          <c:val>
            <c:numRef>
              <c:f>'Analisis economico'!$E$7:$E$11</c:f>
              <c:numCache>
                <c:formatCode>0.00</c:formatCode>
                <c:ptCount val="5"/>
                <c:pt idx="0">
                  <c:v>6.8644251187499998</c:v>
                </c:pt>
                <c:pt idx="1">
                  <c:v>5.0868188500000002</c:v>
                </c:pt>
                <c:pt idx="2">
                  <c:v>7.8452860500000003</c:v>
                </c:pt>
                <c:pt idx="3">
                  <c:v>7.7993674912500008</c:v>
                </c:pt>
                <c:pt idx="4">
                  <c:v>10.823242575000002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24-4DC5-9D81-C02F96F28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1374169167"/>
        <c:axId val="1374150447"/>
      </c:barChart>
      <c:barChart>
        <c:barDir val="col"/>
        <c:grouping val="clustered"/>
        <c:varyColors val="0"/>
        <c:ser>
          <c:idx val="2"/>
          <c:order val="2"/>
          <c:tx>
            <c:strRef>
              <c:f>'Analisis economico'!$G$6</c:f>
              <c:strCache>
                <c:ptCount val="1"/>
                <c:pt idx="0">
                  <c:v>CU ($/g/d)</c:v>
                </c:pt>
              </c:strCache>
            </c:strRef>
          </c:tx>
          <c:spPr>
            <a:pattFill prst="ltDnDiag">
              <a:fgClr>
                <a:schemeClr val="tx1">
                  <a:lumMod val="65000"/>
                  <a:lumOff val="35000"/>
                </a:schemeClr>
              </a:fgClr>
              <a:bgClr>
                <a:schemeClr val="accent2">
                  <a:lumMod val="60000"/>
                  <a:lumOff val="40000"/>
                </a:schemeClr>
              </a:bgClr>
            </a:patt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cust"/>
            <c:noEndCap val="0"/>
            <c:plus>
              <c:numRef>
                <c:f>'Analisis economico'!$H$7:$H$11</c:f>
                <c:numCache>
                  <c:formatCode>General</c:formatCode>
                  <c:ptCount val="5"/>
                  <c:pt idx="0">
                    <c:v>36.719675852415506</c:v>
                  </c:pt>
                  <c:pt idx="1">
                    <c:v>50.278582967623848</c:v>
                  </c:pt>
                  <c:pt idx="2">
                    <c:v>124.52306128109427</c:v>
                  </c:pt>
                  <c:pt idx="3">
                    <c:v>102.80231022322977</c:v>
                  </c:pt>
                  <c:pt idx="4">
                    <c:v>10.922655498033295</c:v>
                  </c:pt>
                </c:numCache>
              </c:numRef>
            </c:plus>
            <c:minus>
              <c:numRef>
                <c:f>'Analisis economico'!$H$7:$H$11</c:f>
                <c:numCache>
                  <c:formatCode>General</c:formatCode>
                  <c:ptCount val="5"/>
                  <c:pt idx="0">
                    <c:v>36.719675852415506</c:v>
                  </c:pt>
                  <c:pt idx="1">
                    <c:v>50.278582967623848</c:v>
                  </c:pt>
                  <c:pt idx="2">
                    <c:v>124.52306128109427</c:v>
                  </c:pt>
                  <c:pt idx="3">
                    <c:v>102.80231022322977</c:v>
                  </c:pt>
                  <c:pt idx="4">
                    <c:v>10.922655498033295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'Analisis economico'!$B$7:$B$11</c:f>
              <c:strCache>
                <c:ptCount val="5"/>
                <c:pt idx="0">
                  <c:v>SS1</c:v>
                </c:pt>
                <c:pt idx="1">
                  <c:v>SS2</c:v>
                </c:pt>
                <c:pt idx="2">
                  <c:v>SS3</c:v>
                </c:pt>
                <c:pt idx="3">
                  <c:v>SS4</c:v>
                </c:pt>
                <c:pt idx="4">
                  <c:v>SS5</c:v>
                </c:pt>
              </c:strCache>
            </c:strRef>
          </c:cat>
          <c:val>
            <c:numRef>
              <c:f>'Analisis economico'!$G$7:$G$11</c:f>
              <c:numCache>
                <c:formatCode>0.00</c:formatCode>
                <c:ptCount val="5"/>
                <c:pt idx="0">
                  <c:v>520.94938818994751</c:v>
                </c:pt>
                <c:pt idx="1">
                  <c:v>702.66029694776478</c:v>
                </c:pt>
                <c:pt idx="2">
                  <c:v>478.83370002491313</c:v>
                </c:pt>
                <c:pt idx="3">
                  <c:v>477.80556026752299</c:v>
                </c:pt>
                <c:pt idx="4">
                  <c:v>329.1950607473031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24-4DC5-9D81-C02F96F28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1374223247"/>
        <c:axId val="1374206607"/>
      </c:barChart>
      <c:catAx>
        <c:axId val="137416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Estados</a:t>
                </a:r>
                <a:r>
                  <a:rPr lang="es-ES" sz="12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estacionarios</a:t>
                </a:r>
                <a:endParaRPr lang="es-ES" sz="12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374150447"/>
        <c:crosses val="autoZero"/>
        <c:auto val="1"/>
        <c:lblAlgn val="ctr"/>
        <c:lblOffset val="100"/>
        <c:noMultiLvlLbl val="0"/>
      </c:catAx>
      <c:valAx>
        <c:axId val="137415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C</a:t>
                </a:r>
                <a:r>
                  <a:rPr lang="es-ES" sz="12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(Her1) (mg/L)</a:t>
                </a:r>
              </a:p>
              <a:p>
                <a:pPr>
                  <a:defRPr sz="12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s-ES" sz="12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PV (mg/L/d)</a:t>
                </a:r>
                <a:endParaRPr lang="es-ES" sz="12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9.7022040863192251E-3"/>
              <c:y val="0.299946048410615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374169167"/>
        <c:crosses val="autoZero"/>
        <c:crossBetween val="between"/>
      </c:valAx>
      <c:valAx>
        <c:axId val="137420660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Costo</a:t>
                </a:r>
                <a:r>
                  <a:rPr lang="es-ES" sz="12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unitario ($/g/d)</a:t>
                </a:r>
                <a:endParaRPr lang="es-ES" sz="12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374223247"/>
        <c:crosses val="max"/>
        <c:crossBetween val="between"/>
      </c:valAx>
      <c:catAx>
        <c:axId val="13742232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742066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261439624756889E-2"/>
          <c:y val="0.89770578677665291"/>
          <c:w val="0.82587033697480816"/>
          <c:h val="7.689738782652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6456879607354"/>
          <c:y val="6.0185185185185182E-2"/>
          <c:w val="0.68310559633818735"/>
          <c:h val="0.6650875307253258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'Analisis economico'!$E$6</c:f>
              <c:strCache>
                <c:ptCount val="1"/>
                <c:pt idx="0">
                  <c:v>PV (mg/L/d)</c:v>
                </c:pt>
              </c:strCache>
            </c:strRef>
          </c:tx>
          <c:spPr>
            <a:pattFill prst="dkUpDiag">
              <a:fgClr>
                <a:schemeClr val="tx1">
                  <a:lumMod val="50000"/>
                  <a:lumOff val="50000"/>
                </a:schemeClr>
              </a:fgClr>
              <a:bgClr>
                <a:schemeClr val="tx2">
                  <a:lumMod val="40000"/>
                  <a:lumOff val="60000"/>
                </a:schemeClr>
              </a:bgClr>
            </a:patt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cust"/>
            <c:noEndCap val="0"/>
            <c:plus>
              <c:numRef>
                <c:f>'Analisis economico'!$F$7:$F$11</c:f>
                <c:numCache>
                  <c:formatCode>General</c:formatCode>
                  <c:ptCount val="5"/>
                  <c:pt idx="0">
                    <c:v>0.49884490212601129</c:v>
                  </c:pt>
                  <c:pt idx="1">
                    <c:v>0.3421387829038755</c:v>
                  </c:pt>
                  <c:pt idx="2">
                    <c:v>2.0214279951115217</c:v>
                  </c:pt>
                  <c:pt idx="3">
                    <c:v>1.8554353134009494</c:v>
                  </c:pt>
                  <c:pt idx="4">
                    <c:v>0.3611324421578635</c:v>
                  </c:pt>
                </c:numCache>
              </c:numRef>
            </c:plus>
            <c:minus>
              <c:numRef>
                <c:f>'Analisis economico'!$F$7:$F$11</c:f>
                <c:numCache>
                  <c:formatCode>General</c:formatCode>
                  <c:ptCount val="5"/>
                  <c:pt idx="0">
                    <c:v>0.49884490212601129</c:v>
                  </c:pt>
                  <c:pt idx="1">
                    <c:v>0.3421387829038755</c:v>
                  </c:pt>
                  <c:pt idx="2">
                    <c:v>2.0214279951115217</c:v>
                  </c:pt>
                  <c:pt idx="3">
                    <c:v>1.8554353134009494</c:v>
                  </c:pt>
                  <c:pt idx="4">
                    <c:v>0.3611324421578635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'Analisis economico'!$B$7:$B$11</c:f>
              <c:strCache>
                <c:ptCount val="5"/>
                <c:pt idx="0">
                  <c:v>SS1</c:v>
                </c:pt>
                <c:pt idx="1">
                  <c:v>SS2</c:v>
                </c:pt>
                <c:pt idx="2">
                  <c:v>SS3</c:v>
                </c:pt>
                <c:pt idx="3">
                  <c:v>SS4</c:v>
                </c:pt>
                <c:pt idx="4">
                  <c:v>SS5</c:v>
                </c:pt>
              </c:strCache>
            </c:strRef>
          </c:cat>
          <c:val>
            <c:numRef>
              <c:f>'Analisis economico'!$E$7:$E$11</c:f>
              <c:numCache>
                <c:formatCode>0.00</c:formatCode>
                <c:ptCount val="5"/>
                <c:pt idx="0">
                  <c:v>6.8644251187499998</c:v>
                </c:pt>
                <c:pt idx="1">
                  <c:v>5.0868188500000002</c:v>
                </c:pt>
                <c:pt idx="2">
                  <c:v>7.8452860500000003</c:v>
                </c:pt>
                <c:pt idx="3">
                  <c:v>7.7993674912500008</c:v>
                </c:pt>
                <c:pt idx="4">
                  <c:v>10.823242575000002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A0-4F1B-85F2-3FE797F79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overlap val="-100"/>
        <c:axId val="1374169167"/>
        <c:axId val="137415044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'Analisis economico'!$G$6</c15:sqref>
                        </c15:formulaRef>
                      </c:ext>
                    </c:extLst>
                    <c:strCache>
                      <c:ptCount val="1"/>
                      <c:pt idx="0">
                        <c:v>CU ($/g/d)</c:v>
                      </c:pt>
                    </c:strCache>
                  </c:strRef>
                </c:tx>
                <c:spPr>
                  <a:pattFill prst="ltDnDiag">
                    <a:fgClr>
                      <a:schemeClr val="tx1">
                        <a:lumMod val="65000"/>
                        <a:lumOff val="35000"/>
                      </a:schemeClr>
                    </a:fgClr>
                    <a:bgClr>
                      <a:schemeClr val="accent2">
                        <a:lumMod val="60000"/>
                        <a:lumOff val="40000"/>
                      </a:schemeClr>
                    </a:bgClr>
                  </a:patt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'Analisis economico'!$H$7:$H$11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36.719675852415506</c:v>
                        </c:pt>
                        <c:pt idx="1">
                          <c:v>50.278582967623848</c:v>
                        </c:pt>
                        <c:pt idx="2">
                          <c:v>124.52306128109427</c:v>
                        </c:pt>
                        <c:pt idx="3">
                          <c:v>102.80231022322977</c:v>
                        </c:pt>
                        <c:pt idx="4">
                          <c:v>10.922655498033295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'Analisis economico'!$H$7:$H$11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36.719675852415506</c:v>
                        </c:pt>
                        <c:pt idx="1">
                          <c:v>50.278582967623848</c:v>
                        </c:pt>
                        <c:pt idx="2">
                          <c:v>124.52306128109427</c:v>
                        </c:pt>
                        <c:pt idx="3">
                          <c:v>102.80231022322977</c:v>
                        </c:pt>
                        <c:pt idx="4">
                          <c:v>10.922655498033295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'Analisis economico'!$B$7:$B$11</c15:sqref>
                        </c15:formulaRef>
                      </c:ext>
                    </c:extLst>
                    <c:strCache>
                      <c:ptCount val="5"/>
                      <c:pt idx="0">
                        <c:v>SS1</c:v>
                      </c:pt>
                      <c:pt idx="1">
                        <c:v>SS2</c:v>
                      </c:pt>
                      <c:pt idx="2">
                        <c:v>SS3</c:v>
                      </c:pt>
                      <c:pt idx="3">
                        <c:v>SS4</c:v>
                      </c:pt>
                      <c:pt idx="4">
                        <c:v>SS5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'Analisis economico'!$G$7:$G$11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520.94938818994751</c:v>
                      </c:pt>
                      <c:pt idx="1">
                        <c:v>702.66029694776478</c:v>
                      </c:pt>
                      <c:pt idx="2">
                        <c:v>478.83370002491313</c:v>
                      </c:pt>
                      <c:pt idx="3">
                        <c:v>477.80556026752299</c:v>
                      </c:pt>
                      <c:pt idx="4">
                        <c:v>329.1950607473031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7A0-4F1B-85F2-3FE797F796BB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0"/>
          <c:order val="0"/>
          <c:tx>
            <c:strRef>
              <c:f>'Analisis economico'!$C$6</c:f>
              <c:strCache>
                <c:ptCount val="1"/>
                <c:pt idx="0">
                  <c:v>C(Her1) (mg/L)</c:v>
                </c:pt>
              </c:strCache>
            </c:strRef>
          </c:tx>
          <c:spPr>
            <a:pattFill prst="wdDnDiag">
              <a:fgClr>
                <a:schemeClr val="bg1">
                  <a:lumMod val="65000"/>
                </a:schemeClr>
              </a:fgClr>
              <a:bgClr>
                <a:schemeClr val="tx1">
                  <a:lumMod val="50000"/>
                  <a:lumOff val="50000"/>
                </a:schemeClr>
              </a:bgClr>
            </a:patt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errBars>
            <c:errBarType val="both"/>
            <c:errValType val="cust"/>
            <c:noEndCap val="0"/>
            <c:plus>
              <c:numRef>
                <c:f>'Analisis economico'!$D$7:$D$11</c:f>
                <c:numCache>
                  <c:formatCode>General</c:formatCode>
                  <c:ptCount val="5"/>
                  <c:pt idx="0">
                    <c:v>1.1085442269466919</c:v>
                  </c:pt>
                  <c:pt idx="1">
                    <c:v>0.76030840645305664</c:v>
                  </c:pt>
                  <c:pt idx="2">
                    <c:v>4.4920622113589319</c:v>
                  </c:pt>
                  <c:pt idx="3">
                    <c:v>4.1231895853354548</c:v>
                  </c:pt>
                  <c:pt idx="4">
                    <c:v>0.80251653812858592</c:v>
                  </c:pt>
                </c:numCache>
              </c:numRef>
            </c:plus>
            <c:minus>
              <c:numRef>
                <c:f>'Analisis economico'!$D$7:$D$11</c:f>
                <c:numCache>
                  <c:formatCode>General</c:formatCode>
                  <c:ptCount val="5"/>
                  <c:pt idx="0">
                    <c:v>1.1085442269466919</c:v>
                  </c:pt>
                  <c:pt idx="1">
                    <c:v>0.76030840645305664</c:v>
                  </c:pt>
                  <c:pt idx="2">
                    <c:v>4.4920622113589319</c:v>
                  </c:pt>
                  <c:pt idx="3">
                    <c:v>4.1231895853354548</c:v>
                  </c:pt>
                  <c:pt idx="4">
                    <c:v>0.80251653812858592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'Analisis economico'!$B$7:$B$11</c:f>
              <c:strCache>
                <c:ptCount val="5"/>
                <c:pt idx="0">
                  <c:v>SS1</c:v>
                </c:pt>
                <c:pt idx="1">
                  <c:v>SS2</c:v>
                </c:pt>
                <c:pt idx="2">
                  <c:v>SS3</c:v>
                </c:pt>
                <c:pt idx="3">
                  <c:v>SS4</c:v>
                </c:pt>
                <c:pt idx="4">
                  <c:v>SS5</c:v>
                </c:pt>
              </c:strCache>
            </c:strRef>
          </c:cat>
          <c:val>
            <c:numRef>
              <c:f>'Analisis economico'!$C$7:$C$11</c:f>
              <c:numCache>
                <c:formatCode>0.00</c:formatCode>
                <c:ptCount val="5"/>
                <c:pt idx="0">
                  <c:v>15.254278041666666</c:v>
                </c:pt>
                <c:pt idx="1">
                  <c:v>11.304041888888889</c:v>
                </c:pt>
                <c:pt idx="2">
                  <c:v>17.433968999999998</c:v>
                </c:pt>
                <c:pt idx="3">
                  <c:v>17.331927758333332</c:v>
                </c:pt>
                <c:pt idx="4">
                  <c:v>24.051650166666668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0-4F1B-85F2-3FE797F79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858885551"/>
        <c:axId val="858899279"/>
      </c:barChart>
      <c:catAx>
        <c:axId val="137416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Estados</a:t>
                </a:r>
                <a:r>
                  <a:rPr lang="es-ES" sz="12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estacionarios</a:t>
                </a:r>
                <a:endParaRPr lang="es-ES" sz="12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374150447"/>
        <c:crosses val="autoZero"/>
        <c:auto val="1"/>
        <c:lblAlgn val="ctr"/>
        <c:lblOffset val="100"/>
        <c:noMultiLvlLbl val="0"/>
      </c:catAx>
      <c:valAx>
        <c:axId val="137415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C</a:t>
                </a:r>
                <a:r>
                  <a:rPr lang="es-ES" sz="12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(Her1) (mg/L)</a:t>
                </a:r>
              </a:p>
            </c:rich>
          </c:tx>
          <c:layout>
            <c:manualLayout>
              <c:xMode val="edge"/>
              <c:yMode val="edge"/>
              <c:x val="0.93128566334956486"/>
              <c:y val="0.2237556972045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374169167"/>
        <c:crosses val="autoZero"/>
        <c:crossBetween val="between"/>
      </c:valAx>
      <c:valAx>
        <c:axId val="8588992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1" i="0" kern="1200" baseline="0">
                    <a:solidFill>
                      <a:srgbClr val="595959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PV (mg/L/d)</a:t>
                </a:r>
                <a:endParaRPr lang="es-E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0467747395682528E-2"/>
              <c:y val="0.209310836145481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858885551"/>
        <c:crosses val="max"/>
        <c:crossBetween val="between"/>
      </c:valAx>
      <c:catAx>
        <c:axId val="8588855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88992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261439624756889E-2"/>
          <c:y val="0.89770578677665291"/>
          <c:w val="0.82587033697480816"/>
          <c:h val="7.689738782652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Comportamiento PA
 3228TA1204</a:t>
            </a:r>
          </a:p>
        </c:rich>
      </c:tx>
      <c:layout>
        <c:manualLayout>
          <c:xMode val="edge"/>
          <c:yMode val="edge"/>
          <c:x val="0.29625956690793298"/>
          <c:y val="1.71822529033185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428690058809904E-2"/>
          <c:y val="0.178694757754637"/>
          <c:w val="0.75317178244493665"/>
          <c:h val="0.542957148562166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productividad!$R$1</c:f>
              <c:strCache>
                <c:ptCount val="1"/>
                <c:pt idx="0">
                  <c:v>G-25 SQ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productividad!$N$3:$N$10</c:f>
              <c:strCache>
                <c:ptCount val="8"/>
                <c:pt idx="0">
                  <c:v>3345/P1701</c:v>
                </c:pt>
                <c:pt idx="1">
                  <c:v>3345/P1702</c:v>
                </c:pt>
                <c:pt idx="2">
                  <c:v>3345/P1703</c:v>
                </c:pt>
                <c:pt idx="3">
                  <c:v>3345/P1704</c:v>
                </c:pt>
                <c:pt idx="4">
                  <c:v>3345/P1705</c:v>
                </c:pt>
                <c:pt idx="5">
                  <c:v>3345/P1706</c:v>
                </c:pt>
                <c:pt idx="6">
                  <c:v>3345/P1707</c:v>
                </c:pt>
                <c:pt idx="7">
                  <c:v>3345/P1708</c:v>
                </c:pt>
              </c:strCache>
            </c:strRef>
          </c:cat>
          <c:val>
            <c:numRef>
              <c:f>productividad!$R$3:$R$10</c:f>
              <c:numCache>
                <c:formatCode>0.00;[Red]0.00</c:formatCode>
                <c:ptCount val="8"/>
                <c:pt idx="3">
                  <c:v>193.28399999999999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2-46F9-AE04-47B3496B7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8578944"/>
        <c:axId val="318579336"/>
      </c:barChart>
      <c:catAx>
        <c:axId val="31857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s-ES"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lotes</a:t>
                </a:r>
              </a:p>
            </c:rich>
          </c:tx>
          <c:layout>
            <c:manualLayout>
              <c:xMode val="edge"/>
              <c:yMode val="edge"/>
              <c:x val="0.84353878725884368"/>
              <c:y val="0.807563023694203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s-E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18579336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318579336"/>
        <c:scaling>
          <c:orientation val="minMax"/>
          <c:max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es-ES"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masa 
Chelato (g)</a:t>
                </a:r>
              </a:p>
            </c:rich>
          </c:tx>
          <c:layout>
            <c:manualLayout>
              <c:xMode val="edge"/>
              <c:yMode val="edge"/>
              <c:x val="2.7190332326284056E-2"/>
              <c:y val="1.718213058419244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;[Red]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185789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4682779456193353"/>
          <c:y val="0.18213058419249356"/>
          <c:w val="0.22205438066465266"/>
          <c:h val="0.151202749140913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ES"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Acumulado de gramos purificados</a:t>
            </a:r>
          </a:p>
          <a:p>
            <a:pPr>
              <a:defRPr lang="es-ES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3228TA1204</a:t>
            </a:r>
          </a:p>
        </c:rich>
      </c:tx>
      <c:layout>
        <c:manualLayout>
          <c:xMode val="edge"/>
          <c:yMode val="edge"/>
          <c:x val="0.34525962605189819"/>
          <c:y val="1.50521122619008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03459307195672"/>
          <c:y val="0.16615409578439871"/>
          <c:w val="0.75517304954627684"/>
          <c:h val="0.73846264793061756"/>
        </c:manualLayout>
      </c:layout>
      <c:scatterChart>
        <c:scatterStyle val="lineMarker"/>
        <c:varyColors val="0"/>
        <c:ser>
          <c:idx val="4"/>
          <c:order val="0"/>
          <c:tx>
            <c:strRef>
              <c:f>productividad!$U$2</c:f>
              <c:strCache>
                <c:ptCount val="1"/>
                <c:pt idx="0">
                  <c:v>3228TA1303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5.4239215743773342E-2"/>
                  <c:y val="3.6548928783408006E-2"/>
                </c:manualLayout>
              </c:layout>
              <c:numFmt formatCode="General" sourceLinked="0"/>
            </c:trendlineLbl>
          </c:trendline>
          <c:xVal>
            <c:numRef>
              <c:f>productividad!$E$3:$E$14</c:f>
              <c:numCache>
                <c:formatCode>0.00</c:formatCode>
                <c:ptCount val="12"/>
                <c:pt idx="0">
                  <c:v>-728.97916666666424</c:v>
                </c:pt>
                <c:pt idx="1">
                  <c:v>-727.97916666666424</c:v>
                </c:pt>
                <c:pt idx="2">
                  <c:v>-726.97916666666424</c:v>
                </c:pt>
                <c:pt idx="3">
                  <c:v>-724.97916666666424</c:v>
                </c:pt>
                <c:pt idx="4">
                  <c:v>-724.97916666666424</c:v>
                </c:pt>
                <c:pt idx="5">
                  <c:v>-2242.7083333333358</c:v>
                </c:pt>
                <c:pt idx="6">
                  <c:v>-2239.4236111111095</c:v>
                </c:pt>
                <c:pt idx="7">
                  <c:v>-2236.909722222219</c:v>
                </c:pt>
                <c:pt idx="8">
                  <c:v>-2235.0694444444453</c:v>
                </c:pt>
                <c:pt idx="9">
                  <c:v>-2234.090277777781</c:v>
                </c:pt>
                <c:pt idx="10">
                  <c:v>-2225.6770833333358</c:v>
                </c:pt>
                <c:pt idx="11">
                  <c:v>-2224.9375</c:v>
                </c:pt>
              </c:numCache>
            </c:numRef>
          </c:xVal>
          <c:yVal>
            <c:numRef>
              <c:f>productividad!$U$3:$U$14</c:f>
              <c:numCache>
                <c:formatCode>#,##0.0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164.29139999999998</c:v>
                </c:pt>
                <c:pt idx="4">
                  <c:v>164.29139999999998</c:v>
                </c:pt>
                <c:pt idx="5">
                  <c:v>164.29139999999998</c:v>
                </c:pt>
                <c:pt idx="6">
                  <c:v>164.29139999999998</c:v>
                </c:pt>
                <c:pt idx="7">
                  <c:v>164.29139999999998</c:v>
                </c:pt>
                <c:pt idx="8">
                  <c:v>164.29139999999998</c:v>
                </c:pt>
                <c:pt idx="9">
                  <c:v>164.29139999999998</c:v>
                </c:pt>
                <c:pt idx="10">
                  <c:v>164.29139999999998</c:v>
                </c:pt>
                <c:pt idx="11">
                  <c:v>164.29139999999998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D4-4017-81A7-F6311D57A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580120"/>
        <c:axId val="318580512"/>
      </c:scatterChart>
      <c:valAx>
        <c:axId val="318580120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lang="es-ES"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t(d)</a:t>
                </a:r>
              </a:p>
            </c:rich>
          </c:tx>
          <c:layout>
            <c:manualLayout>
              <c:xMode val="edge"/>
              <c:yMode val="edge"/>
              <c:x val="0.95344906628961035"/>
              <c:y val="0.9230783807625705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18580512"/>
        <c:crosses val="autoZero"/>
        <c:crossBetween val="midCat"/>
      </c:valAx>
      <c:valAx>
        <c:axId val="31858051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 rot="0" vert="horz"/>
              <a:lstStyle/>
              <a:p>
                <a:pPr algn="ctr">
                  <a:defRPr lang="es-ES"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IgG (g)</a:t>
                </a:r>
              </a:p>
            </c:rich>
          </c:tx>
          <c:layout>
            <c:manualLayout>
              <c:xMode val="edge"/>
              <c:yMode val="edge"/>
              <c:x val="3.1034522746512392E-2"/>
              <c:y val="3.2598643011947155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185801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productividad!$BD$2</c:f>
              <c:strCache>
                <c:ptCount val="1"/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3709502915189038"/>
                  <c:y val="-0.1015485564304461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ab= 258624x - 12392
R² = 0,9823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trendline>
            <c:trendlineType val="linear"/>
            <c:dispRSqr val="1"/>
            <c:dispEq val="1"/>
            <c:trendlineLbl>
              <c:layout>
                <c:manualLayout>
                  <c:x val="0.29767866802914805"/>
                  <c:y val="1.0854544344747663E-2"/>
                </c:manualLayout>
              </c:layout>
              <c:numFmt formatCode="General" sourceLinked="0"/>
            </c:trendlineLbl>
          </c:trendline>
          <c:xVal>
            <c:numRef>
              <c:f>productividad!$AX$3:$AX$46</c:f>
              <c:numCache>
                <c:formatCode>General</c:formatCode>
                <c:ptCount val="44"/>
              </c:numCache>
            </c:numRef>
          </c:xVal>
          <c:yVal>
            <c:numRef>
              <c:f>productividad!$BD$3:$BD$46</c:f>
              <c:numCache>
                <c:formatCode>0</c:formatCode>
                <c:ptCount val="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0D-4F82-8F50-01FC6DA6858E}"/>
            </c:ext>
          </c:extLst>
        </c:ser>
        <c:ser>
          <c:idx val="7"/>
          <c:order val="1"/>
          <c:tx>
            <c:strRef>
              <c:f>productividad!$BF$2</c:f>
              <c:strCache>
                <c:ptCount val="1"/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3485163591192323"/>
                  <c:y val="-3.9736312030771672E-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 bb= 313007x - 628423
R² = 0,993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productividad!$AX$3:$AX$46</c:f>
              <c:numCache>
                <c:formatCode>General</c:formatCode>
                <c:ptCount val="44"/>
              </c:numCache>
            </c:numRef>
          </c:xVal>
          <c:yVal>
            <c:numRef>
              <c:f>productividad!$BF$3:$BF$46</c:f>
              <c:numCache>
                <c:formatCode>0</c:formatCode>
                <c:ptCount val="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0D-4F82-8F50-01FC6DA6858E}"/>
            </c:ext>
          </c:extLst>
        </c:ser>
        <c:ser>
          <c:idx val="9"/>
          <c:order val="2"/>
          <c:tx>
            <c:strRef>
              <c:f>productividad!$BH$2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productividad!$AX$3:$AX$46</c:f>
              <c:numCache>
                <c:formatCode>General</c:formatCode>
                <c:ptCount val="44"/>
              </c:numCache>
            </c:numRef>
          </c:xVal>
          <c:yVal>
            <c:numRef>
              <c:f>productividad!$BH$3:$BH$46</c:f>
              <c:numCache>
                <c:formatCode>General</c:formatCode>
                <c:ptCount val="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0D-4F82-8F50-01FC6DA6858E}"/>
            </c:ext>
          </c:extLst>
        </c:ser>
        <c:ser>
          <c:idx val="11"/>
          <c:order val="3"/>
          <c:tx>
            <c:strRef>
              <c:f>productividad!$BJ$2</c:f>
              <c:strCache>
                <c:ptCount val="1"/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5950812446154194"/>
                  <c:y val="-3.5758102911554658E-2"/>
                </c:manualLayout>
              </c:layout>
              <c:numFmt formatCode="General" sourceLinked="0"/>
            </c:trendlineLbl>
          </c:trendline>
          <c:xVal>
            <c:numRef>
              <c:f>productividad!$AX$3:$AX$46</c:f>
              <c:numCache>
                <c:formatCode>General</c:formatCode>
                <c:ptCount val="44"/>
              </c:numCache>
            </c:numRef>
          </c:xVal>
          <c:yVal>
            <c:numRef>
              <c:f>productividad!$BJ$3:$BJ$46</c:f>
              <c:numCache>
                <c:formatCode>0</c:formatCode>
                <c:ptCount val="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0D-4F82-8F50-01FC6DA68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581296"/>
        <c:axId val="318581688"/>
      </c:scatterChart>
      <c:valAx>
        <c:axId val="31858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8581688"/>
        <c:crosses val="autoZero"/>
        <c:crossBetween val="midCat"/>
      </c:valAx>
      <c:valAx>
        <c:axId val="31858168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318581296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productividad!$BD$2</c:f>
              <c:strCache>
                <c:ptCount val="1"/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706317244695556"/>
                  <c:y val="0.1025633278398339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ba= 118432x - 314145
R² = 0,9916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productividad!$AW$3:$AW$46</c:f>
              <c:numCache>
                <c:formatCode>General</c:formatCode>
                <c:ptCount val="44"/>
              </c:numCache>
            </c:numRef>
          </c:xVal>
          <c:yVal>
            <c:numRef>
              <c:f>productividad!$BD$3:$BD$46</c:f>
              <c:numCache>
                <c:formatCode>0</c:formatCode>
                <c:ptCount val="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17-4583-A840-D8C88F269410}"/>
            </c:ext>
          </c:extLst>
        </c:ser>
        <c:ser>
          <c:idx val="7"/>
          <c:order val="1"/>
          <c:tx>
            <c:strRef>
              <c:f>productividad!$BF$2</c:f>
              <c:strCache>
                <c:ptCount val="1"/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3774799142473638"/>
                  <c:y val="0.3404031618141261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ybb = 142569x - 954012
R² = 0,9917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productividad!$AW$3:$AW$46</c:f>
              <c:numCache>
                <c:formatCode>General</c:formatCode>
                <c:ptCount val="44"/>
              </c:numCache>
            </c:numRef>
          </c:xVal>
          <c:yVal>
            <c:numRef>
              <c:f>productividad!$BF$3:$BF$46</c:f>
              <c:numCache>
                <c:formatCode>0</c:formatCode>
                <c:ptCount val="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17-4583-A840-D8C88F269410}"/>
            </c:ext>
          </c:extLst>
        </c:ser>
        <c:ser>
          <c:idx val="9"/>
          <c:order val="2"/>
          <c:tx>
            <c:strRef>
              <c:f>productividad!$BH$2</c:f>
              <c:strCache>
                <c:ptCount val="1"/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3786239506331112"/>
                  <c:y val="-0.1494878837820093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ab= 119445x - 751577
R² = 0,9915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productividad!$AW$3:$AW$46</c:f>
              <c:numCache>
                <c:formatCode>General</c:formatCode>
                <c:ptCount val="44"/>
              </c:numCache>
            </c:numRef>
          </c:xVal>
          <c:yVal>
            <c:numRef>
              <c:f>productividad!$BH$3:$BH$46</c:f>
              <c:numCache>
                <c:formatCode>General</c:formatCode>
                <c:ptCount val="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17-4583-A840-D8C88F269410}"/>
            </c:ext>
          </c:extLst>
        </c:ser>
        <c:ser>
          <c:idx val="11"/>
          <c:order val="3"/>
          <c:tx>
            <c:strRef>
              <c:f>productividad!$BJ$2</c:f>
              <c:strCache>
                <c:ptCount val="1"/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0789425176814988"/>
                  <c:y val="-0.1268198742599035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aa= 98932x - 170235
R² = 0,9971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productividad!$AW$3:$AW$46</c:f>
              <c:numCache>
                <c:formatCode>General</c:formatCode>
                <c:ptCount val="44"/>
              </c:numCache>
            </c:numRef>
          </c:xVal>
          <c:yVal>
            <c:numRef>
              <c:f>productividad!$BJ$3:$BJ$46</c:f>
              <c:numCache>
                <c:formatCode>0</c:formatCode>
                <c:ptCount val="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17-4583-A840-D8C88F269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116032"/>
        <c:axId val="318116424"/>
      </c:scatterChart>
      <c:valAx>
        <c:axId val="31811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8116424"/>
        <c:crosses val="autoZero"/>
        <c:crossBetween val="midCat"/>
      </c:valAx>
      <c:valAx>
        <c:axId val="31811642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318116032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2056099857746758"/>
          <c:y val="0.58850454739669156"/>
          <c:w val="0.26162729658792649"/>
          <c:h val="0.34624671916010497"/>
        </c:manualLayout>
      </c:layout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3211984865529"/>
          <c:y val="3.5613535477271446E-2"/>
          <c:w val="0.72582820329277076"/>
          <c:h val="0.884028313621984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ferment.!$BH$6</c:f>
              <c:strCache>
                <c:ptCount val="1"/>
                <c:pt idx="0">
                  <c:v>Conc. HER1</c:v>
                </c:pt>
              </c:strCache>
            </c:strRef>
          </c:tx>
          <c:marker>
            <c:symbol val="circle"/>
            <c:size val="5"/>
          </c:marker>
          <c:xVal>
            <c:numRef>
              <c:f>ferment.!$E$8:$E$51</c:f>
              <c:numCache>
                <c:formatCode>0.00</c:formatCode>
                <c:ptCount val="44"/>
                <c:pt idx="0">
                  <c:v>2.0833333335758653E-2</c:v>
                </c:pt>
                <c:pt idx="1">
                  <c:v>0.98958333333575865</c:v>
                </c:pt>
                <c:pt idx="2">
                  <c:v>1.9513888888905058</c:v>
                </c:pt>
                <c:pt idx="3">
                  <c:v>2.8993055555547471</c:v>
                </c:pt>
                <c:pt idx="4">
                  <c:v>3.8958333333357587</c:v>
                </c:pt>
                <c:pt idx="5">
                  <c:v>5.03125</c:v>
                </c:pt>
                <c:pt idx="6">
                  <c:v>6.21875</c:v>
                </c:pt>
                <c:pt idx="7">
                  <c:v>6.9652777777810115</c:v>
                </c:pt>
                <c:pt idx="8">
                  <c:v>7.9909722222218988</c:v>
                </c:pt>
                <c:pt idx="9">
                  <c:v>8.9166666666642413</c:v>
                </c:pt>
                <c:pt idx="10">
                  <c:v>9.9097222222189885</c:v>
                </c:pt>
                <c:pt idx="11">
                  <c:v>10.895833333335759</c:v>
                </c:pt>
                <c:pt idx="12">
                  <c:v>12.208333333335759</c:v>
                </c:pt>
                <c:pt idx="13">
                  <c:v>13.017361111109494</c:v>
                </c:pt>
                <c:pt idx="14">
                  <c:v>15.048611111109494</c:v>
                </c:pt>
                <c:pt idx="15">
                  <c:v>15.9375</c:v>
                </c:pt>
                <c:pt idx="16">
                  <c:v>16.899305555554747</c:v>
                </c:pt>
                <c:pt idx="17">
                  <c:v>19.0625</c:v>
                </c:pt>
                <c:pt idx="18">
                  <c:v>19.979166666664241</c:v>
                </c:pt>
                <c:pt idx="19">
                  <c:v>21.225694444445253</c:v>
                </c:pt>
                <c:pt idx="20">
                  <c:v>22.145833333335759</c:v>
                </c:pt>
                <c:pt idx="21">
                  <c:v>23.020833333335759</c:v>
                </c:pt>
                <c:pt idx="22">
                  <c:v>23.90625</c:v>
                </c:pt>
                <c:pt idx="23">
                  <c:v>24.930555555554747</c:v>
                </c:pt>
                <c:pt idx="24">
                  <c:v>26.243055555554747</c:v>
                </c:pt>
                <c:pt idx="25">
                  <c:v>27.03125</c:v>
                </c:pt>
                <c:pt idx="26">
                  <c:v>28.145833333335759</c:v>
                </c:pt>
                <c:pt idx="27">
                  <c:v>29.201388888890506</c:v>
                </c:pt>
                <c:pt idx="28">
                  <c:v>30.041666666664241</c:v>
                </c:pt>
                <c:pt idx="29">
                  <c:v>33.152777777781012</c:v>
                </c:pt>
                <c:pt idx="30">
                  <c:v>35.194444444445253</c:v>
                </c:pt>
                <c:pt idx="31">
                  <c:v>36.274305555554747</c:v>
                </c:pt>
                <c:pt idx="32">
                  <c:v>37.902777777781012</c:v>
                </c:pt>
                <c:pt idx="33">
                  <c:v>38.902777777781012</c:v>
                </c:pt>
                <c:pt idx="34">
                  <c:v>41.1875</c:v>
                </c:pt>
                <c:pt idx="35">
                  <c:v>43.263888888890506</c:v>
                </c:pt>
                <c:pt idx="36">
                  <c:v>43.951388888890506</c:v>
                </c:pt>
                <c:pt idx="37">
                  <c:v>44.902777777781012</c:v>
                </c:pt>
                <c:pt idx="38">
                  <c:v>47.173611111109494</c:v>
                </c:pt>
                <c:pt idx="39">
                  <c:v>47.944444444445253</c:v>
                </c:pt>
                <c:pt idx="40">
                  <c:v>48.989583333335759</c:v>
                </c:pt>
                <c:pt idx="41">
                  <c:v>51.225694444445253</c:v>
                </c:pt>
                <c:pt idx="42">
                  <c:v>54.138888888890506</c:v>
                </c:pt>
                <c:pt idx="43">
                  <c:v>55.180555555554747</c:v>
                </c:pt>
              </c:numCache>
            </c:numRef>
          </c:xVal>
          <c:yVal>
            <c:numRef>
              <c:f>ferment.!$BH$8:$BH$51</c:f>
              <c:numCache>
                <c:formatCode>0.00</c:formatCode>
                <c:ptCount val="44"/>
                <c:pt idx="0">
                  <c:v>1.7011372499999999</c:v>
                </c:pt>
                <c:pt idx="1">
                  <c:v>4.5199999999999996</c:v>
                </c:pt>
                <c:pt idx="2">
                  <c:v>11.36</c:v>
                </c:pt>
                <c:pt idx="3">
                  <c:v>12.864999999999998</c:v>
                </c:pt>
                <c:pt idx="4">
                  <c:v>14.37</c:v>
                </c:pt>
                <c:pt idx="5">
                  <c:v>14.37</c:v>
                </c:pt>
                <c:pt idx="6">
                  <c:v>14.321497333333333</c:v>
                </c:pt>
                <c:pt idx="7">
                  <c:v>14.272994666666666</c:v>
                </c:pt>
                <c:pt idx="8">
                  <c:v>15.134007333333333</c:v>
                </c:pt>
                <c:pt idx="9">
                  <c:v>16.650417666666666</c:v>
                </c:pt>
                <c:pt idx="10">
                  <c:v>16.873167333333331</c:v>
                </c:pt>
                <c:pt idx="11">
                  <c:v>16.04214</c:v>
                </c:pt>
                <c:pt idx="12">
                  <c:v>6.8107706666666674</c:v>
                </c:pt>
                <c:pt idx="13">
                  <c:v>9.5695516666666656</c:v>
                </c:pt>
                <c:pt idx="14">
                  <c:v>1.27647</c:v>
                </c:pt>
                <c:pt idx="15">
                  <c:v>1.2389881666666667</c:v>
                </c:pt>
                <c:pt idx="16">
                  <c:v>1.2015063333333336</c:v>
                </c:pt>
                <c:pt idx="17">
                  <c:v>0.92943833333333337</c:v>
                </c:pt>
                <c:pt idx="18">
                  <c:v>2.6502060000000003</c:v>
                </c:pt>
                <c:pt idx="19">
                  <c:v>3.0100790000000002</c:v>
                </c:pt>
                <c:pt idx="20">
                  <c:v>3.1354280000000001</c:v>
                </c:pt>
                <c:pt idx="21">
                  <c:v>3.260777</c:v>
                </c:pt>
                <c:pt idx="22">
                  <c:v>3.4426134999999998</c:v>
                </c:pt>
                <c:pt idx="23">
                  <c:v>1.8440715000000001</c:v>
                </c:pt>
                <c:pt idx="24">
                  <c:v>11.835697</c:v>
                </c:pt>
                <c:pt idx="25">
                  <c:v>11.144857333333333</c:v>
                </c:pt>
                <c:pt idx="26">
                  <c:v>11.295039666666666</c:v>
                </c:pt>
                <c:pt idx="27">
                  <c:v>9.9447149999999986</c:v>
                </c:pt>
                <c:pt idx="28">
                  <c:v>11.456551333333335</c:v>
                </c:pt>
                <c:pt idx="29">
                  <c:v>12.147391000000001</c:v>
                </c:pt>
                <c:pt idx="30">
                  <c:v>19.826721666666664</c:v>
                </c:pt>
                <c:pt idx="31">
                  <c:v>24.852828666666667</c:v>
                </c:pt>
                <c:pt idx="32">
                  <c:v>31.510918666666665</c:v>
                </c:pt>
                <c:pt idx="33">
                  <c:v>32.181733666666666</c:v>
                </c:pt>
                <c:pt idx="34">
                  <c:v>23.869045</c:v>
                </c:pt>
                <c:pt idx="35">
                  <c:v>18.779384999999998</c:v>
                </c:pt>
                <c:pt idx="36">
                  <c:v>17.926008333333336</c:v>
                </c:pt>
                <c:pt idx="37">
                  <c:v>14.529501666666668</c:v>
                </c:pt>
                <c:pt idx="38">
                  <c:v>12.065904999999999</c:v>
                </c:pt>
                <c:pt idx="39">
                  <c:v>7.1696749999999998</c:v>
                </c:pt>
                <c:pt idx="40">
                  <c:v>8.906055666666667</c:v>
                </c:pt>
                <c:pt idx="41">
                  <c:v>9.7148689999999984</c:v>
                </c:pt>
                <c:pt idx="42">
                  <c:v>12.122367666666667</c:v>
                </c:pt>
                <c:pt idx="43">
                  <c:v>9.643835666666666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CB-4314-A9F9-5EE215F5EC33}"/>
            </c:ext>
          </c:extLst>
        </c:ser>
        <c:ser>
          <c:idx val="1"/>
          <c:order val="1"/>
          <c:tx>
            <c:strRef>
              <c:f>productividad!$J$1</c:f>
              <c:strCache>
                <c:ptCount val="1"/>
                <c:pt idx="0">
                  <c:v>Con. IgG Cosecha Estimada por purificación</c:v>
                </c:pt>
              </c:strCache>
            </c:strRef>
          </c:tx>
          <c:marker>
            <c:symbol val="square"/>
            <c:size val="4"/>
          </c:marker>
          <c:xVal>
            <c:numRef>
              <c:f>productividad!$E$3:$E$6</c:f>
              <c:numCache>
                <c:formatCode>0.00</c:formatCode>
                <c:ptCount val="4"/>
                <c:pt idx="0">
                  <c:v>-728.97916666666424</c:v>
                </c:pt>
                <c:pt idx="1">
                  <c:v>-727.97916666666424</c:v>
                </c:pt>
                <c:pt idx="2">
                  <c:v>-726.97916666666424</c:v>
                </c:pt>
                <c:pt idx="3">
                  <c:v>-724.97916666666424</c:v>
                </c:pt>
              </c:numCache>
            </c:numRef>
          </c:xVal>
          <c:yVal>
            <c:numRef>
              <c:f>productividad!$J$3:$J$6</c:f>
              <c:numCache>
                <c:formatCode>0.00;[Red]0.00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6923.6059701492532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CB-4314-A9F9-5EE215F5EC33}"/>
            </c:ext>
          </c:extLst>
        </c:ser>
        <c:ser>
          <c:idx val="2"/>
          <c:order val="2"/>
          <c:tx>
            <c:strRef>
              <c:f>productividad!$K$1</c:f>
              <c:strCache>
                <c:ptCount val="1"/>
                <c:pt idx="0">
                  <c:v>Conc. IgG por ELISA antes de filtrar</c:v>
                </c:pt>
              </c:strCache>
            </c:strRef>
          </c:tx>
          <c:xVal>
            <c:numRef>
              <c:f>productividad!$E$3:$E$7</c:f>
              <c:numCache>
                <c:formatCode>0.00</c:formatCode>
                <c:ptCount val="5"/>
                <c:pt idx="0">
                  <c:v>-728.97916666666424</c:v>
                </c:pt>
                <c:pt idx="1">
                  <c:v>-727.97916666666424</c:v>
                </c:pt>
                <c:pt idx="2">
                  <c:v>-726.97916666666424</c:v>
                </c:pt>
                <c:pt idx="3">
                  <c:v>-724.97916666666424</c:v>
                </c:pt>
                <c:pt idx="4">
                  <c:v>-724.97916666666424</c:v>
                </c:pt>
              </c:numCache>
            </c:numRef>
          </c:xVal>
          <c:yVal>
            <c:numRef>
              <c:f>productividad!$M$4:$M$7</c:f>
              <c:numCache>
                <c:formatCode>0.00</c:formatCode>
                <c:ptCount val="4"/>
                <c:pt idx="0">
                  <c:v>0.20250000000000001</c:v>
                </c:pt>
                <c:pt idx="1">
                  <c:v>0.35249999999999998</c:v>
                </c:pt>
                <c:pt idx="2">
                  <c:v>0.50249999999999995</c:v>
                </c:pt>
                <c:pt idx="3">
                  <c:v>0.65249999999999997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CB-4314-A9F9-5EE215F5E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117208"/>
        <c:axId val="318117600"/>
      </c:scatterChart>
      <c:valAx>
        <c:axId val="318117208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crossAx val="318117600"/>
        <c:crosses val="autoZero"/>
        <c:crossBetween val="midCat"/>
      </c:valAx>
      <c:valAx>
        <c:axId val="3181176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181172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763867716535451"/>
          <c:y val="0.57671867600351101"/>
          <c:w val="0.32956132283464579"/>
          <c:h val="0.174013601146689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Acumulado de gramos en sobrenadante y purificados de AntiCD20</a:t>
            </a:r>
          </a:p>
          <a:p>
            <a:pPr>
              <a:defRPr lang="es-ES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3228TA1204</a:t>
            </a:r>
          </a:p>
        </c:rich>
      </c:tx>
      <c:layout>
        <c:manualLayout>
          <c:xMode val="edge"/>
          <c:yMode val="edge"/>
          <c:x val="0.18620218864394536"/>
          <c:y val="2.92533218471469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03459307195672"/>
          <c:y val="0.16615409578439871"/>
          <c:w val="0.75517304954627684"/>
          <c:h val="0.73846264793061756"/>
        </c:manualLayout>
      </c:layout>
      <c:scatterChart>
        <c:scatterStyle val="lineMarker"/>
        <c:varyColors val="0"/>
        <c:ser>
          <c:idx val="4"/>
          <c:order val="0"/>
          <c:tx>
            <c:strRef>
              <c:f>productividad!$V$1:$V$2</c:f>
              <c:strCache>
                <c:ptCount val="2"/>
                <c:pt idx="0">
                  <c:v>productividad </c:v>
                </c:pt>
                <c:pt idx="1">
                  <c:v>diaria purificada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16409049752585195"/>
                  <c:y val="0.16388578473954102"/>
                </c:manualLayout>
              </c:layout>
              <c:numFmt formatCode="General" sourceLinked="0"/>
            </c:trendlineLbl>
          </c:trendline>
          <c:xVal>
            <c:numRef>
              <c:f>productividad!$E$3:$E$23</c:f>
              <c:numCache>
                <c:formatCode>0.00</c:formatCode>
                <c:ptCount val="21"/>
                <c:pt idx="0">
                  <c:v>-728.97916666666424</c:v>
                </c:pt>
                <c:pt idx="1">
                  <c:v>-727.97916666666424</c:v>
                </c:pt>
                <c:pt idx="2">
                  <c:v>-726.97916666666424</c:v>
                </c:pt>
                <c:pt idx="3">
                  <c:v>-724.97916666666424</c:v>
                </c:pt>
                <c:pt idx="4">
                  <c:v>-724.97916666666424</c:v>
                </c:pt>
                <c:pt idx="5">
                  <c:v>-2242.7083333333358</c:v>
                </c:pt>
                <c:pt idx="6">
                  <c:v>-2239.4236111111095</c:v>
                </c:pt>
                <c:pt idx="7">
                  <c:v>-2236.909722222219</c:v>
                </c:pt>
                <c:pt idx="8">
                  <c:v>-2235.0694444444453</c:v>
                </c:pt>
                <c:pt idx="9">
                  <c:v>-2234.090277777781</c:v>
                </c:pt>
                <c:pt idx="10">
                  <c:v>-2225.6770833333358</c:v>
                </c:pt>
                <c:pt idx="11">
                  <c:v>-2224.9375</c:v>
                </c:pt>
                <c:pt idx="12">
                  <c:v>-2222.2708333333358</c:v>
                </c:pt>
                <c:pt idx="13">
                  <c:v>-2369.0416666666642</c:v>
                </c:pt>
                <c:pt idx="14">
                  <c:v>-2367.0416666666642</c:v>
                </c:pt>
                <c:pt idx="15">
                  <c:v>-2365.0416666666642</c:v>
                </c:pt>
                <c:pt idx="16">
                  <c:v>-2363.0416666666642</c:v>
                </c:pt>
                <c:pt idx="17">
                  <c:v>-2361.0416666666642</c:v>
                </c:pt>
                <c:pt idx="18">
                  <c:v>-2359.0416666666642</c:v>
                </c:pt>
                <c:pt idx="19">
                  <c:v>-2357.0416666666642</c:v>
                </c:pt>
                <c:pt idx="20">
                  <c:v>-2355.0416666666642</c:v>
                </c:pt>
              </c:numCache>
            </c:numRef>
          </c:xVal>
          <c:yVal>
            <c:numRef>
              <c:f>productividad!$U$3:$U$23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164.29139999999998</c:v>
                </c:pt>
                <c:pt idx="4">
                  <c:v>164.29139999999998</c:v>
                </c:pt>
                <c:pt idx="5">
                  <c:v>164.29139999999998</c:v>
                </c:pt>
                <c:pt idx="6">
                  <c:v>164.29139999999998</c:v>
                </c:pt>
                <c:pt idx="7">
                  <c:v>164.29139999999998</c:v>
                </c:pt>
                <c:pt idx="8">
                  <c:v>164.29139999999998</c:v>
                </c:pt>
                <c:pt idx="9">
                  <c:v>164.29139999999998</c:v>
                </c:pt>
                <c:pt idx="10">
                  <c:v>164.29139999999998</c:v>
                </c:pt>
                <c:pt idx="11">
                  <c:v>164.29139999999998</c:v>
                </c:pt>
                <c:pt idx="12">
                  <c:v>164.29139999999998</c:v>
                </c:pt>
                <c:pt idx="13">
                  <c:v>164.29139999999998</c:v>
                </c:pt>
                <c:pt idx="14">
                  <c:v>164.29139999999998</c:v>
                </c:pt>
                <c:pt idx="15">
                  <c:v>164.29139999999998</c:v>
                </c:pt>
                <c:pt idx="16">
                  <c:v>164.29139999999998</c:v>
                </c:pt>
                <c:pt idx="17">
                  <c:v>164.29139999999998</c:v>
                </c:pt>
                <c:pt idx="18">
                  <c:v>164.29139999999998</c:v>
                </c:pt>
                <c:pt idx="19">
                  <c:v>164.29139999999998</c:v>
                </c:pt>
                <c:pt idx="20">
                  <c:v>164.29139999999998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32-4461-BA35-17010DD2ADF3}"/>
            </c:ext>
          </c:extLst>
        </c:ser>
        <c:ser>
          <c:idx val="0"/>
          <c:order val="1"/>
          <c:tx>
            <c:strRef>
              <c:f>productividad!$X$1:$X$2</c:f>
              <c:strCache>
                <c:ptCount val="2"/>
                <c:pt idx="0">
                  <c:v>productividad </c:v>
                </c:pt>
                <c:pt idx="1">
                  <c:v>diaria en sobrenadante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-0.16590740590415889"/>
                  <c:y val="0.15809921506586894"/>
                </c:manualLayout>
              </c:layout>
              <c:numFmt formatCode="General" sourceLinked="0"/>
            </c:trendlineLbl>
          </c:trendline>
          <c:xVal>
            <c:numRef>
              <c:f>productividad!$E$3:$E$23</c:f>
              <c:numCache>
                <c:formatCode>0.00</c:formatCode>
                <c:ptCount val="21"/>
                <c:pt idx="0">
                  <c:v>-728.97916666666424</c:v>
                </c:pt>
                <c:pt idx="1">
                  <c:v>-727.97916666666424</c:v>
                </c:pt>
                <c:pt idx="2">
                  <c:v>-726.97916666666424</c:v>
                </c:pt>
                <c:pt idx="3">
                  <c:v>-724.97916666666424</c:v>
                </c:pt>
                <c:pt idx="4">
                  <c:v>-724.97916666666424</c:v>
                </c:pt>
                <c:pt idx="5">
                  <c:v>-2242.7083333333358</c:v>
                </c:pt>
                <c:pt idx="6">
                  <c:v>-2239.4236111111095</c:v>
                </c:pt>
                <c:pt idx="7">
                  <c:v>-2236.909722222219</c:v>
                </c:pt>
                <c:pt idx="8">
                  <c:v>-2235.0694444444453</c:v>
                </c:pt>
                <c:pt idx="9">
                  <c:v>-2234.090277777781</c:v>
                </c:pt>
                <c:pt idx="10">
                  <c:v>-2225.6770833333358</c:v>
                </c:pt>
                <c:pt idx="11">
                  <c:v>-2224.9375</c:v>
                </c:pt>
                <c:pt idx="12">
                  <c:v>-2222.2708333333358</c:v>
                </c:pt>
                <c:pt idx="13">
                  <c:v>-2369.0416666666642</c:v>
                </c:pt>
                <c:pt idx="14">
                  <c:v>-2367.0416666666642</c:v>
                </c:pt>
                <c:pt idx="15">
                  <c:v>-2365.0416666666642</c:v>
                </c:pt>
                <c:pt idx="16">
                  <c:v>-2363.0416666666642</c:v>
                </c:pt>
                <c:pt idx="17">
                  <c:v>-2361.0416666666642</c:v>
                </c:pt>
                <c:pt idx="18">
                  <c:v>-2359.0416666666642</c:v>
                </c:pt>
                <c:pt idx="19">
                  <c:v>-2357.0416666666642</c:v>
                </c:pt>
                <c:pt idx="20">
                  <c:v>-2355.0416666666642</c:v>
                </c:pt>
              </c:numCache>
            </c:numRef>
          </c:xVal>
          <c:yVal>
            <c:numRef>
              <c:f>productividad!$Y$3:$Y$23</c:f>
              <c:numCache>
                <c:formatCode>0.00;[Red]0.00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69.236059701492536</c:v>
                </c:pt>
                <c:pt idx="4">
                  <c:v>69.236059701492536</c:v>
                </c:pt>
                <c:pt idx="5">
                  <c:v>69.236059701492536</c:v>
                </c:pt>
                <c:pt idx="6">
                  <c:v>69.236059701492536</c:v>
                </c:pt>
                <c:pt idx="7">
                  <c:v>69.236059701492536</c:v>
                </c:pt>
                <c:pt idx="8">
                  <c:v>69.236059701492536</c:v>
                </c:pt>
                <c:pt idx="9">
                  <c:v>69.236059701492536</c:v>
                </c:pt>
                <c:pt idx="10">
                  <c:v>69.236059701492536</c:v>
                </c:pt>
                <c:pt idx="11">
                  <c:v>69.236059701492536</c:v>
                </c:pt>
                <c:pt idx="12">
                  <c:v>69.236059701492536</c:v>
                </c:pt>
                <c:pt idx="13">
                  <c:v>69.236059701492536</c:v>
                </c:pt>
                <c:pt idx="14">
                  <c:v>69.236059701492536</c:v>
                </c:pt>
                <c:pt idx="15">
                  <c:v>69.236059701492536</c:v>
                </c:pt>
                <c:pt idx="16">
                  <c:v>69.236059701492536</c:v>
                </c:pt>
                <c:pt idx="17">
                  <c:v>69.236059701492536</c:v>
                </c:pt>
                <c:pt idx="18">
                  <c:v>69.236059701492536</c:v>
                </c:pt>
                <c:pt idx="19">
                  <c:v>69.236059701492536</c:v>
                </c:pt>
                <c:pt idx="20">
                  <c:v>69.236059701492536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32-4461-BA35-17010DD2A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118384"/>
        <c:axId val="318118776"/>
      </c:scatterChart>
      <c:valAx>
        <c:axId val="318118384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lang="es-E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200"/>
                  <a:t>t(d)</a:t>
                </a:r>
              </a:p>
            </c:rich>
          </c:tx>
          <c:layout>
            <c:manualLayout>
              <c:xMode val="edge"/>
              <c:yMode val="edge"/>
              <c:x val="0.92672549951874594"/>
              <c:y val="0.903196675446800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18118776"/>
        <c:crosses val="autoZero"/>
        <c:crossBetween val="midCat"/>
      </c:valAx>
      <c:valAx>
        <c:axId val="31811877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 rot="0" vert="horz"/>
              <a:lstStyle/>
              <a:p>
                <a:pPr algn="ctr">
                  <a:defRPr lang="es-E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200"/>
                  <a:t>IgG (g)</a:t>
                </a:r>
              </a:p>
            </c:rich>
          </c:tx>
          <c:layout>
            <c:manualLayout>
              <c:xMode val="edge"/>
              <c:yMode val="edge"/>
              <c:x val="6.6380619948279707E-2"/>
              <c:y val="8.6563040511618367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181183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landscape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Concentración celular e IgG en el tiempo</a:t>
            </a:r>
          </a:p>
          <a:p>
            <a:pPr>
              <a:defRPr/>
            </a:pPr>
            <a:r>
              <a:rPr lang="es-ES"/>
              <a:t>3223TA1303</a:t>
            </a:r>
          </a:p>
        </c:rich>
      </c:tx>
      <c:layout>
        <c:manualLayout>
          <c:xMode val="edge"/>
          <c:yMode val="edge"/>
          <c:x val="0.33126011560693647"/>
          <c:y val="2.21657751269023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54401382294753"/>
          <c:y val="0.16084738711108174"/>
          <c:w val="0.76587424201584475"/>
          <c:h val="0.694363849889705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ferment.!$J$6</c:f>
              <c:strCache>
                <c:ptCount val="1"/>
                <c:pt idx="0">
                  <c:v>Xv(Promedio) </c:v>
                </c:pt>
              </c:strCache>
            </c:strRef>
          </c:tx>
          <c:marker>
            <c:symbol val="diamond"/>
            <c:size val="5"/>
          </c:marker>
          <c:xVal>
            <c:numRef>
              <c:f>ferment.!$E$8:$E$30</c:f>
              <c:numCache>
                <c:formatCode>0.00</c:formatCode>
                <c:ptCount val="23"/>
                <c:pt idx="0">
                  <c:v>2.0833333335758653E-2</c:v>
                </c:pt>
                <c:pt idx="1">
                  <c:v>0.98958333333575865</c:v>
                </c:pt>
                <c:pt idx="2">
                  <c:v>1.9513888888905058</c:v>
                </c:pt>
                <c:pt idx="3">
                  <c:v>2.8993055555547471</c:v>
                </c:pt>
                <c:pt idx="4">
                  <c:v>3.8958333333357587</c:v>
                </c:pt>
                <c:pt idx="5">
                  <c:v>5.03125</c:v>
                </c:pt>
                <c:pt idx="6">
                  <c:v>6.21875</c:v>
                </c:pt>
                <c:pt idx="7">
                  <c:v>6.9652777777810115</c:v>
                </c:pt>
                <c:pt idx="8">
                  <c:v>7.9909722222218988</c:v>
                </c:pt>
                <c:pt idx="9">
                  <c:v>8.9166666666642413</c:v>
                </c:pt>
                <c:pt idx="10">
                  <c:v>9.9097222222189885</c:v>
                </c:pt>
                <c:pt idx="11">
                  <c:v>10.895833333335759</c:v>
                </c:pt>
                <c:pt idx="12">
                  <c:v>12.208333333335759</c:v>
                </c:pt>
                <c:pt idx="13">
                  <c:v>13.017361111109494</c:v>
                </c:pt>
                <c:pt idx="14">
                  <c:v>15.048611111109494</c:v>
                </c:pt>
                <c:pt idx="15">
                  <c:v>15.9375</c:v>
                </c:pt>
                <c:pt idx="16">
                  <c:v>16.899305555554747</c:v>
                </c:pt>
                <c:pt idx="17">
                  <c:v>19.0625</c:v>
                </c:pt>
                <c:pt idx="18">
                  <c:v>19.979166666664241</c:v>
                </c:pt>
                <c:pt idx="19">
                  <c:v>21.225694444445253</c:v>
                </c:pt>
                <c:pt idx="20">
                  <c:v>22.145833333335759</c:v>
                </c:pt>
                <c:pt idx="21">
                  <c:v>23.020833333335759</c:v>
                </c:pt>
                <c:pt idx="22">
                  <c:v>23.90625</c:v>
                </c:pt>
              </c:numCache>
            </c:numRef>
          </c:xVal>
          <c:yVal>
            <c:numRef>
              <c:f>ferment.!$M$8:$M$33</c:f>
              <c:numCache>
                <c:formatCode>0.00E+00</c:formatCode>
                <c:ptCount val="26"/>
                <c:pt idx="0">
                  <c:v>462500</c:v>
                </c:pt>
                <c:pt idx="1">
                  <c:v>850000</c:v>
                </c:pt>
                <c:pt idx="2">
                  <c:v>1753333.3333333333</c:v>
                </c:pt>
                <c:pt idx="3">
                  <c:v>2991333.333333333</c:v>
                </c:pt>
                <c:pt idx="4">
                  <c:v>3270000</c:v>
                </c:pt>
                <c:pt idx="5">
                  <c:v>2815000</c:v>
                </c:pt>
                <c:pt idx="6">
                  <c:v>2655000</c:v>
                </c:pt>
                <c:pt idx="7">
                  <c:v>2197500</c:v>
                </c:pt>
                <c:pt idx="8">
                  <c:v>2813333.3333333335</c:v>
                </c:pt>
                <c:pt idx="9">
                  <c:v>2898333.3333333335</c:v>
                </c:pt>
                <c:pt idx="10">
                  <c:v>2880000</c:v>
                </c:pt>
                <c:pt idx="11">
                  <c:v>3210000</c:v>
                </c:pt>
                <c:pt idx="12">
                  <c:v>2870000</c:v>
                </c:pt>
                <c:pt idx="13">
                  <c:v>2380000</c:v>
                </c:pt>
                <c:pt idx="14">
                  <c:v>3353333.3333333335</c:v>
                </c:pt>
                <c:pt idx="15">
                  <c:v>3673333.3333333335</c:v>
                </c:pt>
                <c:pt idx="16">
                  <c:v>4250000</c:v>
                </c:pt>
                <c:pt idx="17">
                  <c:v>5190000</c:v>
                </c:pt>
                <c:pt idx="18">
                  <c:v>6375000</c:v>
                </c:pt>
                <c:pt idx="19">
                  <c:v>7245000</c:v>
                </c:pt>
                <c:pt idx="20">
                  <c:v>6360000</c:v>
                </c:pt>
                <c:pt idx="21">
                  <c:v>6900000</c:v>
                </c:pt>
                <c:pt idx="22">
                  <c:v>6850000</c:v>
                </c:pt>
                <c:pt idx="23">
                  <c:v>7995000</c:v>
                </c:pt>
                <c:pt idx="24">
                  <c:v>7470000</c:v>
                </c:pt>
                <c:pt idx="25">
                  <c:v>8280000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AE-4D30-98E8-595498BE3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119560"/>
        <c:axId val="318119952"/>
      </c:scatterChart>
      <c:scatterChart>
        <c:scatterStyle val="lineMarker"/>
        <c:varyColors val="0"/>
        <c:ser>
          <c:idx val="2"/>
          <c:order val="2"/>
          <c:tx>
            <c:strRef>
              <c:f>ferment.!$BR$6</c:f>
              <c:strCache>
                <c:ptCount val="1"/>
                <c:pt idx="0">
                  <c:v>Conc. Her1 * Elisa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10"/>
            <c:spPr>
              <a:ln>
                <a:solidFill>
                  <a:schemeClr val="tx1"/>
                </a:solidFill>
              </a:ln>
            </c:spPr>
          </c:marker>
          <c:xVal>
            <c:numRef>
              <c:f>ferment.!$E$8:$E$46</c:f>
              <c:numCache>
                <c:formatCode>0.00</c:formatCode>
                <c:ptCount val="39"/>
                <c:pt idx="0">
                  <c:v>2.0833333335758653E-2</c:v>
                </c:pt>
                <c:pt idx="1">
                  <c:v>0.98958333333575865</c:v>
                </c:pt>
                <c:pt idx="2">
                  <c:v>1.9513888888905058</c:v>
                </c:pt>
                <c:pt idx="3">
                  <c:v>2.8993055555547471</c:v>
                </c:pt>
                <c:pt idx="4">
                  <c:v>3.8958333333357587</c:v>
                </c:pt>
                <c:pt idx="5">
                  <c:v>5.03125</c:v>
                </c:pt>
                <c:pt idx="6">
                  <c:v>6.21875</c:v>
                </c:pt>
                <c:pt idx="7">
                  <c:v>6.9652777777810115</c:v>
                </c:pt>
                <c:pt idx="8">
                  <c:v>7.9909722222218988</c:v>
                </c:pt>
                <c:pt idx="9">
                  <c:v>8.9166666666642413</c:v>
                </c:pt>
                <c:pt idx="10">
                  <c:v>9.9097222222189885</c:v>
                </c:pt>
                <c:pt idx="11">
                  <c:v>10.895833333335759</c:v>
                </c:pt>
                <c:pt idx="12">
                  <c:v>12.208333333335759</c:v>
                </c:pt>
                <c:pt idx="13">
                  <c:v>13.017361111109494</c:v>
                </c:pt>
                <c:pt idx="14">
                  <c:v>15.048611111109494</c:v>
                </c:pt>
                <c:pt idx="15">
                  <c:v>15.9375</c:v>
                </c:pt>
                <c:pt idx="16">
                  <c:v>16.899305555554747</c:v>
                </c:pt>
                <c:pt idx="17">
                  <c:v>19.0625</c:v>
                </c:pt>
                <c:pt idx="18">
                  <c:v>19.979166666664241</c:v>
                </c:pt>
                <c:pt idx="19">
                  <c:v>21.225694444445253</c:v>
                </c:pt>
                <c:pt idx="20">
                  <c:v>22.145833333335759</c:v>
                </c:pt>
                <c:pt idx="21">
                  <c:v>23.020833333335759</c:v>
                </c:pt>
                <c:pt idx="22">
                  <c:v>23.90625</c:v>
                </c:pt>
                <c:pt idx="23">
                  <c:v>24.930555555554747</c:v>
                </c:pt>
                <c:pt idx="24">
                  <c:v>26.243055555554747</c:v>
                </c:pt>
                <c:pt idx="25">
                  <c:v>27.03125</c:v>
                </c:pt>
                <c:pt idx="26">
                  <c:v>28.145833333335759</c:v>
                </c:pt>
                <c:pt idx="27">
                  <c:v>29.201388888890506</c:v>
                </c:pt>
                <c:pt idx="28">
                  <c:v>30.041666666664241</c:v>
                </c:pt>
                <c:pt idx="29">
                  <c:v>33.152777777781012</c:v>
                </c:pt>
                <c:pt idx="30">
                  <c:v>35.194444444445253</c:v>
                </c:pt>
                <c:pt idx="31">
                  <c:v>36.274305555554747</c:v>
                </c:pt>
                <c:pt idx="32">
                  <c:v>37.902777777781012</c:v>
                </c:pt>
                <c:pt idx="33">
                  <c:v>38.902777777781012</c:v>
                </c:pt>
                <c:pt idx="34">
                  <c:v>41.1875</c:v>
                </c:pt>
                <c:pt idx="35">
                  <c:v>43.263888888890506</c:v>
                </c:pt>
                <c:pt idx="36">
                  <c:v>43.951388888890506</c:v>
                </c:pt>
                <c:pt idx="37">
                  <c:v>44.902777777781012</c:v>
                </c:pt>
                <c:pt idx="38">
                  <c:v>47.173611111109494</c:v>
                </c:pt>
              </c:numCache>
            </c:numRef>
          </c:xVal>
          <c:yVal>
            <c:numRef>
              <c:f>ferment.!$BR$8:$BR$41</c:f>
              <c:numCache>
                <c:formatCode>0.00</c:formatCode>
                <c:ptCount val="34"/>
                <c:pt idx="0">
                  <c:v>1.7011372499999999</c:v>
                </c:pt>
                <c:pt idx="1">
                  <c:v>4.5199999999999996</c:v>
                </c:pt>
                <c:pt idx="2">
                  <c:v>11.36</c:v>
                </c:pt>
                <c:pt idx="3">
                  <c:v>12.864999999999998</c:v>
                </c:pt>
                <c:pt idx="4">
                  <c:v>14.37</c:v>
                </c:pt>
                <c:pt idx="5">
                  <c:v>14.37</c:v>
                </c:pt>
                <c:pt idx="6">
                  <c:v>14.321497333333333</c:v>
                </c:pt>
                <c:pt idx="7">
                  <c:v>14.272994666666666</c:v>
                </c:pt>
                <c:pt idx="8">
                  <c:v>15.134007333333333</c:v>
                </c:pt>
                <c:pt idx="9">
                  <c:v>16.650417666666666</c:v>
                </c:pt>
                <c:pt idx="10">
                  <c:v>16.873167333333331</c:v>
                </c:pt>
                <c:pt idx="11">
                  <c:v>16.04214</c:v>
                </c:pt>
                <c:pt idx="12">
                  <c:v>6.8107706666666674</c:v>
                </c:pt>
                <c:pt idx="13">
                  <c:v>9.5695516666666656</c:v>
                </c:pt>
                <c:pt idx="14">
                  <c:v>1.27647</c:v>
                </c:pt>
                <c:pt idx="15">
                  <c:v>1.2389881666666667</c:v>
                </c:pt>
                <c:pt idx="16">
                  <c:v>1.2015063333333336</c:v>
                </c:pt>
                <c:pt idx="17">
                  <c:v>0.92943833333333337</c:v>
                </c:pt>
                <c:pt idx="18">
                  <c:v>2.6502060000000003</c:v>
                </c:pt>
                <c:pt idx="19">
                  <c:v>3.0100790000000002</c:v>
                </c:pt>
                <c:pt idx="20">
                  <c:v>3.1354280000000001</c:v>
                </c:pt>
                <c:pt idx="21">
                  <c:v>3.260777</c:v>
                </c:pt>
                <c:pt idx="22">
                  <c:v>3.4426134999999998</c:v>
                </c:pt>
                <c:pt idx="23">
                  <c:v>1.8440715000000001</c:v>
                </c:pt>
                <c:pt idx="24">
                  <c:v>11.835697</c:v>
                </c:pt>
                <c:pt idx="25">
                  <c:v>11.144857333333333</c:v>
                </c:pt>
                <c:pt idx="26">
                  <c:v>11.295039666666666</c:v>
                </c:pt>
                <c:pt idx="27">
                  <c:v>9.9447149999999986</c:v>
                </c:pt>
                <c:pt idx="28">
                  <c:v>11.456551333333335</c:v>
                </c:pt>
                <c:pt idx="29">
                  <c:v>12.147391000000001</c:v>
                </c:pt>
                <c:pt idx="30">
                  <c:v>19.826721666666664</c:v>
                </c:pt>
                <c:pt idx="31">
                  <c:v>24.852828666666667</c:v>
                </c:pt>
                <c:pt idx="32">
                  <c:v>31.510918666666665</c:v>
                </c:pt>
                <c:pt idx="33">
                  <c:v>32.181733666666666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AE-4D30-98E8-595498BE3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120736"/>
        <c:axId val="318120344"/>
      </c:scatterChart>
      <c:scatterChart>
        <c:scatterStyle val="smoothMarker"/>
        <c:varyColors val="0"/>
        <c:ser>
          <c:idx val="1"/>
          <c:order val="1"/>
          <c:tx>
            <c:strRef>
              <c:f>ferment.!$BH$6</c:f>
              <c:strCache>
                <c:ptCount val="1"/>
                <c:pt idx="0">
                  <c:v>Conc. HER1</c:v>
                </c:pt>
              </c:strCache>
            </c:strRef>
          </c:tx>
          <c:marker>
            <c:symbol val="square"/>
            <c:size val="4"/>
          </c:marker>
          <c:xVal>
            <c:numRef>
              <c:f>ferment.!$E$8:$E$30</c:f>
              <c:numCache>
                <c:formatCode>0.00</c:formatCode>
                <c:ptCount val="23"/>
                <c:pt idx="0">
                  <c:v>2.0833333335758653E-2</c:v>
                </c:pt>
                <c:pt idx="1">
                  <c:v>0.98958333333575865</c:v>
                </c:pt>
                <c:pt idx="2">
                  <c:v>1.9513888888905058</c:v>
                </c:pt>
                <c:pt idx="3">
                  <c:v>2.8993055555547471</c:v>
                </c:pt>
                <c:pt idx="4">
                  <c:v>3.8958333333357587</c:v>
                </c:pt>
                <c:pt idx="5">
                  <c:v>5.03125</c:v>
                </c:pt>
                <c:pt idx="6">
                  <c:v>6.21875</c:v>
                </c:pt>
                <c:pt idx="7">
                  <c:v>6.9652777777810115</c:v>
                </c:pt>
                <c:pt idx="8">
                  <c:v>7.9909722222218988</c:v>
                </c:pt>
                <c:pt idx="9">
                  <c:v>8.9166666666642413</c:v>
                </c:pt>
                <c:pt idx="10">
                  <c:v>9.9097222222189885</c:v>
                </c:pt>
                <c:pt idx="11">
                  <c:v>10.895833333335759</c:v>
                </c:pt>
                <c:pt idx="12">
                  <c:v>12.208333333335759</c:v>
                </c:pt>
                <c:pt idx="13">
                  <c:v>13.017361111109494</c:v>
                </c:pt>
                <c:pt idx="14">
                  <c:v>15.048611111109494</c:v>
                </c:pt>
                <c:pt idx="15">
                  <c:v>15.9375</c:v>
                </c:pt>
                <c:pt idx="16">
                  <c:v>16.899305555554747</c:v>
                </c:pt>
                <c:pt idx="17">
                  <c:v>19.0625</c:v>
                </c:pt>
                <c:pt idx="18">
                  <c:v>19.979166666664241</c:v>
                </c:pt>
                <c:pt idx="19">
                  <c:v>21.225694444445253</c:v>
                </c:pt>
                <c:pt idx="20">
                  <c:v>22.145833333335759</c:v>
                </c:pt>
                <c:pt idx="21">
                  <c:v>23.020833333335759</c:v>
                </c:pt>
                <c:pt idx="22">
                  <c:v>23.90625</c:v>
                </c:pt>
              </c:numCache>
            </c:numRef>
          </c:xVal>
          <c:yVal>
            <c:numRef>
              <c:f>ferment.!$BH$8:$BH$33</c:f>
              <c:numCache>
                <c:formatCode>0.00</c:formatCode>
                <c:ptCount val="26"/>
                <c:pt idx="0">
                  <c:v>1.7011372499999999</c:v>
                </c:pt>
                <c:pt idx="1">
                  <c:v>4.5199999999999996</c:v>
                </c:pt>
                <c:pt idx="2">
                  <c:v>11.36</c:v>
                </c:pt>
                <c:pt idx="3">
                  <c:v>12.864999999999998</c:v>
                </c:pt>
                <c:pt idx="4">
                  <c:v>14.37</c:v>
                </c:pt>
                <c:pt idx="5">
                  <c:v>14.37</c:v>
                </c:pt>
                <c:pt idx="6">
                  <c:v>14.321497333333333</c:v>
                </c:pt>
                <c:pt idx="7">
                  <c:v>14.272994666666666</c:v>
                </c:pt>
                <c:pt idx="8">
                  <c:v>15.134007333333333</c:v>
                </c:pt>
                <c:pt idx="9">
                  <c:v>16.650417666666666</c:v>
                </c:pt>
                <c:pt idx="10">
                  <c:v>16.873167333333331</c:v>
                </c:pt>
                <c:pt idx="11">
                  <c:v>16.04214</c:v>
                </c:pt>
                <c:pt idx="12">
                  <c:v>6.8107706666666674</c:v>
                </c:pt>
                <c:pt idx="13">
                  <c:v>9.5695516666666656</c:v>
                </c:pt>
                <c:pt idx="14">
                  <c:v>1.27647</c:v>
                </c:pt>
                <c:pt idx="15">
                  <c:v>1.2389881666666667</c:v>
                </c:pt>
                <c:pt idx="16">
                  <c:v>1.2015063333333336</c:v>
                </c:pt>
                <c:pt idx="17">
                  <c:v>0.92943833333333337</c:v>
                </c:pt>
                <c:pt idx="18">
                  <c:v>2.6502060000000003</c:v>
                </c:pt>
                <c:pt idx="19">
                  <c:v>3.0100790000000002</c:v>
                </c:pt>
                <c:pt idx="20">
                  <c:v>3.1354280000000001</c:v>
                </c:pt>
                <c:pt idx="21">
                  <c:v>3.260777</c:v>
                </c:pt>
                <c:pt idx="22">
                  <c:v>3.4426134999999998</c:v>
                </c:pt>
                <c:pt idx="23">
                  <c:v>1.8440715000000001</c:v>
                </c:pt>
                <c:pt idx="24">
                  <c:v>11.835697</c:v>
                </c:pt>
                <c:pt idx="25">
                  <c:v>11.144857333333333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AE-4D30-98E8-595498BE3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120736"/>
        <c:axId val="318120344"/>
      </c:scatterChart>
      <c:valAx>
        <c:axId val="31811956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s-ES" sz="1400"/>
                  <a:t>t (d)</a:t>
                </a:r>
              </a:p>
            </c:rich>
          </c:tx>
          <c:layout>
            <c:manualLayout>
              <c:xMode val="edge"/>
              <c:yMode val="edge"/>
              <c:x val="0.83698221469238565"/>
              <c:y val="0.92185167998467621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318119952"/>
        <c:crosses val="autoZero"/>
        <c:crossBetween val="midCat"/>
      </c:valAx>
      <c:valAx>
        <c:axId val="3181199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es-ES" sz="1400"/>
                  <a:t>Xv (cell/mL)</a:t>
                </a:r>
              </a:p>
            </c:rich>
          </c:tx>
          <c:layout>
            <c:manualLayout>
              <c:xMode val="edge"/>
              <c:yMode val="edge"/>
              <c:x val="1.8008186312669816E-2"/>
              <c:y val="9.0315279789460065E-2"/>
            </c:manualLayout>
          </c:layout>
          <c:overlay val="0"/>
        </c:title>
        <c:numFmt formatCode="0.00E+00" sourceLinked="1"/>
        <c:majorTickMark val="none"/>
        <c:minorTickMark val="none"/>
        <c:tickLblPos val="nextTo"/>
        <c:crossAx val="318119560"/>
        <c:crosses val="autoZero"/>
        <c:crossBetween val="midCat"/>
      </c:valAx>
      <c:valAx>
        <c:axId val="318120344"/>
        <c:scaling>
          <c:orientation val="minMax"/>
          <c:min val="0"/>
        </c:scaling>
        <c:delete val="0"/>
        <c:axPos val="r"/>
        <c:numFmt formatCode="0.0" sourceLinked="0"/>
        <c:majorTickMark val="out"/>
        <c:minorTickMark val="none"/>
        <c:tickLblPos val="nextTo"/>
        <c:crossAx val="318120736"/>
        <c:crosses val="max"/>
        <c:crossBetween val="midCat"/>
      </c:valAx>
      <c:valAx>
        <c:axId val="31812073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one"/>
        <c:crossAx val="318120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570934014930652"/>
          <c:y val="0.16859973606146902"/>
          <c:w val="0.19435250827762959"/>
          <c:h val="0.1503081719060581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ferment.!$BX$6:$BX$7</c:f>
              <c:strCache>
                <c:ptCount val="2"/>
                <c:pt idx="0">
                  <c:v>IgG </c:v>
                </c:pt>
                <c:pt idx="1">
                  <c:v>Producida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738057742782152"/>
                  <c:y val="-3.1013414989792942E-2"/>
                </c:manualLayout>
              </c:layout>
              <c:numFmt formatCode="General" sourceLinked="0"/>
            </c:trendlineLbl>
          </c:trendline>
          <c:xVal>
            <c:numRef>
              <c:f>ferment.!$E$12:$E$51</c:f>
              <c:numCache>
                <c:formatCode>0.00</c:formatCode>
                <c:ptCount val="40"/>
                <c:pt idx="0">
                  <c:v>3.8958333333357587</c:v>
                </c:pt>
                <c:pt idx="1">
                  <c:v>5.03125</c:v>
                </c:pt>
                <c:pt idx="2">
                  <c:v>6.21875</c:v>
                </c:pt>
                <c:pt idx="3">
                  <c:v>6.9652777777810115</c:v>
                </c:pt>
                <c:pt idx="4">
                  <c:v>7.9909722222218988</c:v>
                </c:pt>
                <c:pt idx="5">
                  <c:v>8.9166666666642413</c:v>
                </c:pt>
                <c:pt idx="6">
                  <c:v>9.9097222222189885</c:v>
                </c:pt>
                <c:pt idx="7">
                  <c:v>10.895833333335759</c:v>
                </c:pt>
                <c:pt idx="8">
                  <c:v>12.208333333335759</c:v>
                </c:pt>
                <c:pt idx="9">
                  <c:v>13.017361111109494</c:v>
                </c:pt>
                <c:pt idx="10">
                  <c:v>15.048611111109494</c:v>
                </c:pt>
                <c:pt idx="11">
                  <c:v>15.9375</c:v>
                </c:pt>
                <c:pt idx="12">
                  <c:v>16.899305555554747</c:v>
                </c:pt>
                <c:pt idx="13">
                  <c:v>19.0625</c:v>
                </c:pt>
                <c:pt idx="14">
                  <c:v>19.979166666664241</c:v>
                </c:pt>
                <c:pt idx="15">
                  <c:v>21.225694444445253</c:v>
                </c:pt>
                <c:pt idx="16">
                  <c:v>22.145833333335759</c:v>
                </c:pt>
                <c:pt idx="17">
                  <c:v>23.020833333335759</c:v>
                </c:pt>
                <c:pt idx="18">
                  <c:v>23.90625</c:v>
                </c:pt>
                <c:pt idx="19">
                  <c:v>24.930555555554747</c:v>
                </c:pt>
                <c:pt idx="20">
                  <c:v>26.243055555554747</c:v>
                </c:pt>
                <c:pt idx="21">
                  <c:v>27.03125</c:v>
                </c:pt>
                <c:pt idx="22">
                  <c:v>28.145833333335759</c:v>
                </c:pt>
                <c:pt idx="23">
                  <c:v>29.201388888890506</c:v>
                </c:pt>
                <c:pt idx="24">
                  <c:v>30.041666666664241</c:v>
                </c:pt>
                <c:pt idx="25">
                  <c:v>33.152777777781012</c:v>
                </c:pt>
                <c:pt idx="26">
                  <c:v>35.194444444445253</c:v>
                </c:pt>
                <c:pt idx="27">
                  <c:v>36.274305555554747</c:v>
                </c:pt>
                <c:pt idx="28">
                  <c:v>37.902777777781012</c:v>
                </c:pt>
                <c:pt idx="29">
                  <c:v>38.902777777781012</c:v>
                </c:pt>
                <c:pt idx="30">
                  <c:v>41.1875</c:v>
                </c:pt>
                <c:pt idx="31">
                  <c:v>43.263888888890506</c:v>
                </c:pt>
                <c:pt idx="32">
                  <c:v>43.951388888890506</c:v>
                </c:pt>
                <c:pt idx="33">
                  <c:v>44.902777777781012</c:v>
                </c:pt>
                <c:pt idx="34">
                  <c:v>47.173611111109494</c:v>
                </c:pt>
                <c:pt idx="35">
                  <c:v>47.944444444445253</c:v>
                </c:pt>
                <c:pt idx="36">
                  <c:v>48.989583333335759</c:v>
                </c:pt>
                <c:pt idx="37">
                  <c:v>51.225694444445253</c:v>
                </c:pt>
                <c:pt idx="38">
                  <c:v>54.138888888890506</c:v>
                </c:pt>
                <c:pt idx="39">
                  <c:v>55.180555555554747</c:v>
                </c:pt>
              </c:numCache>
            </c:numRef>
          </c:xVal>
          <c:yVal>
            <c:numRef>
              <c:f>ferment.!$BX$12:$BX$51</c:f>
              <c:numCache>
                <c:formatCode>0.00</c:formatCode>
                <c:ptCount val="40"/>
                <c:pt idx="0">
                  <c:v>1.8887524999999999E-2</c:v>
                </c:pt>
                <c:pt idx="1">
                  <c:v>3.3976025E-2</c:v>
                </c:pt>
                <c:pt idx="2">
                  <c:v>4.9039061099999996E-2</c:v>
                </c:pt>
                <c:pt idx="3">
                  <c:v>5.8332270999999998E-2</c:v>
                </c:pt>
                <c:pt idx="4">
                  <c:v>7.2300596950000004E-2</c:v>
                </c:pt>
                <c:pt idx="5">
                  <c:v>8.5808977575000001E-2</c:v>
                </c:pt>
                <c:pt idx="6">
                  <c:v>0.10089459082500001</c:v>
                </c:pt>
                <c:pt idx="7">
                  <c:v>0.115706479125</c:v>
                </c:pt>
                <c:pt idx="8">
                  <c:v>0.12884690275833333</c:v>
                </c:pt>
                <c:pt idx="9">
                  <c:v>0.13417050751666665</c:v>
                </c:pt>
                <c:pt idx="10">
                  <c:v>0.14311847539166664</c:v>
                </c:pt>
                <c:pt idx="11">
                  <c:v>0.14399888574999997</c:v>
                </c:pt>
                <c:pt idx="12">
                  <c:v>0.14491407118749997</c:v>
                </c:pt>
                <c:pt idx="13">
                  <c:v>0.1467786477708333</c:v>
                </c:pt>
                <c:pt idx="14">
                  <c:v>0.14812101439583331</c:v>
                </c:pt>
                <c:pt idx="15">
                  <c:v>0.1509511568958333</c:v>
                </c:pt>
                <c:pt idx="16">
                  <c:v>0.15325572202083329</c:v>
                </c:pt>
                <c:pt idx="17">
                  <c:v>0.15549439377083329</c:v>
                </c:pt>
                <c:pt idx="18">
                  <c:v>0.1578405804458333</c:v>
                </c:pt>
                <c:pt idx="19">
                  <c:v>0.16008742157083328</c:v>
                </c:pt>
                <c:pt idx="20">
                  <c:v>0.16726930003333329</c:v>
                </c:pt>
                <c:pt idx="21">
                  <c:v>0.17473798019166661</c:v>
                </c:pt>
                <c:pt idx="22">
                  <c:v>0.18483593384166663</c:v>
                </c:pt>
                <c:pt idx="23">
                  <c:v>0.19386282957499995</c:v>
                </c:pt>
                <c:pt idx="24">
                  <c:v>0.2008182411333333</c:v>
                </c:pt>
                <c:pt idx="25">
                  <c:v>0.22678257769999996</c:v>
                </c:pt>
                <c:pt idx="26">
                  <c:v>0.24980393881999999</c:v>
                </c:pt>
                <c:pt idx="27">
                  <c:v>0.26678216794666659</c:v>
                </c:pt>
                <c:pt idx="28">
                  <c:v>0.29919132266333331</c:v>
                </c:pt>
                <c:pt idx="29">
                  <c:v>0.32148375097999993</c:v>
                </c:pt>
                <c:pt idx="30">
                  <c:v>0.36632437391333317</c:v>
                </c:pt>
                <c:pt idx="31">
                  <c:v>0.39724448566333326</c:v>
                </c:pt>
                <c:pt idx="32">
                  <c:v>0.40642083399666662</c:v>
                </c:pt>
                <c:pt idx="33">
                  <c:v>0.41696887474666661</c:v>
                </c:pt>
                <c:pt idx="34">
                  <c:v>0.43824520007999995</c:v>
                </c:pt>
                <c:pt idx="35">
                  <c:v>0.4435349845799999</c:v>
                </c:pt>
                <c:pt idx="36">
                  <c:v>0.45036717011333327</c:v>
                </c:pt>
                <c:pt idx="37">
                  <c:v>0.46712600231333323</c:v>
                </c:pt>
                <c:pt idx="38">
                  <c:v>0.49278475539666655</c:v>
                </c:pt>
                <c:pt idx="39">
                  <c:v>0.50181772977999983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C-4363-A85C-0510D8B21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414072"/>
        <c:axId val="315414464"/>
      </c:scatterChart>
      <c:valAx>
        <c:axId val="315414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 (d)</a:t>
                </a:r>
              </a:p>
            </c:rich>
          </c:tx>
          <c:layout>
            <c:manualLayout>
              <c:xMode val="edge"/>
              <c:yMode val="edge"/>
              <c:x val="0.47501531058617674"/>
              <c:y val="0.89256926217556143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315414464"/>
        <c:crosses val="autoZero"/>
        <c:crossBetween val="midCat"/>
      </c:valAx>
      <c:valAx>
        <c:axId val="315414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Masa IgG (g)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315414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Acumulado de gramos en sobrenadante</a:t>
            </a:r>
          </a:p>
          <a:p>
            <a:pPr>
              <a:defRPr lang="es-ES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3228TA1204</a:t>
            </a:r>
          </a:p>
        </c:rich>
      </c:tx>
      <c:layout>
        <c:manualLayout>
          <c:xMode val="edge"/>
          <c:yMode val="edge"/>
          <c:x val="0.34525962605189819"/>
          <c:y val="1.50521122619008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03459307195672"/>
          <c:y val="0.16615409578439871"/>
          <c:w val="0.75517304954627684"/>
          <c:h val="0.73846264793061756"/>
        </c:manualLayout>
      </c:layout>
      <c:scatterChart>
        <c:scatterStyle val="lineMarker"/>
        <c:varyColors val="0"/>
        <c:ser>
          <c:idx val="4"/>
          <c:order val="0"/>
          <c:tx>
            <c:strRef>
              <c:f>productividad!$U$2</c:f>
              <c:strCache>
                <c:ptCount val="1"/>
                <c:pt idx="0">
                  <c:v>3228TA1303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6.7928993607086804E-2"/>
                  <c:y val="5.9479480742075624E-2"/>
                </c:manualLayout>
              </c:layout>
              <c:numFmt formatCode="General" sourceLinked="0"/>
            </c:trendlineLbl>
          </c:trendline>
          <c:xVal>
            <c:numRef>
              <c:f>productividad!$E$3:$E$5</c:f>
              <c:numCache>
                <c:formatCode>0.00</c:formatCode>
                <c:ptCount val="3"/>
                <c:pt idx="0">
                  <c:v>-728.97916666666424</c:v>
                </c:pt>
                <c:pt idx="1">
                  <c:v>-727.97916666666424</c:v>
                </c:pt>
                <c:pt idx="2">
                  <c:v>-726.97916666666424</c:v>
                </c:pt>
              </c:numCache>
            </c:numRef>
          </c:xVal>
          <c:yVal>
            <c:numRef>
              <c:f>productividad!$Y$3:$Y$5</c:f>
              <c:numCache>
                <c:formatCode>0.00;[Red]0.00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7-4D05-A3FE-94307E170E93}"/>
            </c:ext>
          </c:extLst>
        </c:ser>
        <c:ser>
          <c:idx val="0"/>
          <c:order val="1"/>
          <c:tx>
            <c:strRef>
              <c:f>productividad!$Z$1</c:f>
              <c:strCache>
                <c:ptCount val="1"/>
                <c:pt idx="0">
                  <c:v>3228TA1303 A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7.9672455163811121E-2"/>
                  <c:y val="-1.3333234931425053E-2"/>
                </c:manualLayout>
              </c:layout>
              <c:numFmt formatCode="General" sourceLinked="0"/>
            </c:trendlineLbl>
          </c:trendline>
          <c:xVal>
            <c:numRef>
              <c:f>productividad!$E$5:$E$9</c:f>
              <c:numCache>
                <c:formatCode>0.00</c:formatCode>
                <c:ptCount val="5"/>
                <c:pt idx="0">
                  <c:v>-726.97916666666424</c:v>
                </c:pt>
                <c:pt idx="1">
                  <c:v>-724.97916666666424</c:v>
                </c:pt>
                <c:pt idx="2">
                  <c:v>-724.97916666666424</c:v>
                </c:pt>
                <c:pt idx="3">
                  <c:v>-2242.7083333333358</c:v>
                </c:pt>
                <c:pt idx="4">
                  <c:v>-2239.4236111111095</c:v>
                </c:pt>
              </c:numCache>
            </c:numRef>
          </c:xVal>
          <c:yVal>
            <c:numRef>
              <c:f>productividad!$Y$5:$Y$9</c:f>
              <c:numCache>
                <c:formatCode>0.00;[Red]0.00</c:formatCode>
                <c:ptCount val="5"/>
                <c:pt idx="0">
                  <c:v>0</c:v>
                </c:pt>
                <c:pt idx="1">
                  <c:v>69.236059701492536</c:v>
                </c:pt>
                <c:pt idx="2">
                  <c:v>69.236059701492536</c:v>
                </c:pt>
                <c:pt idx="3">
                  <c:v>69.236059701492536</c:v>
                </c:pt>
                <c:pt idx="4">
                  <c:v>69.236059701492536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B7-4D05-A3FE-94307E170E93}"/>
            </c:ext>
          </c:extLst>
        </c:ser>
        <c:ser>
          <c:idx val="2"/>
          <c:order val="2"/>
          <c:tx>
            <c:strRef>
              <c:f>productividad!$AA$1</c:f>
              <c:strCache>
                <c:ptCount val="1"/>
                <c:pt idx="0">
                  <c:v>3228TA1303 B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productividad!$E$9:$E$13</c:f>
              <c:numCache>
                <c:formatCode>0.00</c:formatCode>
                <c:ptCount val="5"/>
                <c:pt idx="0">
                  <c:v>-2239.4236111111095</c:v>
                </c:pt>
                <c:pt idx="1">
                  <c:v>-2236.909722222219</c:v>
                </c:pt>
                <c:pt idx="2">
                  <c:v>-2235.0694444444453</c:v>
                </c:pt>
                <c:pt idx="3">
                  <c:v>-2234.090277777781</c:v>
                </c:pt>
                <c:pt idx="4">
                  <c:v>-2225.6770833333358</c:v>
                </c:pt>
              </c:numCache>
            </c:numRef>
          </c:xVal>
          <c:yVal>
            <c:numRef>
              <c:f>productividad!$Y$9:$Y$13</c:f>
              <c:numCache>
                <c:formatCode>0.00;[Red]0.00</c:formatCode>
                <c:ptCount val="5"/>
                <c:pt idx="0">
                  <c:v>69.236059701492536</c:v>
                </c:pt>
                <c:pt idx="1">
                  <c:v>69.236059701492536</c:v>
                </c:pt>
                <c:pt idx="2">
                  <c:v>69.236059701492536</c:v>
                </c:pt>
                <c:pt idx="3">
                  <c:v>69.236059701492536</c:v>
                </c:pt>
                <c:pt idx="4">
                  <c:v>69.236059701492536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B7-4D05-A3FE-94307E170E93}"/>
            </c:ext>
          </c:extLst>
        </c:ser>
        <c:ser>
          <c:idx val="1"/>
          <c:order val="3"/>
          <c:tx>
            <c:strRef>
              <c:f>productividad!$AB$1</c:f>
              <c:strCache>
                <c:ptCount val="1"/>
                <c:pt idx="0">
                  <c:v>3228TA1303 C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productividad!$E$13:$E$17</c:f>
              <c:numCache>
                <c:formatCode>0.00</c:formatCode>
                <c:ptCount val="5"/>
                <c:pt idx="0">
                  <c:v>-2225.6770833333358</c:v>
                </c:pt>
                <c:pt idx="1">
                  <c:v>-2224.9375</c:v>
                </c:pt>
                <c:pt idx="2">
                  <c:v>-2222.2708333333358</c:v>
                </c:pt>
                <c:pt idx="3">
                  <c:v>-2369.0416666666642</c:v>
                </c:pt>
                <c:pt idx="4">
                  <c:v>-2367.0416666666642</c:v>
                </c:pt>
              </c:numCache>
            </c:numRef>
          </c:xVal>
          <c:yVal>
            <c:numRef>
              <c:f>productividad!$Y$13:$Y$17</c:f>
              <c:numCache>
                <c:formatCode>0.00;[Red]0.00</c:formatCode>
                <c:ptCount val="5"/>
                <c:pt idx="0">
                  <c:v>69.236059701492536</c:v>
                </c:pt>
                <c:pt idx="1">
                  <c:v>69.236059701492536</c:v>
                </c:pt>
                <c:pt idx="2">
                  <c:v>69.236059701492536</c:v>
                </c:pt>
                <c:pt idx="3">
                  <c:v>69.236059701492536</c:v>
                </c:pt>
                <c:pt idx="4">
                  <c:v>69.236059701492536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B7-4D05-A3FE-94307E170E93}"/>
            </c:ext>
          </c:extLst>
        </c:ser>
        <c:ser>
          <c:idx val="3"/>
          <c:order val="4"/>
          <c:tx>
            <c:strRef>
              <c:f>productividad!$AC$1</c:f>
              <c:strCache>
                <c:ptCount val="1"/>
                <c:pt idx="0">
                  <c:v>3228TA1303 D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2.4531568877636127E-2"/>
                  <c:y val="-3.5503184867217805E-2"/>
                </c:manualLayout>
              </c:layout>
              <c:numFmt formatCode="General" sourceLinked="0"/>
            </c:trendlineLbl>
          </c:trendline>
          <c:xVal>
            <c:numRef>
              <c:f>productividad!$E$17:$E$20</c:f>
              <c:numCache>
                <c:formatCode>0.00</c:formatCode>
                <c:ptCount val="4"/>
                <c:pt idx="0">
                  <c:v>-2367.0416666666642</c:v>
                </c:pt>
                <c:pt idx="1">
                  <c:v>-2365.0416666666642</c:v>
                </c:pt>
                <c:pt idx="2">
                  <c:v>-2363.0416666666642</c:v>
                </c:pt>
                <c:pt idx="3">
                  <c:v>-2361.0416666666642</c:v>
                </c:pt>
              </c:numCache>
            </c:numRef>
          </c:xVal>
          <c:yVal>
            <c:numRef>
              <c:f>productividad!$Y$17:$Y$20</c:f>
              <c:numCache>
                <c:formatCode>0.00;[Red]0.00</c:formatCode>
                <c:ptCount val="4"/>
                <c:pt idx="0">
                  <c:v>69.236059701492536</c:v>
                </c:pt>
                <c:pt idx="1">
                  <c:v>69.236059701492536</c:v>
                </c:pt>
                <c:pt idx="2">
                  <c:v>69.236059701492536</c:v>
                </c:pt>
                <c:pt idx="3">
                  <c:v>69.236059701492536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B7-4D05-A3FE-94307E170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121520"/>
        <c:axId val="318121912"/>
      </c:scatterChart>
      <c:valAx>
        <c:axId val="318121520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lang="es-ES"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t(d)</a:t>
                </a:r>
              </a:p>
            </c:rich>
          </c:tx>
          <c:layout>
            <c:manualLayout>
              <c:xMode val="edge"/>
              <c:yMode val="edge"/>
              <c:x val="0.95344906628961035"/>
              <c:y val="0.9230783807625705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18121912"/>
        <c:crosses val="autoZero"/>
        <c:crossBetween val="midCat"/>
      </c:valAx>
      <c:valAx>
        <c:axId val="31812191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 rot="0" vert="horz"/>
              <a:lstStyle/>
              <a:p>
                <a:pPr algn="ctr">
                  <a:defRPr lang="es-ES"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IgG (g)</a:t>
                </a:r>
              </a:p>
            </c:rich>
          </c:tx>
          <c:layout>
            <c:manualLayout>
              <c:xMode val="edge"/>
              <c:yMode val="edge"/>
              <c:x val="3.1034522746512392E-2"/>
              <c:y val="3.2598643011947155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;[Red]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181215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landscape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Acumulado de gramos purificados</a:t>
            </a:r>
          </a:p>
          <a:p>
            <a:pPr>
              <a:defRPr/>
            </a:pPr>
            <a:r>
              <a:rPr lang="es-ES"/>
              <a:t>3228TA1204</a:t>
            </a:r>
          </a:p>
        </c:rich>
      </c:tx>
      <c:layout>
        <c:manualLayout>
          <c:xMode val="edge"/>
          <c:yMode val="edge"/>
          <c:x val="0.34525962605189819"/>
          <c:y val="1.50521122619008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03459307195672"/>
          <c:y val="0.16615409578439871"/>
          <c:w val="0.75517304954627684"/>
          <c:h val="0.73846264793061756"/>
        </c:manualLayout>
      </c:layout>
      <c:scatterChart>
        <c:scatterStyle val="lineMarker"/>
        <c:varyColors val="0"/>
        <c:ser>
          <c:idx val="4"/>
          <c:order val="0"/>
          <c:tx>
            <c:strRef>
              <c:f>productividad!$U$2</c:f>
              <c:strCache>
                <c:ptCount val="1"/>
                <c:pt idx="0">
                  <c:v>3228TA1303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3.237704430502137E-2"/>
                  <c:y val="3.5397539720346344E-2"/>
                </c:manualLayout>
              </c:layout>
              <c:numFmt formatCode="General" sourceLinked="0"/>
            </c:trendlineLbl>
          </c:trendline>
          <c:xVal>
            <c:numRef>
              <c:f>productividad!$E$3:$E$5</c:f>
              <c:numCache>
                <c:formatCode>0.00</c:formatCode>
                <c:ptCount val="3"/>
                <c:pt idx="0">
                  <c:v>-728.97916666666424</c:v>
                </c:pt>
                <c:pt idx="1">
                  <c:v>-727.97916666666424</c:v>
                </c:pt>
                <c:pt idx="2">
                  <c:v>-726.97916666666424</c:v>
                </c:pt>
              </c:numCache>
            </c:numRef>
          </c:xVal>
          <c:yVal>
            <c:numRef>
              <c:f>productividad!$U$3:$U$5</c:f>
              <c:numCache>
                <c:formatCode>#,##0.0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6-4DD0-8D44-97A8C48A3885}"/>
            </c:ext>
          </c:extLst>
        </c:ser>
        <c:ser>
          <c:idx val="0"/>
          <c:order val="1"/>
          <c:tx>
            <c:strRef>
              <c:f>productividad!$Z$1</c:f>
              <c:strCache>
                <c:ptCount val="1"/>
                <c:pt idx="0">
                  <c:v>3228TA1303 A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6.9502290208111966E-2"/>
                  <c:y val="7.5000532406758774E-2"/>
                </c:manualLayout>
              </c:layout>
              <c:numFmt formatCode="General" sourceLinked="0"/>
            </c:trendlineLbl>
          </c:trendline>
          <c:xVal>
            <c:numRef>
              <c:f>productividad!$E$5:$E$7</c:f>
              <c:numCache>
                <c:formatCode>0.00</c:formatCode>
                <c:ptCount val="3"/>
                <c:pt idx="0">
                  <c:v>-726.97916666666424</c:v>
                </c:pt>
                <c:pt idx="1">
                  <c:v>-724.97916666666424</c:v>
                </c:pt>
                <c:pt idx="2">
                  <c:v>-724.97916666666424</c:v>
                </c:pt>
              </c:numCache>
            </c:numRef>
          </c:xVal>
          <c:yVal>
            <c:numRef>
              <c:f>productividad!$U$5:$U$7</c:f>
              <c:numCache>
                <c:formatCode>#,##0.0</c:formatCode>
                <c:ptCount val="3"/>
                <c:pt idx="0">
                  <c:v>0</c:v>
                </c:pt>
                <c:pt idx="1">
                  <c:v>164.29139999999998</c:v>
                </c:pt>
                <c:pt idx="2">
                  <c:v>164.29139999999998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66-4DD0-8D44-97A8C48A3885}"/>
            </c:ext>
          </c:extLst>
        </c:ser>
        <c:ser>
          <c:idx val="2"/>
          <c:order val="2"/>
          <c:tx>
            <c:strRef>
              <c:f>productividad!$AA$1</c:f>
              <c:strCache>
                <c:ptCount val="1"/>
                <c:pt idx="0">
                  <c:v>3228TA1303 B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7.0466122431590478E-2"/>
                  <c:y val="0.14158253705831256"/>
                </c:manualLayout>
              </c:layout>
              <c:numFmt formatCode="General" sourceLinked="0"/>
            </c:trendlineLbl>
          </c:trendline>
          <c:xVal>
            <c:numRef>
              <c:f>productividad!$E$7:$E$13</c:f>
              <c:numCache>
                <c:formatCode>0.00</c:formatCode>
                <c:ptCount val="7"/>
                <c:pt idx="0">
                  <c:v>-724.97916666666424</c:v>
                </c:pt>
                <c:pt idx="1">
                  <c:v>-2242.7083333333358</c:v>
                </c:pt>
                <c:pt idx="2">
                  <c:v>-2239.4236111111095</c:v>
                </c:pt>
                <c:pt idx="3">
                  <c:v>-2236.909722222219</c:v>
                </c:pt>
                <c:pt idx="4">
                  <c:v>-2235.0694444444453</c:v>
                </c:pt>
                <c:pt idx="5">
                  <c:v>-2234.090277777781</c:v>
                </c:pt>
                <c:pt idx="6">
                  <c:v>-2225.6770833333358</c:v>
                </c:pt>
              </c:numCache>
            </c:numRef>
          </c:xVal>
          <c:yVal>
            <c:numRef>
              <c:f>productividad!$U$7:$U$15</c:f>
              <c:numCache>
                <c:formatCode>#,##0.0</c:formatCode>
                <c:ptCount val="9"/>
                <c:pt idx="0">
                  <c:v>164.29139999999998</c:v>
                </c:pt>
                <c:pt idx="1">
                  <c:v>164.29139999999998</c:v>
                </c:pt>
                <c:pt idx="2">
                  <c:v>164.29139999999998</c:v>
                </c:pt>
                <c:pt idx="3">
                  <c:v>164.29139999999998</c:v>
                </c:pt>
                <c:pt idx="4">
                  <c:v>164.29139999999998</c:v>
                </c:pt>
                <c:pt idx="5">
                  <c:v>164.29139999999998</c:v>
                </c:pt>
                <c:pt idx="6">
                  <c:v>164.29139999999998</c:v>
                </c:pt>
                <c:pt idx="7">
                  <c:v>164.29139999999998</c:v>
                </c:pt>
                <c:pt idx="8">
                  <c:v>164.29139999999998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66-4DD0-8D44-97A8C48A3885}"/>
            </c:ext>
          </c:extLst>
        </c:ser>
        <c:ser>
          <c:idx val="1"/>
          <c:order val="3"/>
          <c:tx>
            <c:strRef>
              <c:f>productividad!$AB$1</c:f>
              <c:strCache>
                <c:ptCount val="1"/>
                <c:pt idx="0">
                  <c:v>3228TA1303 C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1.8647414735843856E-2"/>
                  <c:y val="5.5999631440125383E-4"/>
                </c:manualLayout>
              </c:layout>
              <c:numFmt formatCode="General" sourceLinked="0"/>
            </c:trendlineLbl>
          </c:trendline>
          <c:xVal>
            <c:numRef>
              <c:f>productividad!$E$13:$E$17</c:f>
              <c:numCache>
                <c:formatCode>0.00</c:formatCode>
                <c:ptCount val="5"/>
                <c:pt idx="0">
                  <c:v>-2225.6770833333358</c:v>
                </c:pt>
                <c:pt idx="1">
                  <c:v>-2224.9375</c:v>
                </c:pt>
                <c:pt idx="2">
                  <c:v>-2222.2708333333358</c:v>
                </c:pt>
                <c:pt idx="3">
                  <c:v>-2369.0416666666642</c:v>
                </c:pt>
                <c:pt idx="4">
                  <c:v>-2367.0416666666642</c:v>
                </c:pt>
              </c:numCache>
            </c:numRef>
          </c:xVal>
          <c:yVal>
            <c:numRef>
              <c:f>productividad!$U$13:$U$18</c:f>
              <c:numCache>
                <c:formatCode>#,##0.0</c:formatCode>
                <c:ptCount val="6"/>
                <c:pt idx="0">
                  <c:v>164.29139999999998</c:v>
                </c:pt>
                <c:pt idx="1">
                  <c:v>164.29139999999998</c:v>
                </c:pt>
                <c:pt idx="2">
                  <c:v>164.29139999999998</c:v>
                </c:pt>
                <c:pt idx="3">
                  <c:v>164.29139999999998</c:v>
                </c:pt>
                <c:pt idx="4">
                  <c:v>164.29139999999998</c:v>
                </c:pt>
                <c:pt idx="5">
                  <c:v>164.29139999999998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66-4DD0-8D44-97A8C48A3885}"/>
            </c:ext>
          </c:extLst>
        </c:ser>
        <c:ser>
          <c:idx val="3"/>
          <c:order val="4"/>
          <c:tx>
            <c:strRef>
              <c:f>productividad!$AC$1</c:f>
              <c:strCache>
                <c:ptCount val="1"/>
                <c:pt idx="0">
                  <c:v>3228TA1303 D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2.718441203329593E-2"/>
                  <c:y val="-5.8225080052188793E-2"/>
                </c:manualLayout>
              </c:layout>
              <c:numFmt formatCode="General" sourceLinked="0"/>
            </c:trendlineLbl>
          </c:trendline>
          <c:xVal>
            <c:numRef>
              <c:f>productividad!$E$17:$E$20</c:f>
              <c:numCache>
                <c:formatCode>0.00</c:formatCode>
                <c:ptCount val="4"/>
                <c:pt idx="0">
                  <c:v>-2367.0416666666642</c:v>
                </c:pt>
                <c:pt idx="1">
                  <c:v>-2365.0416666666642</c:v>
                </c:pt>
                <c:pt idx="2">
                  <c:v>-2363.0416666666642</c:v>
                </c:pt>
                <c:pt idx="3">
                  <c:v>-2361.0416666666642</c:v>
                </c:pt>
              </c:numCache>
            </c:numRef>
          </c:xVal>
          <c:yVal>
            <c:numRef>
              <c:f>productividad!$U$17:$U$20</c:f>
              <c:numCache>
                <c:formatCode>#,##0.0</c:formatCode>
                <c:ptCount val="4"/>
                <c:pt idx="0">
                  <c:v>164.29139999999998</c:v>
                </c:pt>
                <c:pt idx="1">
                  <c:v>164.29139999999998</c:v>
                </c:pt>
                <c:pt idx="2">
                  <c:v>164.29139999999998</c:v>
                </c:pt>
                <c:pt idx="3">
                  <c:v>164.29139999999998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66-4DD0-8D44-97A8C48A3885}"/>
            </c:ext>
          </c:extLst>
        </c:ser>
        <c:ser>
          <c:idx val="5"/>
          <c:order val="5"/>
          <c:tx>
            <c:strRef>
              <c:f>productividad!$AD$1</c:f>
              <c:strCache>
                <c:ptCount val="1"/>
                <c:pt idx="0">
                  <c:v>3228TA1303 E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8.3083361251454838E-2"/>
                  <c:y val="-4.7493372936923829E-2"/>
                </c:manualLayout>
              </c:layout>
              <c:numFmt formatCode="General" sourceLinked="0"/>
            </c:trendlineLbl>
          </c:trendline>
          <c:xVal>
            <c:numRef>
              <c:f>productividad!$E$20:$E$23</c:f>
              <c:numCache>
                <c:formatCode>0.00</c:formatCode>
                <c:ptCount val="4"/>
                <c:pt idx="0">
                  <c:v>-2361.0416666666642</c:v>
                </c:pt>
                <c:pt idx="1">
                  <c:v>-2359.0416666666642</c:v>
                </c:pt>
                <c:pt idx="2">
                  <c:v>-2357.0416666666642</c:v>
                </c:pt>
                <c:pt idx="3">
                  <c:v>-2355.0416666666642</c:v>
                </c:pt>
              </c:numCache>
            </c:numRef>
          </c:xVal>
          <c:yVal>
            <c:numRef>
              <c:f>productividad!$U$20:$U$23</c:f>
              <c:numCache>
                <c:formatCode>#,##0.0</c:formatCode>
                <c:ptCount val="4"/>
                <c:pt idx="0">
                  <c:v>164.29139999999998</c:v>
                </c:pt>
                <c:pt idx="1">
                  <c:v>164.29139999999998</c:v>
                </c:pt>
                <c:pt idx="2">
                  <c:v>164.29139999999998</c:v>
                </c:pt>
                <c:pt idx="3">
                  <c:v>164.29139999999998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66-4DD0-8D44-97A8C48A3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122696"/>
        <c:axId val="318123088"/>
      </c:scatterChart>
      <c:scatterChart>
        <c:scatterStyle val="lineMarker"/>
        <c:varyColors val="0"/>
        <c:ser>
          <c:idx val="6"/>
          <c:order val="6"/>
          <c:tx>
            <c:strRef>
              <c:f>ferment.!$J$6</c:f>
              <c:strCache>
                <c:ptCount val="1"/>
                <c:pt idx="0">
                  <c:v>Xv(Promedio) </c:v>
                </c:pt>
              </c:strCache>
            </c:strRef>
          </c:tx>
          <c:marker>
            <c:symbol val="diamond"/>
            <c:size val="7"/>
          </c:marker>
          <c:xVal>
            <c:numRef>
              <c:f>ferment.!$E$8:$E$51</c:f>
              <c:numCache>
                <c:formatCode>0.00</c:formatCode>
                <c:ptCount val="44"/>
                <c:pt idx="0">
                  <c:v>2.0833333335758653E-2</c:v>
                </c:pt>
                <c:pt idx="1">
                  <c:v>0.98958333333575865</c:v>
                </c:pt>
                <c:pt idx="2">
                  <c:v>1.9513888888905058</c:v>
                </c:pt>
                <c:pt idx="3">
                  <c:v>2.8993055555547471</c:v>
                </c:pt>
                <c:pt idx="4">
                  <c:v>3.8958333333357587</c:v>
                </c:pt>
                <c:pt idx="5">
                  <c:v>5.03125</c:v>
                </c:pt>
                <c:pt idx="6">
                  <c:v>6.21875</c:v>
                </c:pt>
                <c:pt idx="7">
                  <c:v>6.9652777777810115</c:v>
                </c:pt>
                <c:pt idx="8">
                  <c:v>7.9909722222218988</c:v>
                </c:pt>
                <c:pt idx="9">
                  <c:v>8.9166666666642413</c:v>
                </c:pt>
                <c:pt idx="10">
                  <c:v>9.9097222222189885</c:v>
                </c:pt>
                <c:pt idx="11">
                  <c:v>10.895833333335759</c:v>
                </c:pt>
                <c:pt idx="12">
                  <c:v>12.208333333335759</c:v>
                </c:pt>
                <c:pt idx="13">
                  <c:v>13.017361111109494</c:v>
                </c:pt>
                <c:pt idx="14">
                  <c:v>15.048611111109494</c:v>
                </c:pt>
                <c:pt idx="15">
                  <c:v>15.9375</c:v>
                </c:pt>
                <c:pt idx="16">
                  <c:v>16.899305555554747</c:v>
                </c:pt>
                <c:pt idx="17">
                  <c:v>19.0625</c:v>
                </c:pt>
                <c:pt idx="18">
                  <c:v>19.979166666664241</c:v>
                </c:pt>
                <c:pt idx="19">
                  <c:v>21.225694444445253</c:v>
                </c:pt>
                <c:pt idx="20">
                  <c:v>22.145833333335759</c:v>
                </c:pt>
                <c:pt idx="21">
                  <c:v>23.020833333335759</c:v>
                </c:pt>
                <c:pt idx="22">
                  <c:v>23.90625</c:v>
                </c:pt>
                <c:pt idx="23">
                  <c:v>24.930555555554747</c:v>
                </c:pt>
                <c:pt idx="24">
                  <c:v>26.243055555554747</c:v>
                </c:pt>
                <c:pt idx="25">
                  <c:v>27.03125</c:v>
                </c:pt>
                <c:pt idx="26">
                  <c:v>28.145833333335759</c:v>
                </c:pt>
                <c:pt idx="27">
                  <c:v>29.201388888890506</c:v>
                </c:pt>
                <c:pt idx="28">
                  <c:v>30.041666666664241</c:v>
                </c:pt>
                <c:pt idx="29">
                  <c:v>33.152777777781012</c:v>
                </c:pt>
                <c:pt idx="30">
                  <c:v>35.194444444445253</c:v>
                </c:pt>
                <c:pt idx="31">
                  <c:v>36.274305555554747</c:v>
                </c:pt>
                <c:pt idx="32">
                  <c:v>37.902777777781012</c:v>
                </c:pt>
                <c:pt idx="33">
                  <c:v>38.902777777781012</c:v>
                </c:pt>
                <c:pt idx="34">
                  <c:v>41.1875</c:v>
                </c:pt>
                <c:pt idx="35">
                  <c:v>43.263888888890506</c:v>
                </c:pt>
                <c:pt idx="36">
                  <c:v>43.951388888890506</c:v>
                </c:pt>
                <c:pt idx="37">
                  <c:v>44.902777777781012</c:v>
                </c:pt>
                <c:pt idx="38">
                  <c:v>47.173611111109494</c:v>
                </c:pt>
                <c:pt idx="39">
                  <c:v>47.944444444445253</c:v>
                </c:pt>
                <c:pt idx="40">
                  <c:v>48.989583333335759</c:v>
                </c:pt>
                <c:pt idx="41">
                  <c:v>51.225694444445253</c:v>
                </c:pt>
                <c:pt idx="42">
                  <c:v>54.138888888890506</c:v>
                </c:pt>
                <c:pt idx="43">
                  <c:v>55.180555555554747</c:v>
                </c:pt>
              </c:numCache>
            </c:numRef>
          </c:xVal>
          <c:yVal>
            <c:numRef>
              <c:f>ferment.!$M$8:$M$51</c:f>
              <c:numCache>
                <c:formatCode>0.00E+00</c:formatCode>
                <c:ptCount val="44"/>
                <c:pt idx="0">
                  <c:v>462500</c:v>
                </c:pt>
                <c:pt idx="1">
                  <c:v>850000</c:v>
                </c:pt>
                <c:pt idx="2">
                  <c:v>1753333.3333333333</c:v>
                </c:pt>
                <c:pt idx="3">
                  <c:v>2991333.333333333</c:v>
                </c:pt>
                <c:pt idx="4">
                  <c:v>3270000</c:v>
                </c:pt>
                <c:pt idx="5">
                  <c:v>2815000</c:v>
                </c:pt>
                <c:pt idx="6">
                  <c:v>2655000</c:v>
                </c:pt>
                <c:pt idx="7">
                  <c:v>2197500</c:v>
                </c:pt>
                <c:pt idx="8">
                  <c:v>2813333.3333333335</c:v>
                </c:pt>
                <c:pt idx="9">
                  <c:v>2898333.3333333335</c:v>
                </c:pt>
                <c:pt idx="10">
                  <c:v>2880000</c:v>
                </c:pt>
                <c:pt idx="11">
                  <c:v>3210000</c:v>
                </c:pt>
                <c:pt idx="12">
                  <c:v>2870000</c:v>
                </c:pt>
                <c:pt idx="13">
                  <c:v>2380000</c:v>
                </c:pt>
                <c:pt idx="14">
                  <c:v>3353333.3333333335</c:v>
                </c:pt>
                <c:pt idx="15">
                  <c:v>3673333.3333333335</c:v>
                </c:pt>
                <c:pt idx="16">
                  <c:v>4250000</c:v>
                </c:pt>
                <c:pt idx="17">
                  <c:v>5190000</c:v>
                </c:pt>
                <c:pt idx="18">
                  <c:v>6375000</c:v>
                </c:pt>
                <c:pt idx="19">
                  <c:v>7245000</c:v>
                </c:pt>
                <c:pt idx="20">
                  <c:v>6360000</c:v>
                </c:pt>
                <c:pt idx="21">
                  <c:v>6900000</c:v>
                </c:pt>
                <c:pt idx="22">
                  <c:v>6850000</c:v>
                </c:pt>
                <c:pt idx="23">
                  <c:v>7995000</c:v>
                </c:pt>
                <c:pt idx="24">
                  <c:v>7470000</c:v>
                </c:pt>
                <c:pt idx="25">
                  <c:v>8280000</c:v>
                </c:pt>
                <c:pt idx="26">
                  <c:v>8830000</c:v>
                </c:pt>
                <c:pt idx="27">
                  <c:v>8760000</c:v>
                </c:pt>
                <c:pt idx="28">
                  <c:v>8805000</c:v>
                </c:pt>
                <c:pt idx="29">
                  <c:v>8800000</c:v>
                </c:pt>
                <c:pt idx="30">
                  <c:v>9705000</c:v>
                </c:pt>
                <c:pt idx="31">
                  <c:v>9375000</c:v>
                </c:pt>
                <c:pt idx="32">
                  <c:v>7485000</c:v>
                </c:pt>
                <c:pt idx="33">
                  <c:v>6900000</c:v>
                </c:pt>
                <c:pt idx="34">
                  <c:v>5480000</c:v>
                </c:pt>
                <c:pt idx="35">
                  <c:v>5595000</c:v>
                </c:pt>
                <c:pt idx="36">
                  <c:v>5313333.333333333</c:v>
                </c:pt>
                <c:pt idx="37">
                  <c:v>5400000</c:v>
                </c:pt>
                <c:pt idx="38">
                  <c:v>5326666.666666667</c:v>
                </c:pt>
                <c:pt idx="39">
                  <c:v>5613333.333333333</c:v>
                </c:pt>
                <c:pt idx="40">
                  <c:v>5190000</c:v>
                </c:pt>
                <c:pt idx="41">
                  <c:v>5170000</c:v>
                </c:pt>
                <c:pt idx="42">
                  <c:v>6110000</c:v>
                </c:pt>
                <c:pt idx="43">
                  <c:v>5593333.333333333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66-4DD0-8D44-97A8C48A3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28112"/>
        <c:axId val="390127720"/>
      </c:scatterChart>
      <c:valAx>
        <c:axId val="318122696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t(d)</a:t>
                </a:r>
              </a:p>
            </c:rich>
          </c:tx>
          <c:layout>
            <c:manualLayout>
              <c:xMode val="edge"/>
              <c:yMode val="edge"/>
              <c:x val="0.95344906628961035"/>
              <c:y val="0.9230783807625705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ES"/>
          </a:p>
        </c:txPr>
        <c:crossAx val="318123088"/>
        <c:crosses val="autoZero"/>
        <c:crossBetween val="midCat"/>
      </c:valAx>
      <c:valAx>
        <c:axId val="31812308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s-ES"/>
                  <a:t>IgG (g)</a:t>
                </a:r>
              </a:p>
            </c:rich>
          </c:tx>
          <c:layout>
            <c:manualLayout>
              <c:xMode val="edge"/>
              <c:yMode val="edge"/>
              <c:x val="3.1034522746512392E-2"/>
              <c:y val="3.2598643011947155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ES"/>
          </a:p>
        </c:txPr>
        <c:crossAx val="318122696"/>
        <c:crosses val="autoZero"/>
        <c:crossBetween val="midCat"/>
      </c:valAx>
      <c:valAx>
        <c:axId val="390127720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390128112"/>
        <c:crosses val="max"/>
        <c:crossBetween val="midCat"/>
      </c:valAx>
      <c:valAx>
        <c:axId val="39012811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one"/>
        <c:crossAx val="3901277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 algn="ctr">
        <a:defRPr lang="es-ES" sz="800" b="0" i="0" u="none" strike="noStrike" kern="1200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landscape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Acumulado de gramos purificados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28640738089558"/>
          <c:y val="0.10277580071174379"/>
          <c:w val="0.71160921090397322"/>
          <c:h val="0.78689920699414373"/>
        </c:manualLayout>
      </c:layout>
      <c:scatterChart>
        <c:scatterStyle val="lineMarker"/>
        <c:varyColors val="0"/>
        <c:ser>
          <c:idx val="5"/>
          <c:order val="0"/>
          <c:tx>
            <c:strRef>
              <c:f>productividad!$AY$4</c:f>
              <c:strCache>
                <c:ptCount val="1"/>
                <c:pt idx="0">
                  <c:v>acumulado de gramos purificados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productividad!$B$3:$B$34</c:f>
              <c:numCache>
                <c:formatCode>d\-mmm\-yy</c:formatCode>
                <c:ptCount val="32"/>
                <c:pt idx="0">
                  <c:v>42892</c:v>
                </c:pt>
                <c:pt idx="1">
                  <c:v>42893</c:v>
                </c:pt>
                <c:pt idx="2">
                  <c:v>42894</c:v>
                </c:pt>
                <c:pt idx="3">
                  <c:v>42896</c:v>
                </c:pt>
                <c:pt idx="4">
                  <c:v>42896</c:v>
                </c:pt>
                <c:pt idx="5">
                  <c:v>41378</c:v>
                </c:pt>
                <c:pt idx="6">
                  <c:v>41382</c:v>
                </c:pt>
                <c:pt idx="7">
                  <c:v>41384</c:v>
                </c:pt>
                <c:pt idx="8">
                  <c:v>41386</c:v>
                </c:pt>
                <c:pt idx="9">
                  <c:v>41387</c:v>
                </c:pt>
                <c:pt idx="10">
                  <c:v>41395</c:v>
                </c:pt>
                <c:pt idx="11">
                  <c:v>41396</c:v>
                </c:pt>
                <c:pt idx="12">
                  <c:v>41399</c:v>
                </c:pt>
                <c:pt idx="13">
                  <c:v>41252</c:v>
                </c:pt>
                <c:pt idx="14">
                  <c:v>41254</c:v>
                </c:pt>
                <c:pt idx="15">
                  <c:v>41256</c:v>
                </c:pt>
                <c:pt idx="16">
                  <c:v>41258</c:v>
                </c:pt>
                <c:pt idx="17">
                  <c:v>41260</c:v>
                </c:pt>
                <c:pt idx="18">
                  <c:v>41262</c:v>
                </c:pt>
                <c:pt idx="19">
                  <c:v>41264</c:v>
                </c:pt>
                <c:pt idx="20">
                  <c:v>41266</c:v>
                </c:pt>
                <c:pt idx="21">
                  <c:v>41268</c:v>
                </c:pt>
                <c:pt idx="22">
                  <c:v>41270</c:v>
                </c:pt>
                <c:pt idx="23">
                  <c:v>41272</c:v>
                </c:pt>
                <c:pt idx="24">
                  <c:v>41274</c:v>
                </c:pt>
                <c:pt idx="25">
                  <c:v>41276</c:v>
                </c:pt>
                <c:pt idx="26">
                  <c:v>41278</c:v>
                </c:pt>
                <c:pt idx="27">
                  <c:v>41280</c:v>
                </c:pt>
                <c:pt idx="28">
                  <c:v>41282</c:v>
                </c:pt>
                <c:pt idx="29">
                  <c:v>41284</c:v>
                </c:pt>
                <c:pt idx="30">
                  <c:v>41286</c:v>
                </c:pt>
                <c:pt idx="31">
                  <c:v>41288</c:v>
                </c:pt>
              </c:numCache>
            </c:numRef>
          </c:xVal>
          <c:yVal>
            <c:numRef>
              <c:f>productividad!$U$3:$U$34</c:f>
              <c:numCache>
                <c:formatCode>#,##0.0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164.29139999999998</c:v>
                </c:pt>
                <c:pt idx="4">
                  <c:v>164.29139999999998</c:v>
                </c:pt>
                <c:pt idx="5">
                  <c:v>164.29139999999998</c:v>
                </c:pt>
                <c:pt idx="6">
                  <c:v>164.29139999999998</c:v>
                </c:pt>
                <c:pt idx="7">
                  <c:v>164.29139999999998</c:v>
                </c:pt>
                <c:pt idx="8">
                  <c:v>164.29139999999998</c:v>
                </c:pt>
                <c:pt idx="9">
                  <c:v>164.29139999999998</c:v>
                </c:pt>
                <c:pt idx="10">
                  <c:v>164.29139999999998</c:v>
                </c:pt>
                <c:pt idx="11">
                  <c:v>164.29139999999998</c:v>
                </c:pt>
                <c:pt idx="12">
                  <c:v>164.29139999999998</c:v>
                </c:pt>
                <c:pt idx="13">
                  <c:v>164.29139999999998</c:v>
                </c:pt>
                <c:pt idx="14">
                  <c:v>164.29139999999998</c:v>
                </c:pt>
                <c:pt idx="15">
                  <c:v>164.29139999999998</c:v>
                </c:pt>
                <c:pt idx="16">
                  <c:v>164.29139999999998</c:v>
                </c:pt>
                <c:pt idx="17">
                  <c:v>164.29139999999998</c:v>
                </c:pt>
                <c:pt idx="18">
                  <c:v>164.29139999999998</c:v>
                </c:pt>
                <c:pt idx="19">
                  <c:v>164.29139999999998</c:v>
                </c:pt>
                <c:pt idx="20">
                  <c:v>164.29139999999998</c:v>
                </c:pt>
                <c:pt idx="21">
                  <c:v>164.29139999999998</c:v>
                </c:pt>
                <c:pt idx="22">
                  <c:v>164.29139999999998</c:v>
                </c:pt>
                <c:pt idx="23">
                  <c:v>164.29139999999998</c:v>
                </c:pt>
                <c:pt idx="24">
                  <c:v>164.29139999999998</c:v>
                </c:pt>
                <c:pt idx="25">
                  <c:v>164.29139999999998</c:v>
                </c:pt>
                <c:pt idx="26">
                  <c:v>164.29139999999998</c:v>
                </c:pt>
                <c:pt idx="27">
                  <c:v>164.29139999999998</c:v>
                </c:pt>
                <c:pt idx="28">
                  <c:v>164.29139999999998</c:v>
                </c:pt>
                <c:pt idx="29">
                  <c:v>164.29139999999998</c:v>
                </c:pt>
                <c:pt idx="30">
                  <c:v>164.29139999999998</c:v>
                </c:pt>
                <c:pt idx="31">
                  <c:v>164.29139999999998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C-4FBA-8668-3A8087F791CF}"/>
            </c:ext>
          </c:extLst>
        </c:ser>
        <c:ser>
          <c:idx val="0"/>
          <c:order val="1"/>
          <c:tx>
            <c:strRef>
              <c:f>productividad!$F$106</c:f>
              <c:strCache>
                <c:ptCount val="1"/>
                <c:pt idx="0">
                  <c:v>acumulado de IFA</c:v>
                </c:pt>
              </c:strCache>
            </c:strRef>
          </c:tx>
          <c:xVal>
            <c:numRef>
              <c:f>productividad!$B$108:$B$117</c:f>
              <c:numCache>
                <c:formatCode>d\-mmm\-yy</c:formatCode>
                <c:ptCount val="10"/>
                <c:pt idx="0">
                  <c:v>41237</c:v>
                </c:pt>
                <c:pt idx="1">
                  <c:v>41243</c:v>
                </c:pt>
                <c:pt idx="2">
                  <c:v>41249</c:v>
                </c:pt>
                <c:pt idx="3">
                  <c:v>41255</c:v>
                </c:pt>
                <c:pt idx="4">
                  <c:v>41261</c:v>
                </c:pt>
                <c:pt idx="5">
                  <c:v>41267</c:v>
                </c:pt>
                <c:pt idx="6">
                  <c:v>41273</c:v>
                </c:pt>
                <c:pt idx="7">
                  <c:v>41279</c:v>
                </c:pt>
                <c:pt idx="8">
                  <c:v>41285</c:v>
                </c:pt>
                <c:pt idx="9">
                  <c:v>41291</c:v>
                </c:pt>
              </c:numCache>
            </c:numRef>
          </c:xVal>
          <c:yVal>
            <c:numRef>
              <c:f>productividad!$F$108:$F$117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CC-4FBA-8668-3A8087F79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28896"/>
        <c:axId val="390129288"/>
      </c:scatterChart>
      <c:valAx>
        <c:axId val="3901288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lang="es-ES"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t(d)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[$-C0A]d\-mmm\-yy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90129288"/>
        <c:crosses val="autoZero"/>
        <c:crossBetween val="midCat"/>
      </c:valAx>
      <c:valAx>
        <c:axId val="39012928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es-ES"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IgG (g)</a:t>
                </a:r>
              </a:p>
            </c:rich>
          </c:tx>
          <c:layout>
            <c:manualLayout>
              <c:xMode val="edge"/>
              <c:yMode val="edge"/>
              <c:x val="5.9727711901624958E-2"/>
              <c:y val="3.7584778770981042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E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901288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844853879431086"/>
          <c:y val="0.19330691848572309"/>
          <c:w val="0.26130113182492509"/>
          <c:h val="0.18534839017008997"/>
        </c:manualLayout>
      </c:layout>
      <c:overlay val="0"/>
      <c:txPr>
        <a:bodyPr/>
        <a:lstStyle/>
        <a:p>
          <a:pPr>
            <a:defRPr sz="1200"/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landscape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5601076483401"/>
          <c:y val="6.5639189664065012E-2"/>
          <c:w val="0.77048471288960729"/>
          <c:h val="0.75842894603535049"/>
        </c:manualLayout>
      </c:layout>
      <c:scatterChart>
        <c:scatterStyle val="lineMarker"/>
        <c:varyColors val="0"/>
        <c:ser>
          <c:idx val="2"/>
          <c:order val="0"/>
          <c:tx>
            <c:strRef>
              <c:f>ferment.!$J$6</c:f>
              <c:strCache>
                <c:ptCount val="1"/>
                <c:pt idx="0">
                  <c:v>Xv(Promedio) </c:v>
                </c:pt>
              </c:strCache>
            </c:strRef>
          </c:tx>
          <c:spPr>
            <a:ln w="38100">
              <a:solidFill>
                <a:srgbClr val="0070C0"/>
              </a:solidFill>
            </a:ln>
          </c:spPr>
          <c:marker>
            <c:symbol val="diamond"/>
            <c:size val="9"/>
            <c:spPr>
              <a:solidFill>
                <a:schemeClr val="accent1"/>
              </a:solidFill>
              <a:ln>
                <a:solidFill>
                  <a:srgbClr val="0070C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ferment.!$K$8:$K$71</c:f>
                <c:numCache>
                  <c:formatCode>General</c:formatCode>
                  <c:ptCount val="64"/>
                  <c:pt idx="0">
                    <c:v>17677.66952966369</c:v>
                  </c:pt>
                  <c:pt idx="1">
                    <c:v>96436.507609929555</c:v>
                  </c:pt>
                  <c:pt idx="2">
                    <c:v>180092.568789868</c:v>
                  </c:pt>
                  <c:pt idx="3">
                    <c:v>159478.31618540914</c:v>
                  </c:pt>
                  <c:pt idx="4">
                    <c:v>296984.84809834993</c:v>
                  </c:pt>
                  <c:pt idx="5">
                    <c:v>63639.610306789276</c:v>
                  </c:pt>
                  <c:pt idx="6">
                    <c:v>35355.33905932738</c:v>
                  </c:pt>
                  <c:pt idx="7">
                    <c:v>222738.63607376246</c:v>
                  </c:pt>
                  <c:pt idx="8">
                    <c:v>533041.58687041851</c:v>
                  </c:pt>
                  <c:pt idx="9">
                    <c:v>414014.89506216318</c:v>
                  </c:pt>
                  <c:pt idx="10">
                    <c:v>383014.36004411115</c:v>
                  </c:pt>
                  <c:pt idx="11">
                    <c:v>21213.203435596424</c:v>
                  </c:pt>
                  <c:pt idx="12">
                    <c:v>150249.7920131672</c:v>
                  </c:pt>
                  <c:pt idx="13">
                    <c:v>424264.0687119285</c:v>
                  </c:pt>
                  <c:pt idx="14">
                    <c:v>391066.91669499909</c:v>
                  </c:pt>
                  <c:pt idx="15">
                    <c:v>360185.13757973595</c:v>
                  </c:pt>
                  <c:pt idx="16">
                    <c:v>14142.13562373095</c:v>
                  </c:pt>
                  <c:pt idx="17">
                    <c:v>750000</c:v>
                  </c:pt>
                  <c:pt idx="18">
                    <c:v>21213.203435596424</c:v>
                  </c:pt>
                  <c:pt idx="19">
                    <c:v>275771.64466275356</c:v>
                  </c:pt>
                  <c:pt idx="20">
                    <c:v>593969.69619669986</c:v>
                  </c:pt>
                  <c:pt idx="21">
                    <c:v>254558.44122715711</c:v>
                  </c:pt>
                  <c:pt idx="22">
                    <c:v>645058.13691480551</c:v>
                  </c:pt>
                  <c:pt idx="23">
                    <c:v>106066.01717798212</c:v>
                  </c:pt>
                  <c:pt idx="24">
                    <c:v>169705.62748477139</c:v>
                  </c:pt>
                  <c:pt idx="25">
                    <c:v>1304568.894309534</c:v>
                  </c:pt>
                  <c:pt idx="26">
                    <c:v>283548.93757515651</c:v>
                  </c:pt>
                  <c:pt idx="27">
                    <c:v>1110000</c:v>
                  </c:pt>
                  <c:pt idx="28">
                    <c:v>275771.64466275356</c:v>
                  </c:pt>
                  <c:pt idx="29">
                    <c:v>969484.39904930908</c:v>
                  </c:pt>
                  <c:pt idx="30">
                    <c:v>360624.45840513922</c:v>
                  </c:pt>
                  <c:pt idx="31">
                    <c:v>63639.610306789276</c:v>
                  </c:pt>
                  <c:pt idx="32">
                    <c:v>487903.67901871778</c:v>
                  </c:pt>
                  <c:pt idx="33">
                    <c:v>42426.406871192848</c:v>
                  </c:pt>
                  <c:pt idx="34">
                    <c:v>197989.8987322333</c:v>
                  </c:pt>
                  <c:pt idx="35">
                    <c:v>63639.610306789276</c:v>
                  </c:pt>
                  <c:pt idx="36">
                    <c:v>659191.42389243504</c:v>
                  </c:pt>
                  <c:pt idx="37">
                    <c:v>572363.52085016738</c:v>
                  </c:pt>
                  <c:pt idx="38">
                    <c:v>594754.85145842505</c:v>
                  </c:pt>
                  <c:pt idx="39">
                    <c:v>784941.6114166301</c:v>
                  </c:pt>
                  <c:pt idx="40">
                    <c:v>381837.66184073564</c:v>
                  </c:pt>
                  <c:pt idx="41">
                    <c:v>42426.406871192848</c:v>
                  </c:pt>
                  <c:pt idx="42">
                    <c:v>353553.39059327374</c:v>
                  </c:pt>
                  <c:pt idx="43">
                    <c:v>445570.79497351858</c:v>
                  </c:pt>
                  <c:pt idx="44">
                    <c:v>530785.58131634782</c:v>
                  </c:pt>
                  <c:pt idx="45">
                    <c:v>385373.19574666838</c:v>
                  </c:pt>
                  <c:pt idx="46">
                    <c:v>0</c:v>
                  </c:pt>
                  <c:pt idx="47">
                    <c:v>278747.19729532709</c:v>
                  </c:pt>
                  <c:pt idx="48">
                    <c:v>84852.813742385697</c:v>
                  </c:pt>
                  <c:pt idx="49">
                    <c:v>551543.28932550712</c:v>
                  </c:pt>
                  <c:pt idx="50">
                    <c:v>763675.32368147129</c:v>
                  </c:pt>
                  <c:pt idx="51">
                    <c:v>480312.39834091312</c:v>
                  </c:pt>
                  <c:pt idx="52">
                    <c:v>543077.64945110132</c:v>
                  </c:pt>
                  <c:pt idx="53">
                    <c:v>344867.1241700683</c:v>
                  </c:pt>
                  <c:pt idx="54">
                    <c:v>169705.62748477139</c:v>
                  </c:pt>
                  <c:pt idx="55">
                    <c:v>457966.51988254918</c:v>
                  </c:pt>
                  <c:pt idx="56">
                    <c:v>310698.13860616117</c:v>
                  </c:pt>
                  <c:pt idx="57">
                    <c:v>520000</c:v>
                  </c:pt>
                  <c:pt idx="58">
                    <c:v>169705.62748477139</c:v>
                  </c:pt>
                  <c:pt idx="59">
                    <c:v>28284.2712474619</c:v>
                  </c:pt>
                  <c:pt idx="60">
                    <c:v>56568.5424949238</c:v>
                  </c:pt>
                  <c:pt idx="61">
                    <c:v>861935.80580767919</c:v>
                  </c:pt>
                  <c:pt idx="62">
                    <c:v>1405323.2131197946</c:v>
                  </c:pt>
                  <c:pt idx="63">
                    <c:v>937229.96110879851</c:v>
                  </c:pt>
                </c:numCache>
              </c:numRef>
            </c:plus>
            <c:minus>
              <c:numRef>
                <c:f>ferment.!$K$8:$K$71</c:f>
                <c:numCache>
                  <c:formatCode>General</c:formatCode>
                  <c:ptCount val="64"/>
                  <c:pt idx="0">
                    <c:v>17677.66952966369</c:v>
                  </c:pt>
                  <c:pt idx="1">
                    <c:v>96436.507609929555</c:v>
                  </c:pt>
                  <c:pt idx="2">
                    <c:v>180092.568789868</c:v>
                  </c:pt>
                  <c:pt idx="3">
                    <c:v>159478.31618540914</c:v>
                  </c:pt>
                  <c:pt idx="4">
                    <c:v>296984.84809834993</c:v>
                  </c:pt>
                  <c:pt idx="5">
                    <c:v>63639.610306789276</c:v>
                  </c:pt>
                  <c:pt idx="6">
                    <c:v>35355.33905932738</c:v>
                  </c:pt>
                  <c:pt idx="7">
                    <c:v>222738.63607376246</c:v>
                  </c:pt>
                  <c:pt idx="8">
                    <c:v>533041.58687041851</c:v>
                  </c:pt>
                  <c:pt idx="9">
                    <c:v>414014.89506216318</c:v>
                  </c:pt>
                  <c:pt idx="10">
                    <c:v>383014.36004411115</c:v>
                  </c:pt>
                  <c:pt idx="11">
                    <c:v>21213.203435596424</c:v>
                  </c:pt>
                  <c:pt idx="12">
                    <c:v>150249.7920131672</c:v>
                  </c:pt>
                  <c:pt idx="13">
                    <c:v>424264.0687119285</c:v>
                  </c:pt>
                  <c:pt idx="14">
                    <c:v>391066.91669499909</c:v>
                  </c:pt>
                  <c:pt idx="15">
                    <c:v>360185.13757973595</c:v>
                  </c:pt>
                  <c:pt idx="16">
                    <c:v>14142.13562373095</c:v>
                  </c:pt>
                  <c:pt idx="17">
                    <c:v>750000</c:v>
                  </c:pt>
                  <c:pt idx="18">
                    <c:v>21213.203435596424</c:v>
                  </c:pt>
                  <c:pt idx="19">
                    <c:v>275771.64466275356</c:v>
                  </c:pt>
                  <c:pt idx="20">
                    <c:v>593969.69619669986</c:v>
                  </c:pt>
                  <c:pt idx="21">
                    <c:v>254558.44122715711</c:v>
                  </c:pt>
                  <c:pt idx="22">
                    <c:v>645058.13691480551</c:v>
                  </c:pt>
                  <c:pt idx="23">
                    <c:v>106066.01717798212</c:v>
                  </c:pt>
                  <c:pt idx="24">
                    <c:v>169705.62748477139</c:v>
                  </c:pt>
                  <c:pt idx="25">
                    <c:v>1304568.894309534</c:v>
                  </c:pt>
                  <c:pt idx="26">
                    <c:v>283548.93757515651</c:v>
                  </c:pt>
                  <c:pt idx="27">
                    <c:v>1110000</c:v>
                  </c:pt>
                  <c:pt idx="28">
                    <c:v>275771.64466275356</c:v>
                  </c:pt>
                  <c:pt idx="29">
                    <c:v>969484.39904930908</c:v>
                  </c:pt>
                  <c:pt idx="30">
                    <c:v>360624.45840513922</c:v>
                  </c:pt>
                  <c:pt idx="31">
                    <c:v>63639.610306789276</c:v>
                  </c:pt>
                  <c:pt idx="32">
                    <c:v>487903.67901871778</c:v>
                  </c:pt>
                  <c:pt idx="33">
                    <c:v>42426.406871192848</c:v>
                  </c:pt>
                  <c:pt idx="34">
                    <c:v>197989.8987322333</c:v>
                  </c:pt>
                  <c:pt idx="35">
                    <c:v>63639.610306789276</c:v>
                  </c:pt>
                  <c:pt idx="36">
                    <c:v>659191.42389243504</c:v>
                  </c:pt>
                  <c:pt idx="37">
                    <c:v>572363.52085016738</c:v>
                  </c:pt>
                  <c:pt idx="38">
                    <c:v>594754.85145842505</c:v>
                  </c:pt>
                  <c:pt idx="39">
                    <c:v>784941.6114166301</c:v>
                  </c:pt>
                  <c:pt idx="40">
                    <c:v>381837.66184073564</c:v>
                  </c:pt>
                  <c:pt idx="41">
                    <c:v>42426.406871192848</c:v>
                  </c:pt>
                  <c:pt idx="42">
                    <c:v>353553.39059327374</c:v>
                  </c:pt>
                  <c:pt idx="43">
                    <c:v>445570.79497351858</c:v>
                  </c:pt>
                  <c:pt idx="44">
                    <c:v>530785.58131634782</c:v>
                  </c:pt>
                  <c:pt idx="45">
                    <c:v>385373.19574666838</c:v>
                  </c:pt>
                  <c:pt idx="46">
                    <c:v>0</c:v>
                  </c:pt>
                  <c:pt idx="47">
                    <c:v>278747.19729532709</c:v>
                  </c:pt>
                  <c:pt idx="48">
                    <c:v>84852.813742385697</c:v>
                  </c:pt>
                  <c:pt idx="49">
                    <c:v>551543.28932550712</c:v>
                  </c:pt>
                  <c:pt idx="50">
                    <c:v>763675.32368147129</c:v>
                  </c:pt>
                  <c:pt idx="51">
                    <c:v>480312.39834091312</c:v>
                  </c:pt>
                  <c:pt idx="52">
                    <c:v>543077.64945110132</c:v>
                  </c:pt>
                  <c:pt idx="53">
                    <c:v>344867.1241700683</c:v>
                  </c:pt>
                  <c:pt idx="54">
                    <c:v>169705.62748477139</c:v>
                  </c:pt>
                  <c:pt idx="55">
                    <c:v>457966.51988254918</c:v>
                  </c:pt>
                  <c:pt idx="56">
                    <c:v>310698.13860616117</c:v>
                  </c:pt>
                  <c:pt idx="57">
                    <c:v>520000</c:v>
                  </c:pt>
                  <c:pt idx="58">
                    <c:v>169705.62748477139</c:v>
                  </c:pt>
                  <c:pt idx="59">
                    <c:v>28284.2712474619</c:v>
                  </c:pt>
                  <c:pt idx="60">
                    <c:v>56568.5424949238</c:v>
                  </c:pt>
                  <c:pt idx="61">
                    <c:v>861935.80580767919</c:v>
                  </c:pt>
                  <c:pt idx="62">
                    <c:v>1405323.2131197946</c:v>
                  </c:pt>
                  <c:pt idx="63">
                    <c:v>937229.96110879851</c:v>
                  </c:pt>
                </c:numCache>
              </c:numRef>
            </c:minus>
          </c:errBars>
          <c:xVal>
            <c:numRef>
              <c:f>ferment.!$E$8:$E$71</c:f>
              <c:numCache>
                <c:formatCode>0.00</c:formatCode>
                <c:ptCount val="64"/>
                <c:pt idx="0">
                  <c:v>2.0833333335758653E-2</c:v>
                </c:pt>
                <c:pt idx="1">
                  <c:v>0.98958333333575865</c:v>
                </c:pt>
                <c:pt idx="2">
                  <c:v>1.9513888888905058</c:v>
                </c:pt>
                <c:pt idx="3">
                  <c:v>2.8993055555547471</c:v>
                </c:pt>
                <c:pt idx="4">
                  <c:v>3.8958333333357587</c:v>
                </c:pt>
                <c:pt idx="5">
                  <c:v>5.03125</c:v>
                </c:pt>
                <c:pt idx="6">
                  <c:v>6.21875</c:v>
                </c:pt>
                <c:pt idx="7">
                  <c:v>6.9652777777810115</c:v>
                </c:pt>
                <c:pt idx="8">
                  <c:v>7.9909722222218988</c:v>
                </c:pt>
                <c:pt idx="9">
                  <c:v>8.9166666666642413</c:v>
                </c:pt>
                <c:pt idx="10">
                  <c:v>9.9097222222189885</c:v>
                </c:pt>
                <c:pt idx="11">
                  <c:v>10.895833333335759</c:v>
                </c:pt>
                <c:pt idx="12">
                  <c:v>12.208333333335759</c:v>
                </c:pt>
                <c:pt idx="13">
                  <c:v>13.017361111109494</c:v>
                </c:pt>
                <c:pt idx="14">
                  <c:v>15.048611111109494</c:v>
                </c:pt>
                <c:pt idx="15">
                  <c:v>15.9375</c:v>
                </c:pt>
                <c:pt idx="16">
                  <c:v>16.899305555554747</c:v>
                </c:pt>
                <c:pt idx="17">
                  <c:v>19.0625</c:v>
                </c:pt>
                <c:pt idx="18">
                  <c:v>19.979166666664241</c:v>
                </c:pt>
                <c:pt idx="19">
                  <c:v>21.225694444445253</c:v>
                </c:pt>
                <c:pt idx="20">
                  <c:v>22.145833333335759</c:v>
                </c:pt>
                <c:pt idx="21">
                  <c:v>23.020833333335759</c:v>
                </c:pt>
                <c:pt idx="22">
                  <c:v>23.90625</c:v>
                </c:pt>
                <c:pt idx="23">
                  <c:v>24.930555555554747</c:v>
                </c:pt>
                <c:pt idx="24">
                  <c:v>26.243055555554747</c:v>
                </c:pt>
                <c:pt idx="25">
                  <c:v>27.03125</c:v>
                </c:pt>
                <c:pt idx="26">
                  <c:v>28.145833333335759</c:v>
                </c:pt>
                <c:pt idx="27">
                  <c:v>29.201388888890506</c:v>
                </c:pt>
                <c:pt idx="28">
                  <c:v>30.041666666664241</c:v>
                </c:pt>
                <c:pt idx="29">
                  <c:v>33.152777777781012</c:v>
                </c:pt>
                <c:pt idx="30">
                  <c:v>35.194444444445253</c:v>
                </c:pt>
                <c:pt idx="31">
                  <c:v>36.274305555554747</c:v>
                </c:pt>
                <c:pt idx="32">
                  <c:v>37.902777777781012</c:v>
                </c:pt>
                <c:pt idx="33">
                  <c:v>38.902777777781012</c:v>
                </c:pt>
                <c:pt idx="34">
                  <c:v>41.1875</c:v>
                </c:pt>
                <c:pt idx="35">
                  <c:v>43.263888888890506</c:v>
                </c:pt>
                <c:pt idx="36">
                  <c:v>43.951388888890506</c:v>
                </c:pt>
                <c:pt idx="37">
                  <c:v>44.902777777781012</c:v>
                </c:pt>
                <c:pt idx="38">
                  <c:v>47.173611111109494</c:v>
                </c:pt>
                <c:pt idx="39">
                  <c:v>47.944444444445253</c:v>
                </c:pt>
                <c:pt idx="40">
                  <c:v>48.989583333335759</c:v>
                </c:pt>
                <c:pt idx="41">
                  <c:v>51.225694444445253</c:v>
                </c:pt>
                <c:pt idx="42">
                  <c:v>54.138888888890506</c:v>
                </c:pt>
                <c:pt idx="43">
                  <c:v>55.180555555554747</c:v>
                </c:pt>
                <c:pt idx="44">
                  <c:v>56.048611111109494</c:v>
                </c:pt>
                <c:pt idx="45">
                  <c:v>57.979166666664241</c:v>
                </c:pt>
                <c:pt idx="46">
                  <c:v>59.003472222218988</c:v>
                </c:pt>
                <c:pt idx="47">
                  <c:v>61.961805555554747</c:v>
                </c:pt>
                <c:pt idx="48">
                  <c:v>62.975694444445253</c:v>
                </c:pt>
                <c:pt idx="49">
                  <c:v>64.034722222218988</c:v>
                </c:pt>
                <c:pt idx="50">
                  <c:v>65.034722222218988</c:v>
                </c:pt>
                <c:pt idx="51">
                  <c:v>67.96875</c:v>
                </c:pt>
                <c:pt idx="52">
                  <c:v>69.048611111109494</c:v>
                </c:pt>
                <c:pt idx="53">
                  <c:v>70.1875</c:v>
                </c:pt>
                <c:pt idx="54">
                  <c:v>71.21875</c:v>
                </c:pt>
                <c:pt idx="55">
                  <c:v>71.951388888890506</c:v>
                </c:pt>
                <c:pt idx="56">
                  <c:v>72.899305555554747</c:v>
                </c:pt>
                <c:pt idx="57">
                  <c:v>77.201388888890506</c:v>
                </c:pt>
                <c:pt idx="58">
                  <c:v>78.201388888890506</c:v>
                </c:pt>
                <c:pt idx="59">
                  <c:v>78.972222222218988</c:v>
                </c:pt>
                <c:pt idx="60">
                  <c:v>81.979166666664241</c:v>
                </c:pt>
                <c:pt idx="61">
                  <c:v>83.197916666664241</c:v>
                </c:pt>
                <c:pt idx="62">
                  <c:v>84.215277777781012</c:v>
                </c:pt>
                <c:pt idx="63">
                  <c:v>85.267361111109494</c:v>
                </c:pt>
              </c:numCache>
            </c:numRef>
          </c:xVal>
          <c:yVal>
            <c:numRef>
              <c:f>ferment.!$M$8:$M$71</c:f>
              <c:numCache>
                <c:formatCode>0.00E+00</c:formatCode>
                <c:ptCount val="64"/>
                <c:pt idx="0">
                  <c:v>462500</c:v>
                </c:pt>
                <c:pt idx="1">
                  <c:v>850000</c:v>
                </c:pt>
                <c:pt idx="2">
                  <c:v>1753333.3333333333</c:v>
                </c:pt>
                <c:pt idx="3">
                  <c:v>2991333.333333333</c:v>
                </c:pt>
                <c:pt idx="4">
                  <c:v>3270000</c:v>
                </c:pt>
                <c:pt idx="5">
                  <c:v>2815000</c:v>
                </c:pt>
                <c:pt idx="6">
                  <c:v>2655000</c:v>
                </c:pt>
                <c:pt idx="7">
                  <c:v>2197500</c:v>
                </c:pt>
                <c:pt idx="8">
                  <c:v>2813333.3333333335</c:v>
                </c:pt>
                <c:pt idx="9">
                  <c:v>2898333.3333333335</c:v>
                </c:pt>
                <c:pt idx="10">
                  <c:v>2880000</c:v>
                </c:pt>
                <c:pt idx="11">
                  <c:v>3210000</c:v>
                </c:pt>
                <c:pt idx="12">
                  <c:v>2870000</c:v>
                </c:pt>
                <c:pt idx="13">
                  <c:v>2380000</c:v>
                </c:pt>
                <c:pt idx="14">
                  <c:v>3353333.3333333335</c:v>
                </c:pt>
                <c:pt idx="15">
                  <c:v>3673333.3333333335</c:v>
                </c:pt>
                <c:pt idx="16">
                  <c:v>4250000</c:v>
                </c:pt>
                <c:pt idx="17">
                  <c:v>5190000</c:v>
                </c:pt>
                <c:pt idx="18">
                  <c:v>6375000</c:v>
                </c:pt>
                <c:pt idx="19">
                  <c:v>7245000</c:v>
                </c:pt>
                <c:pt idx="20">
                  <c:v>6360000</c:v>
                </c:pt>
                <c:pt idx="21">
                  <c:v>6900000</c:v>
                </c:pt>
                <c:pt idx="22">
                  <c:v>6850000</c:v>
                </c:pt>
                <c:pt idx="23">
                  <c:v>7995000</c:v>
                </c:pt>
                <c:pt idx="24">
                  <c:v>7470000</c:v>
                </c:pt>
                <c:pt idx="25">
                  <c:v>8280000</c:v>
                </c:pt>
                <c:pt idx="26">
                  <c:v>8830000</c:v>
                </c:pt>
                <c:pt idx="27">
                  <c:v>8760000</c:v>
                </c:pt>
                <c:pt idx="28">
                  <c:v>8805000</c:v>
                </c:pt>
                <c:pt idx="29">
                  <c:v>8800000</c:v>
                </c:pt>
                <c:pt idx="30">
                  <c:v>9705000</c:v>
                </c:pt>
                <c:pt idx="31">
                  <c:v>9375000</c:v>
                </c:pt>
                <c:pt idx="32">
                  <c:v>7485000</c:v>
                </c:pt>
                <c:pt idx="33">
                  <c:v>6900000</c:v>
                </c:pt>
                <c:pt idx="34">
                  <c:v>5480000</c:v>
                </c:pt>
                <c:pt idx="35">
                  <c:v>5595000</c:v>
                </c:pt>
                <c:pt idx="36">
                  <c:v>5313333.333333333</c:v>
                </c:pt>
                <c:pt idx="37">
                  <c:v>5400000</c:v>
                </c:pt>
                <c:pt idx="38">
                  <c:v>5326666.666666667</c:v>
                </c:pt>
                <c:pt idx="39">
                  <c:v>5613333.333333333</c:v>
                </c:pt>
                <c:pt idx="40">
                  <c:v>5190000</c:v>
                </c:pt>
                <c:pt idx="41">
                  <c:v>5170000</c:v>
                </c:pt>
                <c:pt idx="42">
                  <c:v>6110000</c:v>
                </c:pt>
                <c:pt idx="43">
                  <c:v>5593333.333333333</c:v>
                </c:pt>
                <c:pt idx="44">
                  <c:v>6086666.666666667</c:v>
                </c:pt>
                <c:pt idx="45">
                  <c:v>6752500</c:v>
                </c:pt>
                <c:pt idx="46">
                  <c:v>7325000</c:v>
                </c:pt>
                <c:pt idx="47">
                  <c:v>7940000</c:v>
                </c:pt>
                <c:pt idx="48">
                  <c:v>9210000</c:v>
                </c:pt>
                <c:pt idx="49">
                  <c:v>7470000</c:v>
                </c:pt>
                <c:pt idx="50">
                  <c:v>9330000</c:v>
                </c:pt>
                <c:pt idx="51">
                  <c:v>10780000</c:v>
                </c:pt>
                <c:pt idx="52">
                  <c:v>10493333.333333334</c:v>
                </c:pt>
                <c:pt idx="53">
                  <c:v>8626666.666666666</c:v>
                </c:pt>
                <c:pt idx="54">
                  <c:v>9600000</c:v>
                </c:pt>
                <c:pt idx="55">
                  <c:v>9753333.333333334</c:v>
                </c:pt>
                <c:pt idx="56">
                  <c:v>9173333.333333334</c:v>
                </c:pt>
                <c:pt idx="57">
                  <c:v>10760000</c:v>
                </c:pt>
                <c:pt idx="58">
                  <c:v>10720000</c:v>
                </c:pt>
                <c:pt idx="59">
                  <c:v>10740000</c:v>
                </c:pt>
                <c:pt idx="60">
                  <c:v>10440000</c:v>
                </c:pt>
                <c:pt idx="61">
                  <c:v>10306666.666666666</c:v>
                </c:pt>
                <c:pt idx="62">
                  <c:v>9773333.333333334</c:v>
                </c:pt>
                <c:pt idx="63">
                  <c:v>11000000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8-41DF-959D-A01542E3E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30072"/>
        <c:axId val="390130464"/>
      </c:scatterChart>
      <c:scatterChart>
        <c:scatterStyle val="lineMarker"/>
        <c:varyColors val="0"/>
        <c:ser>
          <c:idx val="1"/>
          <c:order val="1"/>
          <c:tx>
            <c:strRef>
              <c:f>ferment.!$X$6</c:f>
              <c:strCache>
                <c:ptCount val="1"/>
                <c:pt idx="0">
                  <c:v>Viab</c:v>
                </c:pt>
              </c:strCache>
            </c:strRef>
          </c:tx>
          <c:marker>
            <c:symbol val="none"/>
          </c:marker>
          <c:xVal>
            <c:numRef>
              <c:f>ferment.!$E$8:$E$71</c:f>
              <c:numCache>
                <c:formatCode>0.00</c:formatCode>
                <c:ptCount val="64"/>
                <c:pt idx="0">
                  <c:v>2.0833333335758653E-2</c:v>
                </c:pt>
                <c:pt idx="1">
                  <c:v>0.98958333333575865</c:v>
                </c:pt>
                <c:pt idx="2">
                  <c:v>1.9513888888905058</c:v>
                </c:pt>
                <c:pt idx="3">
                  <c:v>2.8993055555547471</c:v>
                </c:pt>
                <c:pt idx="4">
                  <c:v>3.8958333333357587</c:v>
                </c:pt>
                <c:pt idx="5">
                  <c:v>5.03125</c:v>
                </c:pt>
                <c:pt idx="6">
                  <c:v>6.21875</c:v>
                </c:pt>
                <c:pt idx="7">
                  <c:v>6.9652777777810115</c:v>
                </c:pt>
                <c:pt idx="8">
                  <c:v>7.9909722222218988</c:v>
                </c:pt>
                <c:pt idx="9">
                  <c:v>8.9166666666642413</c:v>
                </c:pt>
                <c:pt idx="10">
                  <c:v>9.9097222222189885</c:v>
                </c:pt>
                <c:pt idx="11">
                  <c:v>10.895833333335759</c:v>
                </c:pt>
                <c:pt idx="12">
                  <c:v>12.208333333335759</c:v>
                </c:pt>
                <c:pt idx="13">
                  <c:v>13.017361111109494</c:v>
                </c:pt>
                <c:pt idx="14">
                  <c:v>15.048611111109494</c:v>
                </c:pt>
                <c:pt idx="15">
                  <c:v>15.9375</c:v>
                </c:pt>
                <c:pt idx="16">
                  <c:v>16.899305555554747</c:v>
                </c:pt>
                <c:pt idx="17">
                  <c:v>19.0625</c:v>
                </c:pt>
                <c:pt idx="18">
                  <c:v>19.979166666664241</c:v>
                </c:pt>
                <c:pt idx="19">
                  <c:v>21.225694444445253</c:v>
                </c:pt>
                <c:pt idx="20">
                  <c:v>22.145833333335759</c:v>
                </c:pt>
                <c:pt idx="21">
                  <c:v>23.020833333335759</c:v>
                </c:pt>
                <c:pt idx="22">
                  <c:v>23.90625</c:v>
                </c:pt>
                <c:pt idx="23">
                  <c:v>24.930555555554747</c:v>
                </c:pt>
                <c:pt idx="24">
                  <c:v>26.243055555554747</c:v>
                </c:pt>
                <c:pt idx="25">
                  <c:v>27.03125</c:v>
                </c:pt>
                <c:pt idx="26">
                  <c:v>28.145833333335759</c:v>
                </c:pt>
                <c:pt idx="27">
                  <c:v>29.201388888890506</c:v>
                </c:pt>
                <c:pt idx="28">
                  <c:v>30.041666666664241</c:v>
                </c:pt>
                <c:pt idx="29">
                  <c:v>33.152777777781012</c:v>
                </c:pt>
                <c:pt idx="30">
                  <c:v>35.194444444445253</c:v>
                </c:pt>
                <c:pt idx="31">
                  <c:v>36.274305555554747</c:v>
                </c:pt>
                <c:pt idx="32">
                  <c:v>37.902777777781012</c:v>
                </c:pt>
                <c:pt idx="33">
                  <c:v>38.902777777781012</c:v>
                </c:pt>
                <c:pt idx="34">
                  <c:v>41.1875</c:v>
                </c:pt>
                <c:pt idx="35">
                  <c:v>43.263888888890506</c:v>
                </c:pt>
                <c:pt idx="36">
                  <c:v>43.951388888890506</c:v>
                </c:pt>
                <c:pt idx="37">
                  <c:v>44.902777777781012</c:v>
                </c:pt>
                <c:pt idx="38">
                  <c:v>47.173611111109494</c:v>
                </c:pt>
                <c:pt idx="39">
                  <c:v>47.944444444445253</c:v>
                </c:pt>
                <c:pt idx="40">
                  <c:v>48.989583333335759</c:v>
                </c:pt>
                <c:pt idx="41">
                  <c:v>51.225694444445253</c:v>
                </c:pt>
                <c:pt idx="42">
                  <c:v>54.138888888890506</c:v>
                </c:pt>
                <c:pt idx="43">
                  <c:v>55.180555555554747</c:v>
                </c:pt>
                <c:pt idx="44">
                  <c:v>56.048611111109494</c:v>
                </c:pt>
                <c:pt idx="45">
                  <c:v>57.979166666664241</c:v>
                </c:pt>
                <c:pt idx="46">
                  <c:v>59.003472222218988</c:v>
                </c:pt>
                <c:pt idx="47">
                  <c:v>61.961805555554747</c:v>
                </c:pt>
                <c:pt idx="48">
                  <c:v>62.975694444445253</c:v>
                </c:pt>
                <c:pt idx="49">
                  <c:v>64.034722222218988</c:v>
                </c:pt>
                <c:pt idx="50">
                  <c:v>65.034722222218988</c:v>
                </c:pt>
                <c:pt idx="51">
                  <c:v>67.96875</c:v>
                </c:pt>
                <c:pt idx="52">
                  <c:v>69.048611111109494</c:v>
                </c:pt>
                <c:pt idx="53">
                  <c:v>70.1875</c:v>
                </c:pt>
                <c:pt idx="54">
                  <c:v>71.21875</c:v>
                </c:pt>
                <c:pt idx="55">
                  <c:v>71.951388888890506</c:v>
                </c:pt>
                <c:pt idx="56">
                  <c:v>72.899305555554747</c:v>
                </c:pt>
                <c:pt idx="57">
                  <c:v>77.201388888890506</c:v>
                </c:pt>
                <c:pt idx="58">
                  <c:v>78.201388888890506</c:v>
                </c:pt>
                <c:pt idx="59">
                  <c:v>78.972222222218988</c:v>
                </c:pt>
                <c:pt idx="60">
                  <c:v>81.979166666664241</c:v>
                </c:pt>
                <c:pt idx="61">
                  <c:v>83.197916666664241</c:v>
                </c:pt>
                <c:pt idx="62">
                  <c:v>84.215277777781012</c:v>
                </c:pt>
                <c:pt idx="63">
                  <c:v>85.267361111109494</c:v>
                </c:pt>
              </c:numCache>
            </c:numRef>
          </c:xVal>
          <c:yVal>
            <c:numRef>
              <c:f>ferment.!$X$8:$X$71</c:f>
              <c:numCache>
                <c:formatCode>0.00%</c:formatCode>
                <c:ptCount val="64"/>
                <c:pt idx="0">
                  <c:v>0.95854922279792742</c:v>
                </c:pt>
                <c:pt idx="1">
                  <c:v>0.96226415094339623</c:v>
                </c:pt>
                <c:pt idx="2">
                  <c:v>0.97389372338455837</c:v>
                </c:pt>
                <c:pt idx="3">
                  <c:v>0.97847656846283015</c:v>
                </c:pt>
                <c:pt idx="4">
                  <c:v>0.99241274658573597</c:v>
                </c:pt>
                <c:pt idx="5">
                  <c:v>0.98598949211908937</c:v>
                </c:pt>
                <c:pt idx="6">
                  <c:v>0.98515769944341369</c:v>
                </c:pt>
                <c:pt idx="7">
                  <c:v>0.90413495165603786</c:v>
                </c:pt>
                <c:pt idx="8">
                  <c:v>0.85947046843177188</c:v>
                </c:pt>
                <c:pt idx="9">
                  <c:v>0.92944949225013362</c:v>
                </c:pt>
                <c:pt idx="10">
                  <c:v>0.93203883495145634</c:v>
                </c:pt>
                <c:pt idx="11">
                  <c:v>0.93043478260869561</c:v>
                </c:pt>
                <c:pt idx="12">
                  <c:v>0.92282958199356913</c:v>
                </c:pt>
                <c:pt idx="13">
                  <c:v>0.8623188405797102</c:v>
                </c:pt>
                <c:pt idx="14">
                  <c:v>0.86574870912220314</c:v>
                </c:pt>
                <c:pt idx="15">
                  <c:v>0.90781777741164837</c:v>
                </c:pt>
                <c:pt idx="16">
                  <c:v>0.92391304347826086</c:v>
                </c:pt>
                <c:pt idx="17">
                  <c:v>0.92135629327179125</c:v>
                </c:pt>
                <c:pt idx="18">
                  <c:v>0.93860424028268552</c:v>
                </c:pt>
                <c:pt idx="19">
                  <c:v>0.9564356435643564</c:v>
                </c:pt>
                <c:pt idx="20">
                  <c:v>0.95711060948081261</c:v>
                </c:pt>
                <c:pt idx="21">
                  <c:v>0.94262295081967218</c:v>
                </c:pt>
                <c:pt idx="22">
                  <c:v>0.94613259668508287</c:v>
                </c:pt>
                <c:pt idx="23">
                  <c:v>0.93019197207678883</c:v>
                </c:pt>
                <c:pt idx="24">
                  <c:v>0.94199243379571251</c:v>
                </c:pt>
                <c:pt idx="25">
                  <c:v>0.95063145809414462</c:v>
                </c:pt>
                <c:pt idx="26">
                  <c:v>0.95978260869565213</c:v>
                </c:pt>
                <c:pt idx="27">
                  <c:v>0.96902654867256632</c:v>
                </c:pt>
                <c:pt idx="28">
                  <c:v>0.95343800757985919</c:v>
                </c:pt>
                <c:pt idx="29">
                  <c:v>0.94319399785637725</c:v>
                </c:pt>
                <c:pt idx="30">
                  <c:v>0.93497109826589597</c:v>
                </c:pt>
                <c:pt idx="31">
                  <c:v>0.9455370650529501</c:v>
                </c:pt>
                <c:pt idx="32">
                  <c:v>0.92066420664206639</c:v>
                </c:pt>
                <c:pt idx="33">
                  <c:v>0.91816367265469057</c:v>
                </c:pt>
                <c:pt idx="34">
                  <c:v>0.90280065897858319</c:v>
                </c:pt>
                <c:pt idx="35">
                  <c:v>0.92402972749793555</c:v>
                </c:pt>
                <c:pt idx="36">
                  <c:v>0.9386961898592544</c:v>
                </c:pt>
                <c:pt idx="37">
                  <c:v>0.93864070919520248</c:v>
                </c:pt>
                <c:pt idx="38">
                  <c:v>0.9478616762560057</c:v>
                </c:pt>
                <c:pt idx="39">
                  <c:v>0.94178177954253117</c:v>
                </c:pt>
                <c:pt idx="40">
                  <c:v>0.91534391534391535</c:v>
                </c:pt>
                <c:pt idx="41">
                  <c:v>0.9054290718038529</c:v>
                </c:pt>
                <c:pt idx="42">
                  <c:v>0.96069182389937102</c:v>
                </c:pt>
                <c:pt idx="43">
                  <c:v>0.95558086560364464</c:v>
                </c:pt>
                <c:pt idx="44">
                  <c:v>0.95302713987473908</c:v>
                </c:pt>
                <c:pt idx="45">
                  <c:v>0.94275741710296679</c:v>
                </c:pt>
                <c:pt idx="46">
                  <c:v>0.98150877663138147</c:v>
                </c:pt>
                <c:pt idx="47">
                  <c:v>0.96829268292682924</c:v>
                </c:pt>
                <c:pt idx="48">
                  <c:v>0.97770700636942676</c:v>
                </c:pt>
                <c:pt idx="49">
                  <c:v>0.92910447761194026</c:v>
                </c:pt>
                <c:pt idx="50">
                  <c:v>0.93533834586466169</c:v>
                </c:pt>
                <c:pt idx="51">
                  <c:v>0.97029702970297027</c:v>
                </c:pt>
                <c:pt idx="52">
                  <c:v>0.97400990099009899</c:v>
                </c:pt>
                <c:pt idx="53">
                  <c:v>0.97150793948721803</c:v>
                </c:pt>
                <c:pt idx="54">
                  <c:v>0.97165972233608855</c:v>
                </c:pt>
                <c:pt idx="55">
                  <c:v>0.96823295830575773</c:v>
                </c:pt>
                <c:pt idx="56">
                  <c:v>0.96904820592274377</c:v>
                </c:pt>
                <c:pt idx="57">
                  <c:v>0.94138232720909887</c:v>
                </c:pt>
                <c:pt idx="58">
                  <c:v>0.9622980251346499</c:v>
                </c:pt>
                <c:pt idx="59">
                  <c:v>0.95551601423487542</c:v>
                </c:pt>
                <c:pt idx="60">
                  <c:v>0.96132596685082872</c:v>
                </c:pt>
                <c:pt idx="61">
                  <c:v>0.95816547877285407</c:v>
                </c:pt>
                <c:pt idx="62">
                  <c:v>0.96257386736703876</c:v>
                </c:pt>
                <c:pt idx="63">
                  <c:v>0.96263236194976809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88-41DF-959D-A01542E3E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31248"/>
        <c:axId val="390130856"/>
      </c:scatterChart>
      <c:valAx>
        <c:axId val="390130072"/>
        <c:scaling>
          <c:orientation val="minMax"/>
          <c:min val="0"/>
        </c:scaling>
        <c:delete val="0"/>
        <c:axPos val="b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Culture</a:t>
                </a:r>
                <a:r>
                  <a:rPr lang="en-US" baseline="0"/>
                  <a:t> time (d)</a:t>
                </a:r>
                <a:endParaRPr lang="en-US"/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lang="es-ES" sz="1200"/>
            </a:pPr>
            <a:endParaRPr lang="es-ES"/>
          </a:p>
        </c:txPr>
        <c:crossAx val="390130464"/>
        <c:crosses val="autoZero"/>
        <c:crossBetween val="midCat"/>
        <c:minorUnit val="2"/>
      </c:valAx>
      <c:valAx>
        <c:axId val="390130464"/>
        <c:scaling>
          <c:orientation val="minMax"/>
          <c:max val="130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Viable</a:t>
                </a:r>
                <a:r>
                  <a:rPr lang="en-US" baseline="0"/>
                  <a:t> cell density (cel/mL)</a:t>
                </a:r>
                <a:endParaRPr lang="en-US"/>
              </a:p>
            </c:rich>
          </c:tx>
          <c:overlay val="0"/>
        </c:title>
        <c:numFmt formatCode="0.0E+00" sourceLinked="0"/>
        <c:majorTickMark val="none"/>
        <c:minorTickMark val="none"/>
        <c:tickLblPos val="nextTo"/>
        <c:txPr>
          <a:bodyPr/>
          <a:lstStyle/>
          <a:p>
            <a:pPr>
              <a:defRPr lang="es-ES" sz="1200"/>
            </a:pPr>
            <a:endParaRPr lang="es-ES"/>
          </a:p>
        </c:txPr>
        <c:crossAx val="390130072"/>
        <c:crosses val="autoZero"/>
        <c:crossBetween val="midCat"/>
      </c:valAx>
      <c:valAx>
        <c:axId val="390130856"/>
        <c:scaling>
          <c:orientation val="minMax"/>
          <c:max val="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Viability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390131248"/>
        <c:crosses val="max"/>
        <c:crossBetween val="midCat"/>
      </c:valAx>
      <c:valAx>
        <c:axId val="39013124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one"/>
        <c:crossAx val="390130856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0.28976862824408123"/>
          <c:y val="0.89695754207610867"/>
          <c:w val="0.49379954454488695"/>
          <c:h val="0.1026483154270792"/>
        </c:manualLayout>
      </c:layout>
      <c:overlay val="0"/>
      <c:txPr>
        <a:bodyPr/>
        <a:lstStyle/>
        <a:p>
          <a:pPr>
            <a:defRPr lang="es-ES" sz="1200"/>
          </a:pPr>
          <a:endParaRPr lang="es-ES"/>
        </a:p>
      </c:txPr>
    </c:legend>
    <c:plotVisOnly val="1"/>
    <c:dispBlanksAs val="gap"/>
    <c:showDLblsOverMax val="0"/>
  </c:chart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2000">
                <a:latin typeface="Times New Roman" panose="02020603050405020304" pitchFamily="18" charset="0"/>
                <a:cs typeface="Times New Roman" panose="02020603050405020304" pitchFamily="18" charset="0"/>
              </a:rPr>
              <a:t>Velocida específica de crecimiento</a:t>
            </a:r>
          </a:p>
        </c:rich>
      </c:tx>
      <c:layout>
        <c:manualLayout>
          <c:xMode val="edge"/>
          <c:yMode val="edge"/>
          <c:x val="0.33976641752268277"/>
          <c:y val="4.69142780095786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374879126951237"/>
          <c:y val="5.8791103493015757E-2"/>
          <c:w val="0.73108047876274052"/>
          <c:h val="0.741343928857087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ferment.!$R$6</c:f>
              <c:strCache>
                <c:ptCount val="1"/>
                <c:pt idx="0">
                  <c:v>µ(h-1)</c:v>
                </c:pt>
              </c:strCache>
            </c:strRef>
          </c:tx>
          <c:spPr>
            <a:effectLst>
              <a:outerShdw blurRad="139700" dist="50800" dir="5400000" sx="2000" sy="2000" algn="ctr" rotWithShape="0">
                <a:srgbClr val="000000">
                  <a:alpha val="43137"/>
                </a:srgbClr>
              </a:outerShdw>
            </a:effectLst>
          </c:spPr>
          <c:marker>
            <c:spPr>
              <a:ln w="73025"/>
              <a:effectLst>
                <a:outerShdw blurRad="139700" dist="50800" dir="5400000" sx="2000" sy="2000" algn="ctr" rotWithShape="0">
                  <a:srgbClr val="000000">
                    <a:alpha val="43137"/>
                  </a:srgbClr>
                </a:outerShdw>
              </a:effectLst>
            </c:spPr>
          </c:marker>
          <c:xVal>
            <c:numRef>
              <c:f>ferment.!$E$8:$E$39</c:f>
              <c:numCache>
                <c:formatCode>0.00</c:formatCode>
                <c:ptCount val="32"/>
                <c:pt idx="0">
                  <c:v>2.0833333335758653E-2</c:v>
                </c:pt>
                <c:pt idx="1">
                  <c:v>0.98958333333575865</c:v>
                </c:pt>
                <c:pt idx="2">
                  <c:v>1.9513888888905058</c:v>
                </c:pt>
                <c:pt idx="3">
                  <c:v>2.8993055555547471</c:v>
                </c:pt>
                <c:pt idx="4">
                  <c:v>3.8958333333357587</c:v>
                </c:pt>
                <c:pt idx="5">
                  <c:v>5.03125</c:v>
                </c:pt>
                <c:pt idx="6">
                  <c:v>6.21875</c:v>
                </c:pt>
                <c:pt idx="7">
                  <c:v>6.9652777777810115</c:v>
                </c:pt>
                <c:pt idx="8">
                  <c:v>7.9909722222218988</c:v>
                </c:pt>
                <c:pt idx="9">
                  <c:v>8.9166666666642413</c:v>
                </c:pt>
                <c:pt idx="10">
                  <c:v>9.9097222222189885</c:v>
                </c:pt>
                <c:pt idx="11">
                  <c:v>10.895833333335759</c:v>
                </c:pt>
                <c:pt idx="12">
                  <c:v>12.208333333335759</c:v>
                </c:pt>
                <c:pt idx="13">
                  <c:v>13.017361111109494</c:v>
                </c:pt>
                <c:pt idx="14">
                  <c:v>15.048611111109494</c:v>
                </c:pt>
                <c:pt idx="15">
                  <c:v>15.9375</c:v>
                </c:pt>
                <c:pt idx="16">
                  <c:v>16.899305555554747</c:v>
                </c:pt>
                <c:pt idx="17">
                  <c:v>19.0625</c:v>
                </c:pt>
                <c:pt idx="18">
                  <c:v>19.979166666664241</c:v>
                </c:pt>
                <c:pt idx="19">
                  <c:v>21.225694444445253</c:v>
                </c:pt>
                <c:pt idx="20">
                  <c:v>22.145833333335759</c:v>
                </c:pt>
                <c:pt idx="21">
                  <c:v>23.020833333335759</c:v>
                </c:pt>
                <c:pt idx="22">
                  <c:v>23.90625</c:v>
                </c:pt>
                <c:pt idx="23">
                  <c:v>24.930555555554747</c:v>
                </c:pt>
                <c:pt idx="24">
                  <c:v>26.243055555554747</c:v>
                </c:pt>
                <c:pt idx="25">
                  <c:v>27.03125</c:v>
                </c:pt>
                <c:pt idx="26">
                  <c:v>28.145833333335759</c:v>
                </c:pt>
                <c:pt idx="27">
                  <c:v>29.201388888890506</c:v>
                </c:pt>
                <c:pt idx="28">
                  <c:v>30.041666666664241</c:v>
                </c:pt>
                <c:pt idx="29">
                  <c:v>33.152777777781012</c:v>
                </c:pt>
                <c:pt idx="30">
                  <c:v>35.194444444445253</c:v>
                </c:pt>
                <c:pt idx="31">
                  <c:v>36.274305555554747</c:v>
                </c:pt>
              </c:numCache>
            </c:numRef>
          </c:xVal>
          <c:yVal>
            <c:numRef>
              <c:f>ferment.!$R$8:$R$39</c:f>
              <c:numCache>
                <c:formatCode>0.0000</c:formatCode>
                <c:ptCount val="32"/>
                <c:pt idx="0" formatCode="General">
                  <c:v>0</c:v>
                </c:pt>
                <c:pt idx="1">
                  <c:v>2.6009535893897477E-2</c:v>
                </c:pt>
                <c:pt idx="2">
                  <c:v>3.0845825918262307E-2</c:v>
                </c:pt>
                <c:pt idx="3">
                  <c:v>2.452772856095059E-2</c:v>
                </c:pt>
                <c:pt idx="4">
                  <c:v>1.1411645027905658E-2</c:v>
                </c:pt>
                <c:pt idx="5">
                  <c:v>1.4006079822176797E-2</c:v>
                </c:pt>
                <c:pt idx="6">
                  <c:v>1.6397416184315304E-2</c:v>
                </c:pt>
                <c:pt idx="7">
                  <c:v>1.2373886128825265E-2</c:v>
                </c:pt>
                <c:pt idx="8">
                  <c:v>3.138978346097112E-2</c:v>
                </c:pt>
                <c:pt idx="9">
                  <c:v>1.6946279251036696E-2</c:v>
                </c:pt>
                <c:pt idx="10">
                  <c:v>1.8498143490296694E-2</c:v>
                </c:pt>
                <c:pt idx="11">
                  <c:v>2.3670555216777391E-2</c:v>
                </c:pt>
                <c:pt idx="12">
                  <c:v>1.4960269687234106E-2</c:v>
                </c:pt>
                <c:pt idx="13">
                  <c:v>1.0589250826040033E-2</c:v>
                </c:pt>
                <c:pt idx="14">
                  <c:v>2.3874559651827627E-2</c:v>
                </c:pt>
                <c:pt idx="15">
                  <c:v>1.8454483991774257E-2</c:v>
                </c:pt>
                <c:pt idx="16">
                  <c:v>2.1801235332039693E-2</c:v>
                </c:pt>
                <c:pt idx="17">
                  <c:v>2.0756067860361965E-2</c:v>
                </c:pt>
                <c:pt idx="18">
                  <c:v>2.5550149504452516E-2</c:v>
                </c:pt>
                <c:pt idx="19">
                  <c:v>2.036015272595457E-2</c:v>
                </c:pt>
                <c:pt idx="20">
                  <c:v>1.104957014804589E-2</c:v>
                </c:pt>
                <c:pt idx="21">
                  <c:v>2.1273601705143363E-2</c:v>
                </c:pt>
                <c:pt idx="22">
                  <c:v>1.5953453102368738E-2</c:v>
                </c:pt>
                <c:pt idx="23">
                  <c:v>2.4266824370345351E-2</c:v>
                </c:pt>
                <c:pt idx="24">
                  <c:v>1.4110234819426805E-2</c:v>
                </c:pt>
                <c:pt idx="25">
                  <c:v>2.2140198513685854E-2</c:v>
                </c:pt>
                <c:pt idx="26">
                  <c:v>1.8868474511756463E-2</c:v>
                </c:pt>
                <c:pt idx="27">
                  <c:v>1.6083777250634309E-2</c:v>
                </c:pt>
                <c:pt idx="28">
                  <c:v>1.7173955665229119E-2</c:v>
                </c:pt>
                <c:pt idx="29">
                  <c:v>1.4869210730437886E-2</c:v>
                </c:pt>
                <c:pt idx="30">
                  <c:v>1.6870323732234151E-2</c:v>
                </c:pt>
                <c:pt idx="31">
                  <c:v>1.2893937655350997E-2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52-4D5E-A8FB-515D0BAEBC46}"/>
            </c:ext>
          </c:extLst>
        </c:ser>
        <c:ser>
          <c:idx val="2"/>
          <c:order val="2"/>
          <c:tx>
            <c:v>Dilucion</c:v>
          </c:tx>
          <c:xVal>
            <c:numRef>
              <c:f>ferment.!$E$8:$E$18</c:f>
              <c:numCache>
                <c:formatCode>0.00</c:formatCode>
                <c:ptCount val="11"/>
                <c:pt idx="0">
                  <c:v>2.0833333335758653E-2</c:v>
                </c:pt>
                <c:pt idx="1">
                  <c:v>0.98958333333575865</c:v>
                </c:pt>
                <c:pt idx="2">
                  <c:v>1.9513888888905058</c:v>
                </c:pt>
                <c:pt idx="3">
                  <c:v>2.8993055555547471</c:v>
                </c:pt>
                <c:pt idx="4">
                  <c:v>3.8958333333357587</c:v>
                </c:pt>
                <c:pt idx="5">
                  <c:v>5.03125</c:v>
                </c:pt>
                <c:pt idx="6">
                  <c:v>6.21875</c:v>
                </c:pt>
                <c:pt idx="7">
                  <c:v>6.9652777777810115</c:v>
                </c:pt>
                <c:pt idx="8">
                  <c:v>7.9909722222218988</c:v>
                </c:pt>
                <c:pt idx="9">
                  <c:v>8.9166666666642413</c:v>
                </c:pt>
                <c:pt idx="10">
                  <c:v>9.9097222222189885</c:v>
                </c:pt>
              </c:numCache>
            </c:numRef>
          </c:xVal>
          <c:yVal>
            <c:numRef>
              <c:f>ferment.!$AZ$8:$AZ$17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A1-44AE-969D-71A2F0516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32032"/>
        <c:axId val="390132424"/>
      </c:scatterChart>
      <c:scatterChart>
        <c:scatterStyle val="smoothMarker"/>
        <c:varyColors val="0"/>
        <c:ser>
          <c:idx val="1"/>
          <c:order val="1"/>
          <c:tx>
            <c:strRef>
              <c:f>ferment.!$P$6</c:f>
              <c:strCache>
                <c:ptCount val="1"/>
                <c:pt idx="0">
                  <c:v>pH muestra</c:v>
                </c:pt>
              </c:strCache>
            </c:strRef>
          </c:tx>
          <c:xVal>
            <c:numRef>
              <c:f>ferment.!$E$8:$E$39</c:f>
              <c:numCache>
                <c:formatCode>0.00</c:formatCode>
                <c:ptCount val="32"/>
                <c:pt idx="0">
                  <c:v>2.0833333335758653E-2</c:v>
                </c:pt>
                <c:pt idx="1">
                  <c:v>0.98958333333575865</c:v>
                </c:pt>
                <c:pt idx="2">
                  <c:v>1.9513888888905058</c:v>
                </c:pt>
                <c:pt idx="3">
                  <c:v>2.8993055555547471</c:v>
                </c:pt>
                <c:pt idx="4">
                  <c:v>3.8958333333357587</c:v>
                </c:pt>
                <c:pt idx="5">
                  <c:v>5.03125</c:v>
                </c:pt>
                <c:pt idx="6">
                  <c:v>6.21875</c:v>
                </c:pt>
                <c:pt idx="7">
                  <c:v>6.9652777777810115</c:v>
                </c:pt>
                <c:pt idx="8">
                  <c:v>7.9909722222218988</c:v>
                </c:pt>
                <c:pt idx="9">
                  <c:v>8.9166666666642413</c:v>
                </c:pt>
                <c:pt idx="10">
                  <c:v>9.9097222222189885</c:v>
                </c:pt>
                <c:pt idx="11">
                  <c:v>10.895833333335759</c:v>
                </c:pt>
                <c:pt idx="12">
                  <c:v>12.208333333335759</c:v>
                </c:pt>
                <c:pt idx="13">
                  <c:v>13.017361111109494</c:v>
                </c:pt>
                <c:pt idx="14">
                  <c:v>15.048611111109494</c:v>
                </c:pt>
                <c:pt idx="15">
                  <c:v>15.9375</c:v>
                </c:pt>
                <c:pt idx="16">
                  <c:v>16.899305555554747</c:v>
                </c:pt>
                <c:pt idx="17">
                  <c:v>19.0625</c:v>
                </c:pt>
                <c:pt idx="18">
                  <c:v>19.979166666664241</c:v>
                </c:pt>
                <c:pt idx="19">
                  <c:v>21.225694444445253</c:v>
                </c:pt>
                <c:pt idx="20">
                  <c:v>22.145833333335759</c:v>
                </c:pt>
                <c:pt idx="21">
                  <c:v>23.020833333335759</c:v>
                </c:pt>
                <c:pt idx="22">
                  <c:v>23.90625</c:v>
                </c:pt>
                <c:pt idx="23">
                  <c:v>24.930555555554747</c:v>
                </c:pt>
                <c:pt idx="24">
                  <c:v>26.243055555554747</c:v>
                </c:pt>
                <c:pt idx="25">
                  <c:v>27.03125</c:v>
                </c:pt>
                <c:pt idx="26">
                  <c:v>28.145833333335759</c:v>
                </c:pt>
                <c:pt idx="27">
                  <c:v>29.201388888890506</c:v>
                </c:pt>
                <c:pt idx="28">
                  <c:v>30.041666666664241</c:v>
                </c:pt>
                <c:pt idx="29">
                  <c:v>33.152777777781012</c:v>
                </c:pt>
                <c:pt idx="30">
                  <c:v>35.194444444445253</c:v>
                </c:pt>
                <c:pt idx="31">
                  <c:v>36.274305555554747</c:v>
                </c:pt>
              </c:numCache>
            </c:numRef>
          </c:xVal>
          <c:yVal>
            <c:numRef>
              <c:f>ferment.!$P$8:$P$39</c:f>
              <c:numCache>
                <c:formatCode>0.00</c:formatCode>
                <c:ptCount val="32"/>
                <c:pt idx="0">
                  <c:v>7.33</c:v>
                </c:pt>
                <c:pt idx="1">
                  <c:v>7.33</c:v>
                </c:pt>
                <c:pt idx="2">
                  <c:v>6.99</c:v>
                </c:pt>
                <c:pt idx="3">
                  <c:v>7</c:v>
                </c:pt>
                <c:pt idx="4">
                  <c:v>6.97</c:v>
                </c:pt>
                <c:pt idx="5">
                  <c:v>6.99</c:v>
                </c:pt>
                <c:pt idx="6">
                  <c:v>7.01</c:v>
                </c:pt>
                <c:pt idx="7">
                  <c:v>7</c:v>
                </c:pt>
                <c:pt idx="8">
                  <c:v>6.95</c:v>
                </c:pt>
                <c:pt idx="9">
                  <c:v>6.97</c:v>
                </c:pt>
                <c:pt idx="10">
                  <c:v>6.96</c:v>
                </c:pt>
                <c:pt idx="11">
                  <c:v>7.01</c:v>
                </c:pt>
                <c:pt idx="12">
                  <c:v>6.93</c:v>
                </c:pt>
                <c:pt idx="13">
                  <c:v>7.12</c:v>
                </c:pt>
                <c:pt idx="14">
                  <c:v>7.11</c:v>
                </c:pt>
                <c:pt idx="15">
                  <c:v>7.11</c:v>
                </c:pt>
                <c:pt idx="16">
                  <c:v>7.12</c:v>
                </c:pt>
                <c:pt idx="17">
                  <c:v>7.13</c:v>
                </c:pt>
                <c:pt idx="18">
                  <c:v>7.14</c:v>
                </c:pt>
                <c:pt idx="19">
                  <c:v>7.13</c:v>
                </c:pt>
                <c:pt idx="20">
                  <c:v>7.13</c:v>
                </c:pt>
                <c:pt idx="21">
                  <c:v>7.11</c:v>
                </c:pt>
                <c:pt idx="22">
                  <c:v>7.32</c:v>
                </c:pt>
                <c:pt idx="23">
                  <c:v>7.11</c:v>
                </c:pt>
                <c:pt idx="24">
                  <c:v>7.15</c:v>
                </c:pt>
                <c:pt idx="25">
                  <c:v>7.13</c:v>
                </c:pt>
                <c:pt idx="26">
                  <c:v>7.11</c:v>
                </c:pt>
                <c:pt idx="27">
                  <c:v>7.15</c:v>
                </c:pt>
                <c:pt idx="28">
                  <c:v>7.16</c:v>
                </c:pt>
                <c:pt idx="29">
                  <c:v>7.14</c:v>
                </c:pt>
                <c:pt idx="30">
                  <c:v>7.11</c:v>
                </c:pt>
                <c:pt idx="31">
                  <c:v>7.11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52-4D5E-A8FB-515D0BAE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33208"/>
        <c:axId val="390132816"/>
      </c:scatterChart>
      <c:valAx>
        <c:axId val="39013203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3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s-ES" sz="3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s-ES" sz="3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(d)</a:t>
                </a:r>
                <a:endParaRPr lang="es-ES" sz="3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txPr>
          <a:bodyPr/>
          <a:lstStyle/>
          <a:p>
            <a:pPr algn="ctr">
              <a:defRPr lang="es-ES"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0132424"/>
        <c:crosses val="autoZero"/>
        <c:crossBetween val="midCat"/>
      </c:valAx>
      <c:valAx>
        <c:axId val="39013242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800"/>
                </a:pPr>
                <a:r>
                  <a:rPr lang="es-ES" sz="2800"/>
                  <a:t>µ (h-1)</a:t>
                </a:r>
              </a:p>
            </c:rich>
          </c:tx>
          <c:layout>
            <c:manualLayout>
              <c:xMode val="edge"/>
              <c:yMode val="edge"/>
              <c:x val="2.3978617390986119E-2"/>
              <c:y val="0.47747116543949386"/>
            </c:manualLayout>
          </c:layout>
          <c:overlay val="0"/>
        </c:title>
        <c:numFmt formatCode="#,##0.0000" sourceLinked="0"/>
        <c:majorTickMark val="none"/>
        <c:minorTickMark val="none"/>
        <c:tickLblPos val="nextTo"/>
        <c:txPr>
          <a:bodyPr/>
          <a:lstStyle/>
          <a:p>
            <a:pPr>
              <a:defRPr sz="18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s-ES"/>
          </a:p>
        </c:txPr>
        <c:crossAx val="390132032"/>
        <c:crosses val="autoZero"/>
        <c:crossBetween val="midCat"/>
      </c:valAx>
      <c:valAx>
        <c:axId val="39013281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s-ES"/>
          </a:p>
        </c:txPr>
        <c:crossAx val="390133208"/>
        <c:crosses val="max"/>
        <c:crossBetween val="midCat"/>
      </c:valAx>
      <c:valAx>
        <c:axId val="39013320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901328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0510848883615576"/>
          <c:y val="0.84509546872678654"/>
          <c:w val="0.19657128177070543"/>
          <c:h val="0.15490460898416569"/>
        </c:manualLayout>
      </c:layout>
      <c:overlay val="0"/>
      <c:txPr>
        <a:bodyPr/>
        <a:lstStyle/>
        <a:p>
          <a:pPr>
            <a:defRPr sz="2400"/>
          </a:pPr>
          <a:endParaRPr lang="es-ES"/>
        </a:p>
      </c:txPr>
    </c:legend>
    <c:plotVisOnly val="1"/>
    <c:dispBlanksAs val="gap"/>
    <c:showDLblsOverMax val="0"/>
  </c:chart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Velocida específica de crecimiento</a:t>
            </a:r>
          </a:p>
        </c:rich>
      </c:tx>
      <c:layout>
        <c:manualLayout>
          <c:xMode val="edge"/>
          <c:yMode val="edge"/>
          <c:x val="0.33976641752268277"/>
          <c:y val="4.69142780095786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072246661966687"/>
          <c:y val="0.11774799337882735"/>
          <c:w val="0.73108047876274052"/>
          <c:h val="0.74134392885708733"/>
        </c:manualLayout>
      </c:layout>
      <c:scatterChart>
        <c:scatterStyle val="lineMarker"/>
        <c:varyColors val="0"/>
        <c:ser>
          <c:idx val="0"/>
          <c:order val="0"/>
          <c:tx>
            <c:strRef>
              <c:f>ferment.!$BB$84</c:f>
              <c:strCache>
                <c:ptCount val="1"/>
                <c:pt idx="0">
                  <c:v>Velocidad de crecimiento Batch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8.7443415752916739E-2"/>
                  <c:y val="0.1954938911587490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/>
                  </a:pPr>
                  <a:endParaRPr lang="es-ES"/>
                </a:p>
              </c:txPr>
            </c:trendlineLbl>
          </c:trendline>
          <c:xVal>
            <c:numRef>
              <c:f>ferment.!$BD$8:$BD$12</c:f>
              <c:numCache>
                <c:formatCode>0.00E+00</c:formatCode>
                <c:ptCount val="5"/>
                <c:pt idx="0" formatCode="0.00">
                  <c:v>0</c:v>
                </c:pt>
                <c:pt idx="1">
                  <c:v>15257812.5</c:v>
                </c:pt>
                <c:pt idx="2">
                  <c:v>45304618.055530295</c:v>
                </c:pt>
                <c:pt idx="3">
                  <c:v>99275201.388725534</c:v>
                </c:pt>
                <c:pt idx="4">
                  <c:v>174150312.50007963</c:v>
                </c:pt>
              </c:numCache>
            </c:numRef>
          </c:xVal>
          <c:yVal>
            <c:numRef>
              <c:f>ferment.!$BC$8:$BC$12</c:f>
              <c:numCache>
                <c:formatCode>0.00E+00</c:formatCode>
                <c:ptCount val="5"/>
                <c:pt idx="0">
                  <c:v>462500</c:v>
                </c:pt>
                <c:pt idx="1">
                  <c:v>850000</c:v>
                </c:pt>
                <c:pt idx="2">
                  <c:v>1753333.3333333333</c:v>
                </c:pt>
                <c:pt idx="3">
                  <c:v>3033959.833333333</c:v>
                </c:pt>
                <c:pt idx="4">
                  <c:v>3681168.9743592343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F-41A9-8BBD-D59D490CCB7B}"/>
            </c:ext>
          </c:extLst>
        </c:ser>
        <c:ser>
          <c:idx val="1"/>
          <c:order val="1"/>
          <c:tx>
            <c:strRef>
              <c:f>ferment.!$BB$85</c:f>
              <c:strCache>
                <c:ptCount val="1"/>
                <c:pt idx="0">
                  <c:v>Velocidad de crecimiento cultivo continuo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0832990659190343"/>
                  <c:y val="7.457758242518146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/>
                  </a:pPr>
                  <a:endParaRPr lang="es-ES"/>
                </a:p>
              </c:txPr>
            </c:trendlineLbl>
          </c:trendline>
          <c:xVal>
            <c:numRef>
              <c:f>ferment.!$BD$12:$BD$14</c:f>
              <c:numCache>
                <c:formatCode>0.00E+00</c:formatCode>
                <c:ptCount val="3"/>
                <c:pt idx="0">
                  <c:v>174150312.50007963</c:v>
                </c:pt>
                <c:pt idx="1">
                  <c:v>257058437.49990255</c:v>
                </c:pt>
                <c:pt idx="2">
                  <c:v>335005937.49990255</c:v>
                </c:pt>
              </c:numCache>
            </c:numRef>
          </c:xVal>
          <c:yVal>
            <c:numRef>
              <c:f>ferment.!$BC$12:$BC$14</c:f>
              <c:numCache>
                <c:formatCode>0.00E+00</c:formatCode>
                <c:ptCount val="3"/>
                <c:pt idx="0">
                  <c:v>3681168.9743592343</c:v>
                </c:pt>
                <c:pt idx="1">
                  <c:v>4333955.638120316</c:v>
                </c:pt>
                <c:pt idx="2">
                  <c:v>5643726.8537182966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CF-41A9-8BBD-D59D490CCB7B}"/>
            </c:ext>
          </c:extLst>
        </c:ser>
        <c:ser>
          <c:idx val="2"/>
          <c:order val="2"/>
          <c:tx>
            <c:v>u3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988844021038761E-2"/>
                  <c:y val="0.1018075933181832"/>
                </c:manualLayout>
              </c:layout>
              <c:numFmt formatCode="General" sourceLinked="0"/>
            </c:trendlineLbl>
          </c:trendline>
          <c:xVal>
            <c:numRef>
              <c:f>ferment.!$BD$14:$BD$16</c:f>
              <c:numCache>
                <c:formatCode>0.00E+00</c:formatCode>
                <c:ptCount val="3"/>
                <c:pt idx="0">
                  <c:v>335005937.49990255</c:v>
                </c:pt>
                <c:pt idx="1">
                  <c:v>378476250.00009084</c:v>
                </c:pt>
                <c:pt idx="2">
                  <c:v>440151256.94432139</c:v>
                </c:pt>
              </c:numCache>
            </c:numRef>
          </c:xVal>
          <c:yVal>
            <c:numRef>
              <c:f>ferment.!$BC$14:$BC$16</c:f>
              <c:numCache>
                <c:formatCode>0.00E+00</c:formatCode>
                <c:ptCount val="3"/>
                <c:pt idx="0">
                  <c:v>5643726.8537182966</c:v>
                </c:pt>
                <c:pt idx="1">
                  <c:v>5981453.827404405</c:v>
                </c:pt>
                <c:pt idx="2">
                  <c:v>7756084.0308889505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CF-41A9-8BBD-D59D490CC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33992"/>
        <c:axId val="390134384"/>
      </c:scatterChart>
      <c:valAx>
        <c:axId val="39013399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s-ES" sz="1800"/>
                  <a:t>SXv</a:t>
                </a:r>
              </a:p>
            </c:rich>
          </c:tx>
          <c:overlay val="0"/>
        </c:title>
        <c:numFmt formatCode="0.00E+00" sourceLinked="0"/>
        <c:majorTickMark val="none"/>
        <c:minorTickMark val="none"/>
        <c:tickLblPos val="nextTo"/>
        <c:txPr>
          <a:bodyPr/>
          <a:lstStyle/>
          <a:p>
            <a:pPr algn="ctr">
              <a:defRPr lang="es-E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0134384"/>
        <c:crosses val="autoZero"/>
        <c:crossBetween val="midCat"/>
      </c:valAx>
      <c:valAx>
        <c:axId val="390134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s-ES" sz="2000"/>
                  <a:t>Xv+S</a:t>
                </a:r>
                <a:r>
                  <a:rPr lang="el-GR" sz="2000"/>
                  <a:t>α</a:t>
                </a:r>
                <a:r>
                  <a:rPr lang="es-ES" sz="2000"/>
                  <a:t>DpXv+SDccXv</a:t>
                </a:r>
              </a:p>
            </c:rich>
          </c:tx>
          <c:layout>
            <c:manualLayout>
              <c:xMode val="edge"/>
              <c:yMode val="edge"/>
              <c:x val="3.0555555555555579E-2"/>
              <c:y val="0.27225849061396595"/>
            </c:manualLayout>
          </c:layout>
          <c:overlay val="0"/>
        </c:title>
        <c:numFmt formatCode="0.00E+00" sourceLinked="0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39013399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64896161391157359"/>
          <c:y val="0.88432932112069473"/>
          <c:w val="0.33071341745625099"/>
          <c:h val="0.11567061278246295"/>
        </c:manualLayout>
      </c:layout>
      <c:overlay val="0"/>
      <c:txPr>
        <a:bodyPr/>
        <a:lstStyle/>
        <a:p>
          <a:pPr>
            <a:defRPr sz="1600"/>
          </a:pPr>
          <a:endParaRPr lang="es-ES"/>
        </a:p>
      </c:txPr>
    </c:legend>
    <c:plotVisOnly val="1"/>
    <c:dispBlanksAs val="gap"/>
    <c:showDLblsOverMax val="0"/>
  </c:chart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Velocidad específica</a:t>
            </a:r>
            <a:r>
              <a:rPr lang="en-US" baseline="0"/>
              <a:t> de producción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395367021542165"/>
          <c:y val="0.12501489367115329"/>
          <c:w val="0.75820422197256931"/>
          <c:h val="0.71740565725235506"/>
        </c:manualLayout>
      </c:layout>
      <c:scatterChart>
        <c:scatterStyle val="lineMarker"/>
        <c:varyColors val="0"/>
        <c:ser>
          <c:idx val="0"/>
          <c:order val="0"/>
          <c:tx>
            <c:strRef>
              <c:f>ferment.!$BH$84</c:f>
              <c:strCache>
                <c:ptCount val="1"/>
                <c:pt idx="0">
                  <c:v>Velocidad de Específica de producción Batch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233507911389403"/>
                  <c:y val="5.1950634149636341E-2"/>
                </c:manualLayout>
              </c:layout>
              <c:numFmt formatCode="0.0000E+00" sourceLinked="0"/>
            </c:trendlineLbl>
          </c:trendline>
          <c:xVal>
            <c:numRef>
              <c:f>ferment.!$BD$8:$BD$12</c:f>
              <c:numCache>
                <c:formatCode>0.00E+00</c:formatCode>
                <c:ptCount val="5"/>
                <c:pt idx="0" formatCode="0.00">
                  <c:v>0</c:v>
                </c:pt>
                <c:pt idx="1">
                  <c:v>15257812.5</c:v>
                </c:pt>
                <c:pt idx="2">
                  <c:v>45304618.055530295</c:v>
                </c:pt>
                <c:pt idx="3">
                  <c:v>99275201.388725534</c:v>
                </c:pt>
                <c:pt idx="4">
                  <c:v>174150312.50007963</c:v>
                </c:pt>
              </c:numCache>
            </c:numRef>
          </c:xVal>
          <c:yVal>
            <c:numRef>
              <c:f>ferment.!$BQ$8:$BQ$12</c:f>
              <c:numCache>
                <c:formatCode>0.00</c:formatCode>
                <c:ptCount val="5"/>
                <c:pt idx="0">
                  <c:v>1.7011372499999999</c:v>
                </c:pt>
                <c:pt idx="1">
                  <c:v>4.5199999999999996</c:v>
                </c:pt>
                <c:pt idx="2">
                  <c:v>11.36</c:v>
                </c:pt>
                <c:pt idx="3">
                  <c:v>20.577567499999994</c:v>
                </c:pt>
                <c:pt idx="4">
                  <c:v>22.796153846169503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72-4327-B534-527E0FBD2E86}"/>
            </c:ext>
          </c:extLst>
        </c:ser>
        <c:ser>
          <c:idx val="1"/>
          <c:order val="1"/>
          <c:tx>
            <c:strRef>
              <c:f>ferment.!$BH$85</c:f>
              <c:strCache>
                <c:ptCount val="1"/>
                <c:pt idx="0">
                  <c:v>Velocidad de Específica de producción cultivo continuo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0.0000E+00" sourceLinked="0"/>
            </c:trendlineLbl>
          </c:trendline>
          <c:xVal>
            <c:numRef>
              <c:f>ferment.!$BD$12:$BD$17</c:f>
              <c:numCache>
                <c:formatCode>0.00E+00</c:formatCode>
                <c:ptCount val="6"/>
                <c:pt idx="0">
                  <c:v>174150312.50007963</c:v>
                </c:pt>
                <c:pt idx="1">
                  <c:v>257058437.49990255</c:v>
                </c:pt>
                <c:pt idx="2">
                  <c:v>335005937.49990255</c:v>
                </c:pt>
                <c:pt idx="3">
                  <c:v>378476250.00009084</c:v>
                </c:pt>
                <c:pt idx="4">
                  <c:v>440151256.94432139</c:v>
                </c:pt>
                <c:pt idx="5">
                  <c:v>503598354.16639954</c:v>
                </c:pt>
              </c:numCache>
            </c:numRef>
          </c:xVal>
          <c:yVal>
            <c:numRef>
              <c:f>ferment.!$BQ$12:$BQ$17</c:f>
              <c:numCache>
                <c:formatCode>0.00</c:formatCode>
                <c:ptCount val="6"/>
                <c:pt idx="0">
                  <c:v>22.796153846169503</c:v>
                </c:pt>
                <c:pt idx="1">
                  <c:v>30.170292086568239</c:v>
                </c:pt>
                <c:pt idx="2">
                  <c:v>37.826340726790733</c:v>
                </c:pt>
                <c:pt idx="3">
                  <c:v>42.46056082139161</c:v>
                </c:pt>
                <c:pt idx="4">
                  <c:v>50.102595236614818</c:v>
                </c:pt>
                <c:pt idx="5">
                  <c:v>58.401117459962762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72-4327-B534-527E0FBD2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35168"/>
        <c:axId val="319049400"/>
      </c:scatterChart>
      <c:valAx>
        <c:axId val="39013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s-ES" sz="2000"/>
                  <a:t>SXv</a:t>
                </a:r>
              </a:p>
            </c:rich>
          </c:tx>
          <c:overlay val="0"/>
        </c:title>
        <c:numFmt formatCode="0.00E+00" sourceLinked="0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es-ES"/>
          </a:p>
        </c:txPr>
        <c:crossAx val="319049400"/>
        <c:crosses val="autoZero"/>
        <c:crossBetween val="midCat"/>
      </c:valAx>
      <c:valAx>
        <c:axId val="319049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s-ES" sz="2000"/>
                  <a:t>IgG+SdIgG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ES"/>
          </a:p>
        </c:txPr>
        <c:crossAx val="390135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6816105459660012"/>
          <c:y val="0.62448404809296076"/>
          <c:w val="0.43647128949554387"/>
          <c:h val="5.4571208734701129E-2"/>
        </c:manualLayout>
      </c:layout>
      <c:overlay val="0"/>
      <c:txPr>
        <a:bodyPr/>
        <a:lstStyle/>
        <a:p>
          <a:pPr>
            <a:defRPr sz="1600"/>
          </a:pPr>
          <a:endParaRPr lang="es-ES"/>
        </a:p>
      </c:txPr>
    </c:legend>
    <c:plotVisOnly val="1"/>
    <c:dispBlanksAs val="gap"/>
    <c:showDLblsOverMax val="0"/>
  </c:chart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 baseline="0"/>
              <a:t>Velocidad de dilución (VVD)</a:t>
            </a:r>
          </a:p>
          <a:p>
            <a:pPr>
              <a:defRPr lang="es-ES"/>
            </a:pPr>
            <a:r>
              <a:rPr lang="en-US" baseline="0"/>
              <a:t>Viabilidad (%)</a:t>
            </a:r>
          </a:p>
          <a:p>
            <a:pPr>
              <a:defRPr lang="es-ES"/>
            </a:pPr>
            <a:endParaRPr lang="en-US"/>
          </a:p>
        </c:rich>
      </c:tx>
      <c:layout>
        <c:manualLayout>
          <c:xMode val="edge"/>
          <c:yMode val="edge"/>
          <c:x val="0.77399326621058084"/>
          <c:y val="1.037360392712412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360431181961866"/>
          <c:y val="0.16161059027288693"/>
          <c:w val="0.74860965204077834"/>
          <c:h val="0.74590444169383474"/>
        </c:manualLayout>
      </c:layout>
      <c:scatterChart>
        <c:scatterStyle val="lineMarker"/>
        <c:varyColors val="0"/>
        <c:ser>
          <c:idx val="2"/>
          <c:order val="0"/>
          <c:tx>
            <c:strRef>
              <c:f>ferment.!$J$6</c:f>
              <c:strCache>
                <c:ptCount val="1"/>
                <c:pt idx="0">
                  <c:v>Xv(Promedio) </c:v>
                </c:pt>
              </c:strCache>
            </c:strRef>
          </c:tx>
          <c:spPr>
            <a:ln w="38100">
              <a:solidFill>
                <a:srgbClr val="0070C0"/>
              </a:solidFill>
            </a:ln>
          </c:spPr>
          <c:marker>
            <c:symbol val="diamond"/>
            <c:size val="9"/>
            <c:spPr>
              <a:solidFill>
                <a:schemeClr val="accent1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ferment.!$E$8:$E$98</c:f>
              <c:numCache>
                <c:formatCode>0.00</c:formatCode>
                <c:ptCount val="91"/>
                <c:pt idx="0">
                  <c:v>2.0833333335758653E-2</c:v>
                </c:pt>
                <c:pt idx="1">
                  <c:v>0.98958333333575865</c:v>
                </c:pt>
                <c:pt idx="2">
                  <c:v>1.9513888888905058</c:v>
                </c:pt>
                <c:pt idx="3">
                  <c:v>2.8993055555547471</c:v>
                </c:pt>
                <c:pt idx="4">
                  <c:v>3.8958333333357587</c:v>
                </c:pt>
                <c:pt idx="5">
                  <c:v>5.03125</c:v>
                </c:pt>
                <c:pt idx="6">
                  <c:v>6.21875</c:v>
                </c:pt>
                <c:pt idx="7">
                  <c:v>6.9652777777810115</c:v>
                </c:pt>
                <c:pt idx="8">
                  <c:v>7.9909722222218988</c:v>
                </c:pt>
                <c:pt idx="9">
                  <c:v>8.9166666666642413</c:v>
                </c:pt>
                <c:pt idx="10">
                  <c:v>9.9097222222189885</c:v>
                </c:pt>
                <c:pt idx="11">
                  <c:v>10.895833333335759</c:v>
                </c:pt>
                <c:pt idx="12">
                  <c:v>12.208333333335759</c:v>
                </c:pt>
                <c:pt idx="13">
                  <c:v>13.017361111109494</c:v>
                </c:pt>
                <c:pt idx="14">
                  <c:v>15.048611111109494</c:v>
                </c:pt>
                <c:pt idx="15">
                  <c:v>15.9375</c:v>
                </c:pt>
                <c:pt idx="16">
                  <c:v>16.899305555554747</c:v>
                </c:pt>
                <c:pt idx="17">
                  <c:v>19.0625</c:v>
                </c:pt>
                <c:pt idx="18">
                  <c:v>19.979166666664241</c:v>
                </c:pt>
                <c:pt idx="19">
                  <c:v>21.225694444445253</c:v>
                </c:pt>
                <c:pt idx="20">
                  <c:v>22.145833333335759</c:v>
                </c:pt>
                <c:pt idx="21">
                  <c:v>23.020833333335759</c:v>
                </c:pt>
                <c:pt idx="22">
                  <c:v>23.90625</c:v>
                </c:pt>
                <c:pt idx="23">
                  <c:v>24.930555555554747</c:v>
                </c:pt>
                <c:pt idx="24">
                  <c:v>26.243055555554747</c:v>
                </c:pt>
                <c:pt idx="25">
                  <c:v>27.03125</c:v>
                </c:pt>
                <c:pt idx="26">
                  <c:v>28.145833333335759</c:v>
                </c:pt>
                <c:pt idx="27">
                  <c:v>29.201388888890506</c:v>
                </c:pt>
                <c:pt idx="28">
                  <c:v>30.041666666664241</c:v>
                </c:pt>
                <c:pt idx="29">
                  <c:v>33.152777777781012</c:v>
                </c:pt>
                <c:pt idx="30">
                  <c:v>35.194444444445253</c:v>
                </c:pt>
                <c:pt idx="31">
                  <c:v>36.274305555554747</c:v>
                </c:pt>
                <c:pt idx="32">
                  <c:v>37.902777777781012</c:v>
                </c:pt>
                <c:pt idx="33">
                  <c:v>38.902777777781012</c:v>
                </c:pt>
                <c:pt idx="34">
                  <c:v>41.1875</c:v>
                </c:pt>
                <c:pt idx="35">
                  <c:v>43.263888888890506</c:v>
                </c:pt>
                <c:pt idx="36">
                  <c:v>43.951388888890506</c:v>
                </c:pt>
                <c:pt idx="37">
                  <c:v>44.902777777781012</c:v>
                </c:pt>
                <c:pt idx="38">
                  <c:v>47.173611111109494</c:v>
                </c:pt>
                <c:pt idx="39">
                  <c:v>47.944444444445253</c:v>
                </c:pt>
                <c:pt idx="40">
                  <c:v>48.989583333335759</c:v>
                </c:pt>
                <c:pt idx="41">
                  <c:v>51.225694444445253</c:v>
                </c:pt>
                <c:pt idx="42">
                  <c:v>54.138888888890506</c:v>
                </c:pt>
                <c:pt idx="43">
                  <c:v>55.180555555554747</c:v>
                </c:pt>
                <c:pt idx="44">
                  <c:v>56.048611111109494</c:v>
                </c:pt>
                <c:pt idx="45">
                  <c:v>57.979166666664241</c:v>
                </c:pt>
                <c:pt idx="46">
                  <c:v>59.003472222218988</c:v>
                </c:pt>
                <c:pt idx="47">
                  <c:v>61.961805555554747</c:v>
                </c:pt>
                <c:pt idx="48">
                  <c:v>62.975694444445253</c:v>
                </c:pt>
                <c:pt idx="49">
                  <c:v>64.034722222218988</c:v>
                </c:pt>
                <c:pt idx="50">
                  <c:v>65.034722222218988</c:v>
                </c:pt>
                <c:pt idx="51">
                  <c:v>67.96875</c:v>
                </c:pt>
                <c:pt idx="52">
                  <c:v>69.048611111109494</c:v>
                </c:pt>
                <c:pt idx="53">
                  <c:v>70.1875</c:v>
                </c:pt>
                <c:pt idx="54">
                  <c:v>71.21875</c:v>
                </c:pt>
                <c:pt idx="55">
                  <c:v>71.951388888890506</c:v>
                </c:pt>
                <c:pt idx="56">
                  <c:v>72.899305555554747</c:v>
                </c:pt>
                <c:pt idx="57">
                  <c:v>77.201388888890506</c:v>
                </c:pt>
                <c:pt idx="58">
                  <c:v>78.201388888890506</c:v>
                </c:pt>
                <c:pt idx="59">
                  <c:v>78.972222222218988</c:v>
                </c:pt>
                <c:pt idx="60">
                  <c:v>81.979166666664241</c:v>
                </c:pt>
                <c:pt idx="61">
                  <c:v>83.197916666664241</c:v>
                </c:pt>
                <c:pt idx="62">
                  <c:v>84.215277777781012</c:v>
                </c:pt>
                <c:pt idx="63">
                  <c:v>85.267361111109494</c:v>
                </c:pt>
                <c:pt idx="64">
                  <c:v>85.982638888890506</c:v>
                </c:pt>
                <c:pt idx="65">
                  <c:v>87.590277777781012</c:v>
                </c:pt>
                <c:pt idx="66">
                  <c:v>88.631944444445253</c:v>
                </c:pt>
                <c:pt idx="67">
                  <c:v>89.673611111109494</c:v>
                </c:pt>
                <c:pt idx="68">
                  <c:v>90.715277777781012</c:v>
                </c:pt>
                <c:pt idx="69">
                  <c:v>91.756944444445253</c:v>
                </c:pt>
                <c:pt idx="70">
                  <c:v>87.798611111109494</c:v>
                </c:pt>
                <c:pt idx="71">
                  <c:v>88.840277777781012</c:v>
                </c:pt>
              </c:numCache>
            </c:numRef>
          </c:xVal>
          <c:yVal>
            <c:numRef>
              <c:f>ferment.!$M$8:$M$18</c:f>
              <c:numCache>
                <c:formatCode>0.00E+00</c:formatCode>
                <c:ptCount val="11"/>
                <c:pt idx="0">
                  <c:v>462500</c:v>
                </c:pt>
                <c:pt idx="1">
                  <c:v>850000</c:v>
                </c:pt>
                <c:pt idx="2">
                  <c:v>1753333.3333333333</c:v>
                </c:pt>
                <c:pt idx="3">
                  <c:v>2991333.333333333</c:v>
                </c:pt>
                <c:pt idx="4">
                  <c:v>3270000</c:v>
                </c:pt>
                <c:pt idx="5">
                  <c:v>2815000</c:v>
                </c:pt>
                <c:pt idx="6">
                  <c:v>2655000</c:v>
                </c:pt>
                <c:pt idx="7">
                  <c:v>2197500</c:v>
                </c:pt>
                <c:pt idx="8">
                  <c:v>2813333.3333333335</c:v>
                </c:pt>
                <c:pt idx="9">
                  <c:v>2898333.3333333335</c:v>
                </c:pt>
                <c:pt idx="10">
                  <c:v>2880000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A-4C5A-9CA3-A4BEE03B2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050184"/>
        <c:axId val="319050576"/>
      </c:scatterChart>
      <c:scatterChart>
        <c:scatterStyle val="lineMarker"/>
        <c:varyColors val="0"/>
        <c:ser>
          <c:idx val="0"/>
          <c:order val="1"/>
          <c:tx>
            <c:strRef>
              <c:f>Cosechas!$AF$6:$AF$7</c:f>
              <c:strCache>
                <c:ptCount val="2"/>
                <c:pt idx="0">
                  <c:v>VVD</c:v>
                </c:pt>
                <c:pt idx="1">
                  <c:v>total</c:v>
                </c:pt>
              </c:strCache>
            </c:strRef>
          </c:tx>
          <c:spPr>
            <a:ln w="3810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ferment.!$E$8:$E$39</c:f>
              <c:numCache>
                <c:formatCode>0.00</c:formatCode>
                <c:ptCount val="32"/>
                <c:pt idx="0">
                  <c:v>2.0833333335758653E-2</c:v>
                </c:pt>
                <c:pt idx="1">
                  <c:v>0.98958333333575865</c:v>
                </c:pt>
                <c:pt idx="2">
                  <c:v>1.9513888888905058</c:v>
                </c:pt>
                <c:pt idx="3">
                  <c:v>2.8993055555547471</c:v>
                </c:pt>
                <c:pt idx="4">
                  <c:v>3.8958333333357587</c:v>
                </c:pt>
                <c:pt idx="5">
                  <c:v>5.03125</c:v>
                </c:pt>
                <c:pt idx="6">
                  <c:v>6.21875</c:v>
                </c:pt>
                <c:pt idx="7">
                  <c:v>6.9652777777810115</c:v>
                </c:pt>
                <c:pt idx="8">
                  <c:v>7.9909722222218988</c:v>
                </c:pt>
                <c:pt idx="9">
                  <c:v>8.9166666666642413</c:v>
                </c:pt>
                <c:pt idx="10">
                  <c:v>9.9097222222189885</c:v>
                </c:pt>
                <c:pt idx="11">
                  <c:v>10.895833333335759</c:v>
                </c:pt>
                <c:pt idx="12">
                  <c:v>12.208333333335759</c:v>
                </c:pt>
                <c:pt idx="13">
                  <c:v>13.017361111109494</c:v>
                </c:pt>
                <c:pt idx="14">
                  <c:v>15.048611111109494</c:v>
                </c:pt>
                <c:pt idx="15">
                  <c:v>15.9375</c:v>
                </c:pt>
                <c:pt idx="16">
                  <c:v>16.899305555554747</c:v>
                </c:pt>
                <c:pt idx="17">
                  <c:v>19.0625</c:v>
                </c:pt>
                <c:pt idx="18">
                  <c:v>19.979166666664241</c:v>
                </c:pt>
                <c:pt idx="19">
                  <c:v>21.225694444445253</c:v>
                </c:pt>
                <c:pt idx="20">
                  <c:v>22.145833333335759</c:v>
                </c:pt>
                <c:pt idx="21">
                  <c:v>23.020833333335759</c:v>
                </c:pt>
                <c:pt idx="22">
                  <c:v>23.90625</c:v>
                </c:pt>
                <c:pt idx="23">
                  <c:v>24.930555555554747</c:v>
                </c:pt>
                <c:pt idx="24">
                  <c:v>26.243055555554747</c:v>
                </c:pt>
                <c:pt idx="25">
                  <c:v>27.03125</c:v>
                </c:pt>
                <c:pt idx="26">
                  <c:v>28.145833333335759</c:v>
                </c:pt>
                <c:pt idx="27">
                  <c:v>29.201388888890506</c:v>
                </c:pt>
                <c:pt idx="28">
                  <c:v>30.041666666664241</c:v>
                </c:pt>
                <c:pt idx="29">
                  <c:v>33.152777777781012</c:v>
                </c:pt>
                <c:pt idx="30">
                  <c:v>35.194444444445253</c:v>
                </c:pt>
                <c:pt idx="31">
                  <c:v>36.274305555554747</c:v>
                </c:pt>
              </c:numCache>
            </c:numRef>
          </c:xVal>
          <c:yVal>
            <c:numRef>
              <c:f>ferment.!$AI$8:$AI$139</c:f>
              <c:numCache>
                <c:formatCode>0.00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0.30065934066010991</c:v>
                </c:pt>
                <c:pt idx="4">
                  <c:v>0.4415331010438634</c:v>
                </c:pt>
                <c:pt idx="5">
                  <c:v>0.46238532110190511</c:v>
                </c:pt>
                <c:pt idx="6">
                  <c:v>0.44210526315789467</c:v>
                </c:pt>
                <c:pt idx="7">
                  <c:v>0.43534883720741674</c:v>
                </c:pt>
                <c:pt idx="8">
                  <c:v>0.46310088016409767</c:v>
                </c:pt>
                <c:pt idx="9">
                  <c:v>0.45911477869571599</c:v>
                </c:pt>
                <c:pt idx="10">
                  <c:v>0.45314685314722225</c:v>
                </c:pt>
                <c:pt idx="11">
                  <c:v>0.45633802816639502</c:v>
                </c:pt>
                <c:pt idx="12">
                  <c:v>0.43809523809523787</c:v>
                </c:pt>
                <c:pt idx="13">
                  <c:v>0.40171673819943221</c:v>
                </c:pt>
                <c:pt idx="14">
                  <c:v>0.40615384615384625</c:v>
                </c:pt>
                <c:pt idx="15">
                  <c:v>0.3937499999992834</c:v>
                </c:pt>
                <c:pt idx="16">
                  <c:v>0.38989169675123025</c:v>
                </c:pt>
                <c:pt idx="17">
                  <c:v>0.40449438202232074</c:v>
                </c:pt>
                <c:pt idx="18">
                  <c:v>0.40909090909199147</c:v>
                </c:pt>
                <c:pt idx="19">
                  <c:v>0.40111420612709314</c:v>
                </c:pt>
                <c:pt idx="20">
                  <c:v>0.40754716981060463</c:v>
                </c:pt>
                <c:pt idx="21">
                  <c:v>0.39999999999999958</c:v>
                </c:pt>
                <c:pt idx="22">
                  <c:v>0.39529411764814321</c:v>
                </c:pt>
                <c:pt idx="23">
                  <c:v>0.41491525423761455</c:v>
                </c:pt>
                <c:pt idx="24">
                  <c:v>0.40000000000000024</c:v>
                </c:pt>
                <c:pt idx="25">
                  <c:v>0.41233480176169068</c:v>
                </c:pt>
                <c:pt idx="26">
                  <c:v>0.40373831775613178</c:v>
                </c:pt>
                <c:pt idx="27">
                  <c:v>0.40263157894767576</c:v>
                </c:pt>
                <c:pt idx="28">
                  <c:v>0.38677685950599411</c:v>
                </c:pt>
                <c:pt idx="29">
                  <c:v>0.35357142857078533</c:v>
                </c:pt>
                <c:pt idx="30">
                  <c:v>0.35265306122490903</c:v>
                </c:pt>
                <c:pt idx="31">
                  <c:v>0.35189710610985075</c:v>
                </c:pt>
                <c:pt idx="32">
                  <c:v>0.35309168443409222</c:v>
                </c:pt>
                <c:pt idx="33">
                  <c:v>0.34999999999999964</c:v>
                </c:pt>
                <c:pt idx="34">
                  <c:v>0.35015197568438572</c:v>
                </c:pt>
                <c:pt idx="35">
                  <c:v>0.34916387959839101</c:v>
                </c:pt>
                <c:pt idx="36">
                  <c:v>0.36363636363636365</c:v>
                </c:pt>
                <c:pt idx="37">
                  <c:v>0.34160583941547706</c:v>
                </c:pt>
                <c:pt idx="38">
                  <c:v>0.35229357798240418</c:v>
                </c:pt>
                <c:pt idx="39">
                  <c:v>0.35675675675563245</c:v>
                </c:pt>
                <c:pt idx="40">
                  <c:v>0.40664451827179682</c:v>
                </c:pt>
                <c:pt idx="41">
                  <c:v>0.40248447204997984</c:v>
                </c:pt>
                <c:pt idx="42">
                  <c:v>0.40333730631693243</c:v>
                </c:pt>
                <c:pt idx="43">
                  <c:v>0.39840000000092679</c:v>
                </c:pt>
                <c:pt idx="44">
                  <c:v>0.38592000000036042</c:v>
                </c:pt>
                <c:pt idx="45">
                  <c:v>0.40143884892103254</c:v>
                </c:pt>
                <c:pt idx="46">
                  <c:v>0.41491525423761283</c:v>
                </c:pt>
                <c:pt idx="47">
                  <c:v>0.39718309859122392</c:v>
                </c:pt>
                <c:pt idx="48">
                  <c:v>0.39452054794457841</c:v>
                </c:pt>
                <c:pt idx="49">
                  <c:v>0.40131147541136514</c:v>
                </c:pt>
                <c:pt idx="50">
                  <c:v>0.40000000000000213</c:v>
                </c:pt>
                <c:pt idx="51">
                  <c:v>0.40047337278062395</c:v>
                </c:pt>
                <c:pt idx="52">
                  <c:v>0.3935691318333841</c:v>
                </c:pt>
                <c:pt idx="53">
                  <c:v>0.39512195121895372</c:v>
                </c:pt>
                <c:pt idx="54">
                  <c:v>0.38787878787878649</c:v>
                </c:pt>
                <c:pt idx="55">
                  <c:v>0.40947867298487928</c:v>
                </c:pt>
                <c:pt idx="56">
                  <c:v>0.39560439560540778</c:v>
                </c:pt>
                <c:pt idx="57">
                  <c:v>0.40096852300219477</c:v>
                </c:pt>
                <c:pt idx="58">
                  <c:v>0.40000000000000213</c:v>
                </c:pt>
                <c:pt idx="59">
                  <c:v>0.3891891891916392</c:v>
                </c:pt>
                <c:pt idx="60">
                  <c:v>0.44896073902990169</c:v>
                </c:pt>
                <c:pt idx="61">
                  <c:v>0.45128205128205184</c:v>
                </c:pt>
                <c:pt idx="62">
                  <c:v>0.44232081911017035</c:v>
                </c:pt>
                <c:pt idx="63">
                  <c:v>0.45148514851692767</c:v>
                </c:pt>
                <c:pt idx="64">
                  <c:v>0.45436893203678475</c:v>
                </c:pt>
                <c:pt idx="65">
                  <c:v>-4.4164146868206133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7A-4C5A-9CA3-A4BEE03B2A3C}"/>
            </c:ext>
          </c:extLst>
        </c:ser>
        <c:ser>
          <c:idx val="1"/>
          <c:order val="2"/>
          <c:tx>
            <c:strRef>
              <c:f>ferment.!$X$6</c:f>
              <c:strCache>
                <c:ptCount val="1"/>
                <c:pt idx="0">
                  <c:v>Viab</c:v>
                </c:pt>
              </c:strCache>
            </c:strRef>
          </c:tx>
          <c:marker>
            <c:symbol val="none"/>
          </c:marker>
          <c:xVal>
            <c:numRef>
              <c:f>ferment.!$E$8:$E$97</c:f>
              <c:numCache>
                <c:formatCode>0.00</c:formatCode>
                <c:ptCount val="90"/>
                <c:pt idx="0">
                  <c:v>2.0833333335758653E-2</c:v>
                </c:pt>
                <c:pt idx="1">
                  <c:v>0.98958333333575865</c:v>
                </c:pt>
                <c:pt idx="2">
                  <c:v>1.9513888888905058</c:v>
                </c:pt>
                <c:pt idx="3">
                  <c:v>2.8993055555547471</c:v>
                </c:pt>
                <c:pt idx="4">
                  <c:v>3.8958333333357587</c:v>
                </c:pt>
                <c:pt idx="5">
                  <c:v>5.03125</c:v>
                </c:pt>
                <c:pt idx="6">
                  <c:v>6.21875</c:v>
                </c:pt>
                <c:pt idx="7">
                  <c:v>6.9652777777810115</c:v>
                </c:pt>
                <c:pt idx="8">
                  <c:v>7.9909722222218988</c:v>
                </c:pt>
                <c:pt idx="9">
                  <c:v>8.9166666666642413</c:v>
                </c:pt>
                <c:pt idx="10">
                  <c:v>9.9097222222189885</c:v>
                </c:pt>
                <c:pt idx="11">
                  <c:v>10.895833333335759</c:v>
                </c:pt>
                <c:pt idx="12">
                  <c:v>12.208333333335759</c:v>
                </c:pt>
                <c:pt idx="13">
                  <c:v>13.017361111109494</c:v>
                </c:pt>
                <c:pt idx="14">
                  <c:v>15.048611111109494</c:v>
                </c:pt>
                <c:pt idx="15">
                  <c:v>15.9375</c:v>
                </c:pt>
                <c:pt idx="16">
                  <c:v>16.899305555554747</c:v>
                </c:pt>
                <c:pt idx="17">
                  <c:v>19.0625</c:v>
                </c:pt>
                <c:pt idx="18">
                  <c:v>19.979166666664241</c:v>
                </c:pt>
                <c:pt idx="19">
                  <c:v>21.225694444445253</c:v>
                </c:pt>
                <c:pt idx="20">
                  <c:v>22.145833333335759</c:v>
                </c:pt>
                <c:pt idx="21">
                  <c:v>23.020833333335759</c:v>
                </c:pt>
                <c:pt idx="22">
                  <c:v>23.90625</c:v>
                </c:pt>
                <c:pt idx="23">
                  <c:v>24.930555555554747</c:v>
                </c:pt>
                <c:pt idx="24">
                  <c:v>26.243055555554747</c:v>
                </c:pt>
                <c:pt idx="25">
                  <c:v>27.03125</c:v>
                </c:pt>
                <c:pt idx="26">
                  <c:v>28.145833333335759</c:v>
                </c:pt>
                <c:pt idx="27">
                  <c:v>29.201388888890506</c:v>
                </c:pt>
                <c:pt idx="28">
                  <c:v>30.041666666664241</c:v>
                </c:pt>
                <c:pt idx="29">
                  <c:v>33.152777777781012</c:v>
                </c:pt>
                <c:pt idx="30">
                  <c:v>35.194444444445253</c:v>
                </c:pt>
                <c:pt idx="31">
                  <c:v>36.274305555554747</c:v>
                </c:pt>
                <c:pt idx="32">
                  <c:v>37.902777777781012</c:v>
                </c:pt>
                <c:pt idx="33">
                  <c:v>38.902777777781012</c:v>
                </c:pt>
                <c:pt idx="34">
                  <c:v>41.1875</c:v>
                </c:pt>
                <c:pt idx="35">
                  <c:v>43.263888888890506</c:v>
                </c:pt>
                <c:pt idx="36">
                  <c:v>43.951388888890506</c:v>
                </c:pt>
                <c:pt idx="37">
                  <c:v>44.902777777781012</c:v>
                </c:pt>
                <c:pt idx="38">
                  <c:v>47.173611111109494</c:v>
                </c:pt>
                <c:pt idx="39">
                  <c:v>47.944444444445253</c:v>
                </c:pt>
                <c:pt idx="40">
                  <c:v>48.989583333335759</c:v>
                </c:pt>
                <c:pt idx="41">
                  <c:v>51.225694444445253</c:v>
                </c:pt>
                <c:pt idx="42">
                  <c:v>54.138888888890506</c:v>
                </c:pt>
                <c:pt idx="43">
                  <c:v>55.180555555554747</c:v>
                </c:pt>
                <c:pt idx="44">
                  <c:v>56.048611111109494</c:v>
                </c:pt>
                <c:pt idx="45">
                  <c:v>57.979166666664241</c:v>
                </c:pt>
                <c:pt idx="46">
                  <c:v>59.003472222218988</c:v>
                </c:pt>
                <c:pt idx="47">
                  <c:v>61.961805555554747</c:v>
                </c:pt>
                <c:pt idx="48">
                  <c:v>62.975694444445253</c:v>
                </c:pt>
                <c:pt idx="49">
                  <c:v>64.034722222218988</c:v>
                </c:pt>
                <c:pt idx="50">
                  <c:v>65.034722222218988</c:v>
                </c:pt>
                <c:pt idx="51">
                  <c:v>67.96875</c:v>
                </c:pt>
                <c:pt idx="52">
                  <c:v>69.048611111109494</c:v>
                </c:pt>
                <c:pt idx="53">
                  <c:v>70.1875</c:v>
                </c:pt>
                <c:pt idx="54">
                  <c:v>71.21875</c:v>
                </c:pt>
                <c:pt idx="55">
                  <c:v>71.951388888890506</c:v>
                </c:pt>
                <c:pt idx="56">
                  <c:v>72.899305555554747</c:v>
                </c:pt>
                <c:pt idx="57">
                  <c:v>77.201388888890506</c:v>
                </c:pt>
                <c:pt idx="58">
                  <c:v>78.201388888890506</c:v>
                </c:pt>
                <c:pt idx="59">
                  <c:v>78.972222222218988</c:v>
                </c:pt>
                <c:pt idx="60">
                  <c:v>81.979166666664241</c:v>
                </c:pt>
                <c:pt idx="61">
                  <c:v>83.197916666664241</c:v>
                </c:pt>
                <c:pt idx="62">
                  <c:v>84.215277777781012</c:v>
                </c:pt>
                <c:pt idx="63">
                  <c:v>85.267361111109494</c:v>
                </c:pt>
                <c:pt idx="64">
                  <c:v>85.982638888890506</c:v>
                </c:pt>
                <c:pt idx="65">
                  <c:v>87.590277777781012</c:v>
                </c:pt>
                <c:pt idx="66">
                  <c:v>88.631944444445253</c:v>
                </c:pt>
                <c:pt idx="67">
                  <c:v>89.673611111109494</c:v>
                </c:pt>
                <c:pt idx="68">
                  <c:v>90.715277777781012</c:v>
                </c:pt>
                <c:pt idx="69">
                  <c:v>91.756944444445253</c:v>
                </c:pt>
                <c:pt idx="70">
                  <c:v>87.798611111109494</c:v>
                </c:pt>
                <c:pt idx="71">
                  <c:v>88.840277777781012</c:v>
                </c:pt>
              </c:numCache>
            </c:numRef>
          </c:xVal>
          <c:yVal>
            <c:numRef>
              <c:f>ferment.!$X$8:$X$18</c:f>
              <c:numCache>
                <c:formatCode>0.00%</c:formatCode>
                <c:ptCount val="11"/>
                <c:pt idx="0">
                  <c:v>0.95854922279792742</c:v>
                </c:pt>
                <c:pt idx="1">
                  <c:v>0.96226415094339623</c:v>
                </c:pt>
                <c:pt idx="2">
                  <c:v>0.97389372338455837</c:v>
                </c:pt>
                <c:pt idx="3">
                  <c:v>0.97847656846283015</c:v>
                </c:pt>
                <c:pt idx="4">
                  <c:v>0.99241274658573597</c:v>
                </c:pt>
                <c:pt idx="5">
                  <c:v>0.98598949211908937</c:v>
                </c:pt>
                <c:pt idx="6">
                  <c:v>0.98515769944341369</c:v>
                </c:pt>
                <c:pt idx="7">
                  <c:v>0.90413495165603786</c:v>
                </c:pt>
                <c:pt idx="8">
                  <c:v>0.85947046843177188</c:v>
                </c:pt>
                <c:pt idx="9">
                  <c:v>0.92944949225013362</c:v>
                </c:pt>
                <c:pt idx="10">
                  <c:v>0.93203883495145634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7A-4C5A-9CA3-A4BEE03B2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051360"/>
        <c:axId val="319050968"/>
      </c:scatterChart>
      <c:valAx>
        <c:axId val="319050184"/>
        <c:scaling>
          <c:orientation val="minMax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lang="es-ES" sz="1400"/>
                </a:pPr>
                <a:r>
                  <a:rPr lang="es-ES" sz="1400"/>
                  <a:t>t (d)</a:t>
                </a:r>
              </a:p>
            </c:rich>
          </c:tx>
          <c:layout>
            <c:manualLayout>
              <c:xMode val="edge"/>
              <c:yMode val="edge"/>
              <c:x val="0.94980944276459511"/>
              <c:y val="0.93839601145419105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lang="es-ES" sz="1200"/>
            </a:pPr>
            <a:endParaRPr lang="es-ES"/>
          </a:p>
        </c:txPr>
        <c:crossAx val="319050576"/>
        <c:crosses val="autoZero"/>
        <c:crossBetween val="midCat"/>
      </c:valAx>
      <c:valAx>
        <c:axId val="31905057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lang="es-ES" sz="1200"/>
                </a:pPr>
                <a:r>
                  <a:rPr lang="en-US" sz="1200"/>
                  <a:t>Concentración</a:t>
                </a:r>
                <a:r>
                  <a:rPr lang="en-US" sz="1200" baseline="0"/>
                  <a:t> celular </a:t>
                </a:r>
                <a:r>
                  <a:rPr lang="en-US" sz="1200"/>
                  <a:t>(cell/mL)</a:t>
                </a:r>
              </a:p>
            </c:rich>
          </c:tx>
          <c:layout>
            <c:manualLayout>
              <c:xMode val="edge"/>
              <c:yMode val="edge"/>
              <c:x val="3.5616370535361146E-2"/>
              <c:y val="5.6543937312922864E-2"/>
            </c:manualLayout>
          </c:layout>
          <c:overlay val="0"/>
        </c:title>
        <c:numFmt formatCode="0.0E+00" sourceLinked="0"/>
        <c:majorTickMark val="none"/>
        <c:minorTickMark val="none"/>
        <c:tickLblPos val="nextTo"/>
        <c:txPr>
          <a:bodyPr/>
          <a:lstStyle/>
          <a:p>
            <a:pPr>
              <a:defRPr lang="es-ES" sz="1200"/>
            </a:pPr>
            <a:endParaRPr lang="es-ES"/>
          </a:p>
        </c:txPr>
        <c:crossAx val="319050184"/>
        <c:crosses val="autoZero"/>
        <c:crossBetween val="midCat"/>
        <c:majorUnit val="500000"/>
      </c:valAx>
      <c:valAx>
        <c:axId val="319050968"/>
        <c:scaling>
          <c:orientation val="minMax"/>
          <c:max val="1"/>
          <c:min val="0"/>
        </c:scaling>
        <c:delete val="0"/>
        <c:axPos val="r"/>
        <c:numFmt formatCode="0.00%" sourceLinked="0"/>
        <c:majorTickMark val="out"/>
        <c:minorTickMark val="none"/>
        <c:tickLblPos val="nextTo"/>
        <c:crossAx val="319051360"/>
        <c:crosses val="max"/>
        <c:crossBetween val="midCat"/>
      </c:valAx>
      <c:valAx>
        <c:axId val="31905136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one"/>
        <c:crossAx val="319050968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0.1672706608023394"/>
          <c:y val="0.18347311039842853"/>
          <c:w val="0.1270235313639497"/>
          <c:h val="0.12864967290209064"/>
        </c:manualLayout>
      </c:layout>
      <c:overlay val="0"/>
      <c:txPr>
        <a:bodyPr/>
        <a:lstStyle/>
        <a:p>
          <a:pPr>
            <a:defRPr lang="es-ES" sz="1200"/>
          </a:pPr>
          <a:endParaRPr lang="es-ES"/>
        </a:p>
      </c:txPr>
    </c:legend>
    <c:plotVisOnly val="1"/>
    <c:dispBlanksAs val="gap"/>
    <c:showDLblsOverMax val="0"/>
  </c:chart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Cells</a:t>
            </a:r>
            <a:r>
              <a:rPr lang="en-US" sz="2000" baseline="0"/>
              <a:t> viable vs Conc. IgG-4 </a:t>
            </a:r>
            <a:endParaRPr lang="en-US" sz="20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74984173572743"/>
          <c:y val="0.15366126057529125"/>
          <c:w val="0.75237345331833505"/>
          <c:h val="0.750641663038771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ferment.!$J$6</c:f>
              <c:strCache>
                <c:ptCount val="1"/>
                <c:pt idx="0">
                  <c:v>Xv(Promedio) </c:v>
                </c:pt>
              </c:strCache>
            </c:strRef>
          </c:tx>
          <c:xVal>
            <c:numRef>
              <c:f>ferment.!$E$8:$E$17</c:f>
              <c:numCache>
                <c:formatCode>0.00</c:formatCode>
                <c:ptCount val="10"/>
                <c:pt idx="0">
                  <c:v>2.0833333335758653E-2</c:v>
                </c:pt>
                <c:pt idx="1">
                  <c:v>0.98958333333575865</c:v>
                </c:pt>
                <c:pt idx="2">
                  <c:v>1.9513888888905058</c:v>
                </c:pt>
                <c:pt idx="3">
                  <c:v>2.8993055555547471</c:v>
                </c:pt>
                <c:pt idx="4">
                  <c:v>3.8958333333357587</c:v>
                </c:pt>
                <c:pt idx="5">
                  <c:v>5.03125</c:v>
                </c:pt>
                <c:pt idx="6">
                  <c:v>6.21875</c:v>
                </c:pt>
                <c:pt idx="7">
                  <c:v>6.9652777777810115</c:v>
                </c:pt>
                <c:pt idx="8">
                  <c:v>7.9909722222218988</c:v>
                </c:pt>
                <c:pt idx="9">
                  <c:v>8.9166666666642413</c:v>
                </c:pt>
              </c:numCache>
            </c:numRef>
          </c:xVal>
          <c:yVal>
            <c:numRef>
              <c:f>ferment.!$M$8:$M$17</c:f>
              <c:numCache>
                <c:formatCode>0.00E+00</c:formatCode>
                <c:ptCount val="10"/>
                <c:pt idx="0">
                  <c:v>462500</c:v>
                </c:pt>
                <c:pt idx="1">
                  <c:v>850000</c:v>
                </c:pt>
                <c:pt idx="2">
                  <c:v>1753333.3333333333</c:v>
                </c:pt>
                <c:pt idx="3">
                  <c:v>2991333.333333333</c:v>
                </c:pt>
                <c:pt idx="4">
                  <c:v>3270000</c:v>
                </c:pt>
                <c:pt idx="5">
                  <c:v>2815000</c:v>
                </c:pt>
                <c:pt idx="6">
                  <c:v>2655000</c:v>
                </c:pt>
                <c:pt idx="7">
                  <c:v>2197500</c:v>
                </c:pt>
                <c:pt idx="8">
                  <c:v>2813333.3333333335</c:v>
                </c:pt>
                <c:pt idx="9">
                  <c:v>2898333.3333333335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58-464A-85E7-FFB321D50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052536"/>
        <c:axId val="319052928"/>
      </c:scatterChart>
      <c:scatterChart>
        <c:scatterStyle val="lineMarker"/>
        <c:varyColors val="0"/>
        <c:ser>
          <c:idx val="2"/>
          <c:order val="1"/>
          <c:tx>
            <c:strRef>
              <c:f>ferment.!$BR$6</c:f>
              <c:strCache>
                <c:ptCount val="1"/>
                <c:pt idx="0">
                  <c:v>Conc. Her1 * Elisa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  <c:spPr>
              <a:solidFill>
                <a:schemeClr val="tx1"/>
              </a:solidFill>
            </c:spPr>
          </c:marker>
          <c:xVal>
            <c:numRef>
              <c:f>ferment.!$E$8:$E$25</c:f>
              <c:numCache>
                <c:formatCode>0.00</c:formatCode>
                <c:ptCount val="18"/>
                <c:pt idx="0">
                  <c:v>2.0833333335758653E-2</c:v>
                </c:pt>
                <c:pt idx="1">
                  <c:v>0.98958333333575865</c:v>
                </c:pt>
                <c:pt idx="2">
                  <c:v>1.9513888888905058</c:v>
                </c:pt>
                <c:pt idx="3">
                  <c:v>2.8993055555547471</c:v>
                </c:pt>
                <c:pt idx="4">
                  <c:v>3.8958333333357587</c:v>
                </c:pt>
                <c:pt idx="5">
                  <c:v>5.03125</c:v>
                </c:pt>
                <c:pt idx="6">
                  <c:v>6.21875</c:v>
                </c:pt>
                <c:pt idx="7">
                  <c:v>6.9652777777810115</c:v>
                </c:pt>
                <c:pt idx="8">
                  <c:v>7.9909722222218988</c:v>
                </c:pt>
                <c:pt idx="9">
                  <c:v>8.9166666666642413</c:v>
                </c:pt>
                <c:pt idx="10">
                  <c:v>9.9097222222189885</c:v>
                </c:pt>
                <c:pt idx="11">
                  <c:v>10.895833333335759</c:v>
                </c:pt>
                <c:pt idx="12">
                  <c:v>12.208333333335759</c:v>
                </c:pt>
                <c:pt idx="13">
                  <c:v>13.017361111109494</c:v>
                </c:pt>
                <c:pt idx="14">
                  <c:v>15.048611111109494</c:v>
                </c:pt>
                <c:pt idx="15">
                  <c:v>15.9375</c:v>
                </c:pt>
                <c:pt idx="16">
                  <c:v>16.899305555554747</c:v>
                </c:pt>
                <c:pt idx="17">
                  <c:v>19.0625</c:v>
                </c:pt>
              </c:numCache>
            </c:numRef>
          </c:xVal>
          <c:yVal>
            <c:numRef>
              <c:f>ferment.!$BH$8:$BH$17</c:f>
              <c:numCache>
                <c:formatCode>0.00</c:formatCode>
                <c:ptCount val="10"/>
                <c:pt idx="0">
                  <c:v>1.7011372499999999</c:v>
                </c:pt>
                <c:pt idx="1">
                  <c:v>4.5199999999999996</c:v>
                </c:pt>
                <c:pt idx="2">
                  <c:v>11.36</c:v>
                </c:pt>
                <c:pt idx="3">
                  <c:v>12.864999999999998</c:v>
                </c:pt>
                <c:pt idx="4">
                  <c:v>14.37</c:v>
                </c:pt>
                <c:pt idx="5">
                  <c:v>14.37</c:v>
                </c:pt>
                <c:pt idx="6">
                  <c:v>14.321497333333333</c:v>
                </c:pt>
                <c:pt idx="7">
                  <c:v>14.272994666666666</c:v>
                </c:pt>
                <c:pt idx="8">
                  <c:v>15.134007333333333</c:v>
                </c:pt>
                <c:pt idx="9">
                  <c:v>16.650417666666666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58-464A-85E7-FFB321D50DBC}"/>
            </c:ext>
          </c:extLst>
        </c:ser>
        <c:ser>
          <c:idx val="3"/>
          <c:order val="2"/>
          <c:tx>
            <c:strRef>
              <c:f>ferment.!$BY$7</c:f>
              <c:strCache>
                <c:ptCount val="1"/>
                <c:pt idx="0">
                  <c:v>Cs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000"/>
              </a:solidFill>
            </c:spPr>
          </c:marker>
          <c:xVal>
            <c:numRef>
              <c:f>ferment.!$E$8:$E$51</c:f>
              <c:numCache>
                <c:formatCode>0.00</c:formatCode>
                <c:ptCount val="44"/>
                <c:pt idx="0">
                  <c:v>2.0833333335758653E-2</c:v>
                </c:pt>
                <c:pt idx="1">
                  <c:v>0.98958333333575865</c:v>
                </c:pt>
                <c:pt idx="2">
                  <c:v>1.9513888888905058</c:v>
                </c:pt>
                <c:pt idx="3">
                  <c:v>2.8993055555547471</c:v>
                </c:pt>
                <c:pt idx="4">
                  <c:v>3.8958333333357587</c:v>
                </c:pt>
                <c:pt idx="5">
                  <c:v>5.03125</c:v>
                </c:pt>
                <c:pt idx="6">
                  <c:v>6.21875</c:v>
                </c:pt>
                <c:pt idx="7">
                  <c:v>6.9652777777810115</c:v>
                </c:pt>
                <c:pt idx="8">
                  <c:v>7.9909722222218988</c:v>
                </c:pt>
                <c:pt idx="9">
                  <c:v>8.9166666666642413</c:v>
                </c:pt>
                <c:pt idx="10">
                  <c:v>9.9097222222189885</c:v>
                </c:pt>
                <c:pt idx="11">
                  <c:v>10.895833333335759</c:v>
                </c:pt>
                <c:pt idx="12">
                  <c:v>12.208333333335759</c:v>
                </c:pt>
                <c:pt idx="13">
                  <c:v>13.017361111109494</c:v>
                </c:pt>
                <c:pt idx="14">
                  <c:v>15.048611111109494</c:v>
                </c:pt>
                <c:pt idx="15">
                  <c:v>15.9375</c:v>
                </c:pt>
                <c:pt idx="16">
                  <c:v>16.899305555554747</c:v>
                </c:pt>
                <c:pt idx="17">
                  <c:v>19.0625</c:v>
                </c:pt>
                <c:pt idx="18">
                  <c:v>19.979166666664241</c:v>
                </c:pt>
                <c:pt idx="19">
                  <c:v>21.225694444445253</c:v>
                </c:pt>
                <c:pt idx="20">
                  <c:v>22.145833333335759</c:v>
                </c:pt>
                <c:pt idx="21">
                  <c:v>23.020833333335759</c:v>
                </c:pt>
                <c:pt idx="22">
                  <c:v>23.90625</c:v>
                </c:pt>
                <c:pt idx="23">
                  <c:v>24.930555555554747</c:v>
                </c:pt>
                <c:pt idx="24">
                  <c:v>26.243055555554747</c:v>
                </c:pt>
                <c:pt idx="25">
                  <c:v>27.03125</c:v>
                </c:pt>
                <c:pt idx="26">
                  <c:v>28.145833333335759</c:v>
                </c:pt>
                <c:pt idx="27">
                  <c:v>29.201388888890506</c:v>
                </c:pt>
                <c:pt idx="28">
                  <c:v>30.041666666664241</c:v>
                </c:pt>
                <c:pt idx="29">
                  <c:v>33.152777777781012</c:v>
                </c:pt>
                <c:pt idx="30">
                  <c:v>35.194444444445253</c:v>
                </c:pt>
                <c:pt idx="31">
                  <c:v>36.274305555554747</c:v>
                </c:pt>
                <c:pt idx="32">
                  <c:v>37.902777777781012</c:v>
                </c:pt>
                <c:pt idx="33">
                  <c:v>38.902777777781012</c:v>
                </c:pt>
                <c:pt idx="34">
                  <c:v>41.1875</c:v>
                </c:pt>
                <c:pt idx="35">
                  <c:v>43.263888888890506</c:v>
                </c:pt>
                <c:pt idx="36">
                  <c:v>43.951388888890506</c:v>
                </c:pt>
                <c:pt idx="37">
                  <c:v>44.902777777781012</c:v>
                </c:pt>
                <c:pt idx="38">
                  <c:v>47.173611111109494</c:v>
                </c:pt>
                <c:pt idx="39">
                  <c:v>47.944444444445253</c:v>
                </c:pt>
                <c:pt idx="40">
                  <c:v>48.989583333335759</c:v>
                </c:pt>
                <c:pt idx="41">
                  <c:v>51.225694444445253</c:v>
                </c:pt>
                <c:pt idx="42">
                  <c:v>54.138888888890506</c:v>
                </c:pt>
                <c:pt idx="43">
                  <c:v>55.180555555554747</c:v>
                </c:pt>
              </c:numCache>
            </c:numRef>
          </c:xVal>
          <c:yVal>
            <c:numRef>
              <c:f>ferment.!$CA$8:$CA$51</c:f>
              <c:numCache>
                <c:formatCode>0.00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0.16116593406634638</c:v>
                </c:pt>
                <c:pt idx="4">
                  <c:v>0.2643679442500132</c:v>
                </c:pt>
                <c:pt idx="5">
                  <c:v>0.27685321100976568</c:v>
                </c:pt>
                <c:pt idx="6">
                  <c:v>0.26381705614035084</c:v>
                </c:pt>
                <c:pt idx="7">
                  <c:v>0.25890548465004137</c:v>
                </c:pt>
                <c:pt idx="8">
                  <c:v>0.29202383818652394</c:v>
                </c:pt>
                <c:pt idx="9">
                  <c:v>0.3185188675926211</c:v>
                </c:pt>
                <c:pt idx="10">
                  <c:v>0.31858427832193781</c:v>
                </c:pt>
                <c:pt idx="11">
                  <c:v>0.30502660563205214</c:v>
                </c:pt>
                <c:pt idx="12">
                  <c:v>0.12432359153439149</c:v>
                </c:pt>
                <c:pt idx="13">
                  <c:v>0.16017704506517805</c:v>
                </c:pt>
                <c:pt idx="14">
                  <c:v>2.1601800000000004E-2</c:v>
                </c:pt>
                <c:pt idx="15">
                  <c:v>2.0327149609338006E-2</c:v>
                </c:pt>
                <c:pt idx="16">
                  <c:v>1.9519055956695109E-2</c:v>
                </c:pt>
                <c:pt idx="17">
                  <c:v>1.5664691011230102E-2</c:v>
                </c:pt>
                <c:pt idx="18">
                  <c:v>4.5173965909210433E-2</c:v>
                </c:pt>
                <c:pt idx="19">
                  <c:v>5.0307727019368101E-2</c:v>
                </c:pt>
                <c:pt idx="20">
                  <c:v>5.3243116981038521E-2</c:v>
                </c:pt>
                <c:pt idx="21">
                  <c:v>5.434628333333328E-2</c:v>
                </c:pt>
                <c:pt idx="22">
                  <c:v>5.670186941192025E-2</c:v>
                </c:pt>
                <c:pt idx="23">
                  <c:v>3.1880558135618305E-2</c:v>
                </c:pt>
                <c:pt idx="24">
                  <c:v>0.19726161666666678</c:v>
                </c:pt>
                <c:pt idx="25">
                  <c:v>0.19147552246676353</c:v>
                </c:pt>
                <c:pt idx="26">
                  <c:v>0.19001001308369914</c:v>
                </c:pt>
                <c:pt idx="27">
                  <c:v>0.16683567927644311</c:v>
                </c:pt>
                <c:pt idx="28">
                  <c:v>0.18463037272816155</c:v>
                </c:pt>
                <c:pt idx="29">
                  <c:v>0.17895709955324587</c:v>
                </c:pt>
                <c:pt idx="30">
                  <c:v>0.29133142040850957</c:v>
                </c:pt>
                <c:pt idx="31">
                  <c:v>0.36440160360183088</c:v>
                </c:pt>
                <c:pt idx="32">
                  <c:v>0.46359347291995884</c:v>
                </c:pt>
                <c:pt idx="33">
                  <c:v>0.46931694930555506</c:v>
                </c:pt>
                <c:pt idx="34">
                  <c:v>0.3482413860187295</c:v>
                </c:pt>
                <c:pt idx="35">
                  <c:v>0.27321178846132621</c:v>
                </c:pt>
                <c:pt idx="36">
                  <c:v>0.27160618686868693</c:v>
                </c:pt>
                <c:pt idx="37">
                  <c:v>0.20680677554709334</c:v>
                </c:pt>
                <c:pt idx="38">
                  <c:v>0.17711420183524085</c:v>
                </c:pt>
                <c:pt idx="39">
                  <c:v>0.10657624999966413</c:v>
                </c:pt>
                <c:pt idx="40">
                  <c:v>0.15089994651139471</c:v>
                </c:pt>
                <c:pt idx="41">
                  <c:v>0.1629201633541548</c:v>
                </c:pt>
                <c:pt idx="42">
                  <c:v>0.20372513003570047</c:v>
                </c:pt>
                <c:pt idx="43">
                  <c:v>0.16008767206703906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58-464A-85E7-FFB321D50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053712"/>
        <c:axId val="319053320"/>
      </c:scatterChart>
      <c:valAx>
        <c:axId val="31905253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t (d)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319052928"/>
        <c:crosses val="autoZero"/>
        <c:crossBetween val="midCat"/>
      </c:valAx>
      <c:valAx>
        <c:axId val="31905292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800"/>
                </a:pPr>
                <a:r>
                  <a:rPr lang="en-US" sz="1800"/>
                  <a:t>Xv</a:t>
                </a:r>
                <a:r>
                  <a:rPr lang="en-US" sz="1800" baseline="0"/>
                  <a:t> (Cell/mL)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3.5139095480946313E-2"/>
              <c:y val="4.4736407756660851E-2"/>
            </c:manualLayout>
          </c:layout>
          <c:overlay val="0"/>
        </c:title>
        <c:numFmt formatCode="0.0E+0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319052536"/>
        <c:crosses val="autoZero"/>
        <c:crossBetween val="midCat"/>
      </c:valAx>
      <c:valAx>
        <c:axId val="319053320"/>
        <c:scaling>
          <c:orientation val="minMax"/>
        </c:scaling>
        <c:delete val="0"/>
        <c:axPos val="r"/>
        <c:title>
          <c:tx>
            <c:rich>
              <a:bodyPr rot="0" vert="horz" anchor="ctr" anchorCtr="0"/>
              <a:lstStyle/>
              <a:p>
                <a:pPr>
                  <a:defRPr sz="1800"/>
                </a:pPr>
                <a:r>
                  <a:rPr lang="en-US" sz="1800"/>
                  <a:t>Conc. IgG (mg/L)</a:t>
                </a:r>
              </a:p>
            </c:rich>
          </c:tx>
          <c:layout>
            <c:manualLayout>
              <c:xMode val="edge"/>
              <c:yMode val="edge"/>
              <c:x val="0.86303585128781968"/>
              <c:y val="4.3959277817545536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319053712"/>
        <c:crosses val="max"/>
        <c:crossBetween val="midCat"/>
      </c:valAx>
      <c:valAx>
        <c:axId val="31905371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one"/>
        <c:crossAx val="319053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753598107928811"/>
          <c:y val="0.16404565338423602"/>
          <c:w val="0.21109942026477457"/>
          <c:h val="0.10374845722210156"/>
        </c:manualLayout>
      </c:layout>
      <c:overlay val="0"/>
      <c:txPr>
        <a:bodyPr/>
        <a:lstStyle/>
        <a:p>
          <a:pPr>
            <a:defRPr sz="1400"/>
          </a:pPr>
          <a:endParaRPr lang="es-ES"/>
        </a:p>
      </c:txPr>
    </c:legend>
    <c:plotVisOnly val="1"/>
    <c:dispBlanksAs val="gap"/>
    <c:showDLblsOverMax val="0"/>
  </c:chart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41206274497162"/>
          <c:y val="0.18879635343387718"/>
          <c:w val="0.78821697166542559"/>
          <c:h val="0.74590444169383474"/>
        </c:manualLayout>
      </c:layout>
      <c:scatterChart>
        <c:scatterStyle val="lineMarker"/>
        <c:varyColors val="0"/>
        <c:ser>
          <c:idx val="2"/>
          <c:order val="0"/>
          <c:tx>
            <c:strRef>
              <c:f>ferment.!$J$6</c:f>
              <c:strCache>
                <c:ptCount val="1"/>
                <c:pt idx="0">
                  <c:v>Xv(Promedio) </c:v>
                </c:pt>
              </c:strCache>
            </c:strRef>
          </c:tx>
          <c:spPr>
            <a:ln w="38100">
              <a:solidFill>
                <a:srgbClr val="0070C0"/>
              </a:solidFill>
            </a:ln>
          </c:spPr>
          <c:marker>
            <c:symbol val="diamond"/>
            <c:size val="9"/>
            <c:spPr>
              <a:solidFill>
                <a:schemeClr val="accent1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ferment.!$E$8:$E$97</c:f>
              <c:numCache>
                <c:formatCode>0.00</c:formatCode>
                <c:ptCount val="90"/>
                <c:pt idx="0">
                  <c:v>2.0833333335758653E-2</c:v>
                </c:pt>
                <c:pt idx="1">
                  <c:v>0.98958333333575865</c:v>
                </c:pt>
                <c:pt idx="2">
                  <c:v>1.9513888888905058</c:v>
                </c:pt>
                <c:pt idx="3">
                  <c:v>2.8993055555547471</c:v>
                </c:pt>
                <c:pt idx="4">
                  <c:v>3.8958333333357587</c:v>
                </c:pt>
                <c:pt idx="5">
                  <c:v>5.03125</c:v>
                </c:pt>
                <c:pt idx="6">
                  <c:v>6.21875</c:v>
                </c:pt>
                <c:pt idx="7">
                  <c:v>6.9652777777810115</c:v>
                </c:pt>
                <c:pt idx="8">
                  <c:v>7.9909722222218988</c:v>
                </c:pt>
                <c:pt idx="9">
                  <c:v>8.9166666666642413</c:v>
                </c:pt>
                <c:pt idx="10">
                  <c:v>9.9097222222189885</c:v>
                </c:pt>
                <c:pt idx="11">
                  <c:v>10.895833333335759</c:v>
                </c:pt>
                <c:pt idx="12">
                  <c:v>12.208333333335759</c:v>
                </c:pt>
                <c:pt idx="13">
                  <c:v>13.017361111109494</c:v>
                </c:pt>
                <c:pt idx="14">
                  <c:v>15.048611111109494</c:v>
                </c:pt>
                <c:pt idx="15">
                  <c:v>15.9375</c:v>
                </c:pt>
                <c:pt idx="16">
                  <c:v>16.899305555554747</c:v>
                </c:pt>
                <c:pt idx="17">
                  <c:v>19.0625</c:v>
                </c:pt>
                <c:pt idx="18">
                  <c:v>19.979166666664241</c:v>
                </c:pt>
                <c:pt idx="19">
                  <c:v>21.225694444445253</c:v>
                </c:pt>
                <c:pt idx="20">
                  <c:v>22.145833333335759</c:v>
                </c:pt>
                <c:pt idx="21">
                  <c:v>23.020833333335759</c:v>
                </c:pt>
                <c:pt idx="22">
                  <c:v>23.90625</c:v>
                </c:pt>
                <c:pt idx="23">
                  <c:v>24.930555555554747</c:v>
                </c:pt>
                <c:pt idx="24">
                  <c:v>26.243055555554747</c:v>
                </c:pt>
                <c:pt idx="25">
                  <c:v>27.03125</c:v>
                </c:pt>
                <c:pt idx="26">
                  <c:v>28.145833333335759</c:v>
                </c:pt>
                <c:pt idx="27">
                  <c:v>29.201388888890506</c:v>
                </c:pt>
                <c:pt idx="28">
                  <c:v>30.041666666664241</c:v>
                </c:pt>
                <c:pt idx="29">
                  <c:v>33.152777777781012</c:v>
                </c:pt>
                <c:pt idx="30">
                  <c:v>35.194444444445253</c:v>
                </c:pt>
                <c:pt idx="31">
                  <c:v>36.274305555554747</c:v>
                </c:pt>
                <c:pt idx="32">
                  <c:v>37.902777777781012</c:v>
                </c:pt>
                <c:pt idx="33">
                  <c:v>38.902777777781012</c:v>
                </c:pt>
                <c:pt idx="34">
                  <c:v>41.1875</c:v>
                </c:pt>
                <c:pt idx="35">
                  <c:v>43.263888888890506</c:v>
                </c:pt>
                <c:pt idx="36">
                  <c:v>43.951388888890506</c:v>
                </c:pt>
                <c:pt idx="37">
                  <c:v>44.902777777781012</c:v>
                </c:pt>
                <c:pt idx="38">
                  <c:v>47.173611111109494</c:v>
                </c:pt>
                <c:pt idx="39">
                  <c:v>47.944444444445253</c:v>
                </c:pt>
                <c:pt idx="40">
                  <c:v>48.989583333335759</c:v>
                </c:pt>
                <c:pt idx="41">
                  <c:v>51.225694444445253</c:v>
                </c:pt>
                <c:pt idx="42">
                  <c:v>54.138888888890506</c:v>
                </c:pt>
                <c:pt idx="43">
                  <c:v>55.180555555554747</c:v>
                </c:pt>
                <c:pt idx="44">
                  <c:v>56.048611111109494</c:v>
                </c:pt>
                <c:pt idx="45">
                  <c:v>57.979166666664241</c:v>
                </c:pt>
                <c:pt idx="46">
                  <c:v>59.003472222218988</c:v>
                </c:pt>
                <c:pt idx="47">
                  <c:v>61.961805555554747</c:v>
                </c:pt>
                <c:pt idx="48">
                  <c:v>62.975694444445253</c:v>
                </c:pt>
                <c:pt idx="49">
                  <c:v>64.034722222218988</c:v>
                </c:pt>
                <c:pt idx="50">
                  <c:v>65.034722222218988</c:v>
                </c:pt>
                <c:pt idx="51">
                  <c:v>67.96875</c:v>
                </c:pt>
                <c:pt idx="52">
                  <c:v>69.048611111109494</c:v>
                </c:pt>
                <c:pt idx="53">
                  <c:v>70.1875</c:v>
                </c:pt>
                <c:pt idx="54">
                  <c:v>71.21875</c:v>
                </c:pt>
                <c:pt idx="55">
                  <c:v>71.951388888890506</c:v>
                </c:pt>
                <c:pt idx="56">
                  <c:v>72.899305555554747</c:v>
                </c:pt>
                <c:pt idx="57">
                  <c:v>77.201388888890506</c:v>
                </c:pt>
                <c:pt idx="58">
                  <c:v>78.201388888890506</c:v>
                </c:pt>
                <c:pt idx="59">
                  <c:v>78.972222222218988</c:v>
                </c:pt>
                <c:pt idx="60">
                  <c:v>81.979166666664241</c:v>
                </c:pt>
                <c:pt idx="61">
                  <c:v>83.197916666664241</c:v>
                </c:pt>
                <c:pt idx="62">
                  <c:v>84.215277777781012</c:v>
                </c:pt>
                <c:pt idx="63">
                  <c:v>85.267361111109494</c:v>
                </c:pt>
                <c:pt idx="64">
                  <c:v>85.982638888890506</c:v>
                </c:pt>
                <c:pt idx="65">
                  <c:v>87.590277777781012</c:v>
                </c:pt>
                <c:pt idx="66">
                  <c:v>88.631944444445253</c:v>
                </c:pt>
                <c:pt idx="67">
                  <c:v>89.673611111109494</c:v>
                </c:pt>
                <c:pt idx="68">
                  <c:v>90.715277777781012</c:v>
                </c:pt>
                <c:pt idx="69">
                  <c:v>91.756944444445253</c:v>
                </c:pt>
                <c:pt idx="70">
                  <c:v>87.798611111109494</c:v>
                </c:pt>
                <c:pt idx="71">
                  <c:v>88.840277777781012</c:v>
                </c:pt>
              </c:numCache>
            </c:numRef>
          </c:xVal>
          <c:yVal>
            <c:numRef>
              <c:f>ferment.!$M$8:$M$41</c:f>
              <c:numCache>
                <c:formatCode>0.00E+00</c:formatCode>
                <c:ptCount val="34"/>
                <c:pt idx="0">
                  <c:v>462500</c:v>
                </c:pt>
                <c:pt idx="1">
                  <c:v>850000</c:v>
                </c:pt>
                <c:pt idx="2">
                  <c:v>1753333.3333333333</c:v>
                </c:pt>
                <c:pt idx="3">
                  <c:v>2991333.333333333</c:v>
                </c:pt>
                <c:pt idx="4">
                  <c:v>3270000</c:v>
                </c:pt>
                <c:pt idx="5">
                  <c:v>2815000</c:v>
                </c:pt>
                <c:pt idx="6">
                  <c:v>2655000</c:v>
                </c:pt>
                <c:pt idx="7">
                  <c:v>2197500</c:v>
                </c:pt>
                <c:pt idx="8">
                  <c:v>2813333.3333333335</c:v>
                </c:pt>
                <c:pt idx="9">
                  <c:v>2898333.3333333335</c:v>
                </c:pt>
                <c:pt idx="10">
                  <c:v>2880000</c:v>
                </c:pt>
                <c:pt idx="11">
                  <c:v>3210000</c:v>
                </c:pt>
                <c:pt idx="12">
                  <c:v>2870000</c:v>
                </c:pt>
                <c:pt idx="13">
                  <c:v>2380000</c:v>
                </c:pt>
                <c:pt idx="14">
                  <c:v>3353333.3333333335</c:v>
                </c:pt>
                <c:pt idx="15">
                  <c:v>3673333.3333333335</c:v>
                </c:pt>
                <c:pt idx="16">
                  <c:v>4250000</c:v>
                </c:pt>
                <c:pt idx="17">
                  <c:v>5190000</c:v>
                </c:pt>
                <c:pt idx="18">
                  <c:v>6375000</c:v>
                </c:pt>
                <c:pt idx="19">
                  <c:v>7245000</c:v>
                </c:pt>
                <c:pt idx="20">
                  <c:v>6360000</c:v>
                </c:pt>
                <c:pt idx="21">
                  <c:v>6900000</c:v>
                </c:pt>
                <c:pt idx="22">
                  <c:v>6850000</c:v>
                </c:pt>
                <c:pt idx="23">
                  <c:v>7995000</c:v>
                </c:pt>
                <c:pt idx="24">
                  <c:v>7470000</c:v>
                </c:pt>
                <c:pt idx="25">
                  <c:v>8280000</c:v>
                </c:pt>
                <c:pt idx="26">
                  <c:v>8830000</c:v>
                </c:pt>
                <c:pt idx="27">
                  <c:v>8760000</c:v>
                </c:pt>
                <c:pt idx="28">
                  <c:v>8805000</c:v>
                </c:pt>
                <c:pt idx="29">
                  <c:v>8800000</c:v>
                </c:pt>
                <c:pt idx="30">
                  <c:v>9705000</c:v>
                </c:pt>
                <c:pt idx="31">
                  <c:v>9375000</c:v>
                </c:pt>
                <c:pt idx="32">
                  <c:v>7485000</c:v>
                </c:pt>
                <c:pt idx="33">
                  <c:v>6900000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6-4F6D-A1F6-8CA22986F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055280"/>
        <c:axId val="319055672"/>
      </c:scatterChart>
      <c:scatterChart>
        <c:scatterStyle val="lineMarker"/>
        <c:varyColors val="0"/>
        <c:ser>
          <c:idx val="0"/>
          <c:order val="1"/>
          <c:tx>
            <c:strRef>
              <c:f>Cosechas!$AI$6:$AI$7</c:f>
              <c:strCache>
                <c:ptCount val="2"/>
                <c:pt idx="0">
                  <c:v>VVD</c:v>
                </c:pt>
                <c:pt idx="1">
                  <c:v>perfusión</c:v>
                </c:pt>
              </c:strCache>
            </c:strRef>
          </c:tx>
          <c:spPr>
            <a:ln w="3810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Cosechas!$AE$8:$AE$740</c:f>
              <c:numCache>
                <c:formatCode>0.00</c:formatCode>
                <c:ptCount val="733"/>
                <c:pt idx="0">
                  <c:v>1.9791666666642413</c:v>
                </c:pt>
                <c:pt idx="1">
                  <c:v>1.9791666666642413</c:v>
                </c:pt>
                <c:pt idx="2">
                  <c:v>2.9236111111094942</c:v>
                </c:pt>
                <c:pt idx="3">
                  <c:v>2.9236111111094942</c:v>
                </c:pt>
                <c:pt idx="4">
                  <c:v>12.229166666664241</c:v>
                </c:pt>
                <c:pt idx="5">
                  <c:v>12.229166666664241</c:v>
                </c:pt>
                <c:pt idx="6">
                  <c:v>13.479166666664241</c:v>
                </c:pt>
                <c:pt idx="7">
                  <c:v>13.479166666664241</c:v>
                </c:pt>
                <c:pt idx="8">
                  <c:v>25.895833333335759</c:v>
                </c:pt>
                <c:pt idx="9">
                  <c:v>25.895833333335759</c:v>
                </c:pt>
                <c:pt idx="10">
                  <c:v>30.020833333335759</c:v>
                </c:pt>
                <c:pt idx="11">
                  <c:v>30.020833333335759</c:v>
                </c:pt>
                <c:pt idx="12">
                  <c:v>39.645833333335759</c:v>
                </c:pt>
                <c:pt idx="13">
                  <c:v>39.645833333335759</c:v>
                </c:pt>
                <c:pt idx="14">
                  <c:v>17.020833333335759</c:v>
                </c:pt>
                <c:pt idx="15">
                  <c:v>17.020833333335759</c:v>
                </c:pt>
                <c:pt idx="16">
                  <c:v>-672.97916666666424</c:v>
                </c:pt>
                <c:pt idx="17">
                  <c:v>-672.97916666666424</c:v>
                </c:pt>
                <c:pt idx="18">
                  <c:v>-671.97916666666424</c:v>
                </c:pt>
                <c:pt idx="19">
                  <c:v>-671.97916666666424</c:v>
                </c:pt>
                <c:pt idx="20">
                  <c:v>-670.97916666666424</c:v>
                </c:pt>
                <c:pt idx="21">
                  <c:v>-670.97916666666424</c:v>
                </c:pt>
                <c:pt idx="22">
                  <c:v>-669.97916666666424</c:v>
                </c:pt>
                <c:pt idx="23">
                  <c:v>-669.97916666666424</c:v>
                </c:pt>
                <c:pt idx="24">
                  <c:v>-668.97916666666424</c:v>
                </c:pt>
                <c:pt idx="25">
                  <c:v>-668.97916666666424</c:v>
                </c:pt>
                <c:pt idx="26">
                  <c:v>-715.50972222222481</c:v>
                </c:pt>
                <c:pt idx="27">
                  <c:v>-715.50972222222481</c:v>
                </c:pt>
                <c:pt idx="28">
                  <c:v>-713.97916666666424</c:v>
                </c:pt>
                <c:pt idx="29">
                  <c:v>-713.97916666666424</c:v>
                </c:pt>
                <c:pt idx="30">
                  <c:v>-712.97916666666424</c:v>
                </c:pt>
                <c:pt idx="31">
                  <c:v>-712.97916666666424</c:v>
                </c:pt>
                <c:pt idx="32">
                  <c:v>-711.97916666666424</c:v>
                </c:pt>
                <c:pt idx="33">
                  <c:v>-711.97916666666424</c:v>
                </c:pt>
                <c:pt idx="34">
                  <c:v>-710.97916666666424</c:v>
                </c:pt>
                <c:pt idx="35">
                  <c:v>-710.97916666666424</c:v>
                </c:pt>
                <c:pt idx="36">
                  <c:v>-708.97916666666424</c:v>
                </c:pt>
                <c:pt idx="37">
                  <c:v>-708.97916666666424</c:v>
                </c:pt>
                <c:pt idx="38">
                  <c:v>-707.97916666666424</c:v>
                </c:pt>
                <c:pt idx="39">
                  <c:v>-707.97916666666424</c:v>
                </c:pt>
                <c:pt idx="40">
                  <c:v>-705.97916666666424</c:v>
                </c:pt>
                <c:pt idx="41">
                  <c:v>-705.97916666666424</c:v>
                </c:pt>
                <c:pt idx="42">
                  <c:v>-704.97916666666424</c:v>
                </c:pt>
                <c:pt idx="43">
                  <c:v>-704.97916666666424</c:v>
                </c:pt>
                <c:pt idx="44">
                  <c:v>-703.97916666666424</c:v>
                </c:pt>
                <c:pt idx="45">
                  <c:v>-703.97916666666424</c:v>
                </c:pt>
                <c:pt idx="46">
                  <c:v>-702.97916666666424</c:v>
                </c:pt>
                <c:pt idx="47">
                  <c:v>-702.97916666666424</c:v>
                </c:pt>
                <c:pt idx="48">
                  <c:v>-701.97916666666424</c:v>
                </c:pt>
                <c:pt idx="49">
                  <c:v>-701.97916666666424</c:v>
                </c:pt>
                <c:pt idx="50">
                  <c:v>-700.97916666666424</c:v>
                </c:pt>
                <c:pt idx="51">
                  <c:v>-700.97916666666424</c:v>
                </c:pt>
                <c:pt idx="52">
                  <c:v>-699.97916666666424</c:v>
                </c:pt>
                <c:pt idx="53">
                  <c:v>-699.97916666666424</c:v>
                </c:pt>
                <c:pt idx="54">
                  <c:v>-698.97916666666424</c:v>
                </c:pt>
                <c:pt idx="55">
                  <c:v>-698.97916666666424</c:v>
                </c:pt>
                <c:pt idx="56">
                  <c:v>-697.97916666666424</c:v>
                </c:pt>
                <c:pt idx="57">
                  <c:v>-697.97916666666424</c:v>
                </c:pt>
                <c:pt idx="58">
                  <c:v>-695.97916666666424</c:v>
                </c:pt>
                <c:pt idx="59">
                  <c:v>-695.97916666666424</c:v>
                </c:pt>
                <c:pt idx="60">
                  <c:v>-695.0625</c:v>
                </c:pt>
                <c:pt idx="61">
                  <c:v>-695.0625</c:v>
                </c:pt>
                <c:pt idx="62">
                  <c:v>-692.97916666666424</c:v>
                </c:pt>
                <c:pt idx="63">
                  <c:v>-692.97916666666424</c:v>
                </c:pt>
                <c:pt idx="64">
                  <c:v>-691.6875</c:v>
                </c:pt>
                <c:pt idx="65">
                  <c:v>-691.6875</c:v>
                </c:pt>
                <c:pt idx="66">
                  <c:v>-687.97916666666424</c:v>
                </c:pt>
                <c:pt idx="67">
                  <c:v>-687.97916666666424</c:v>
                </c:pt>
                <c:pt idx="68">
                  <c:v>-2056.9791666666642</c:v>
                </c:pt>
                <c:pt idx="69">
                  <c:v>-2056.9791666666642</c:v>
                </c:pt>
                <c:pt idx="70">
                  <c:v>-2055.9791666666642</c:v>
                </c:pt>
                <c:pt idx="71">
                  <c:v>-2055.9791666666642</c:v>
                </c:pt>
                <c:pt idx="72">
                  <c:v>-2054.9791666666642</c:v>
                </c:pt>
                <c:pt idx="73">
                  <c:v>-2054.9791666666642</c:v>
                </c:pt>
                <c:pt idx="74">
                  <c:v>-2053.9791666666642</c:v>
                </c:pt>
                <c:pt idx="75">
                  <c:v>-2053.9791666666642</c:v>
                </c:pt>
                <c:pt idx="76">
                  <c:v>-2052.9791666666642</c:v>
                </c:pt>
                <c:pt idx="77">
                  <c:v>-2052.9791666666642</c:v>
                </c:pt>
                <c:pt idx="78">
                  <c:v>-2051.9791666666642</c:v>
                </c:pt>
                <c:pt idx="79">
                  <c:v>-2051.9791666666642</c:v>
                </c:pt>
                <c:pt idx="80">
                  <c:v>-2050.9791666666642</c:v>
                </c:pt>
                <c:pt idx="81">
                  <c:v>-2050.9791666666642</c:v>
                </c:pt>
                <c:pt idx="82">
                  <c:v>-2049.9791666666642</c:v>
                </c:pt>
                <c:pt idx="83">
                  <c:v>-2049.9791666666642</c:v>
                </c:pt>
                <c:pt idx="84">
                  <c:v>-2048.9791666666642</c:v>
                </c:pt>
                <c:pt idx="85">
                  <c:v>-2048.9791666666642</c:v>
                </c:pt>
                <c:pt idx="86">
                  <c:v>-2047.9791666666642</c:v>
                </c:pt>
                <c:pt idx="87">
                  <c:v>-2047.9791666666642</c:v>
                </c:pt>
                <c:pt idx="88">
                  <c:v>-2046.9791666666642</c:v>
                </c:pt>
                <c:pt idx="89">
                  <c:v>-2046.9791666666642</c:v>
                </c:pt>
                <c:pt idx="90">
                  <c:v>-2045.9791666666642</c:v>
                </c:pt>
                <c:pt idx="91">
                  <c:v>-2045.9791666666642</c:v>
                </c:pt>
                <c:pt idx="92">
                  <c:v>-2044.9791666666642</c:v>
                </c:pt>
                <c:pt idx="93">
                  <c:v>-2044.9791666666642</c:v>
                </c:pt>
                <c:pt idx="94">
                  <c:v>-2043.9791666666642</c:v>
                </c:pt>
                <c:pt idx="95">
                  <c:v>-2043.9791666666642</c:v>
                </c:pt>
                <c:pt idx="96">
                  <c:v>-2042.9791666666642</c:v>
                </c:pt>
                <c:pt idx="97">
                  <c:v>-2042.9791666666642</c:v>
                </c:pt>
                <c:pt idx="98">
                  <c:v>-2041.9791666666642</c:v>
                </c:pt>
                <c:pt idx="99">
                  <c:v>-2041.9791666666642</c:v>
                </c:pt>
                <c:pt idx="100">
                  <c:v>-2040.9791666666642</c:v>
                </c:pt>
                <c:pt idx="101">
                  <c:v>-2040.9791666666642</c:v>
                </c:pt>
                <c:pt idx="102">
                  <c:v>-2039.9791666666642</c:v>
                </c:pt>
                <c:pt idx="103">
                  <c:v>-2039.9791666666642</c:v>
                </c:pt>
                <c:pt idx="104">
                  <c:v>-2038.9791666666642</c:v>
                </c:pt>
                <c:pt idx="105">
                  <c:v>-2038.9791666666642</c:v>
                </c:pt>
                <c:pt idx="106">
                  <c:v>-2037.9791666666642</c:v>
                </c:pt>
                <c:pt idx="107">
                  <c:v>-2037.9791666666642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</c:numCache>
            </c:numRef>
          </c:xVal>
          <c:yVal>
            <c:numRef>
              <c:f>Cosechas!$AI$8:$AI$100</c:f>
              <c:numCache>
                <c:formatCode>0.00</c:formatCode>
                <c:ptCount val="93"/>
                <c:pt idx="0">
                  <c:v>0</c:v>
                </c:pt>
                <c:pt idx="1">
                  <c:v>0.29117647058798607</c:v>
                </c:pt>
                <c:pt idx="2">
                  <c:v>0.29117647058798607</c:v>
                </c:pt>
                <c:pt idx="3">
                  <c:v>0.45402985074630808</c:v>
                </c:pt>
                <c:pt idx="4">
                  <c:v>0.45402985074630808</c:v>
                </c:pt>
                <c:pt idx="5">
                  <c:v>0.4</c:v>
                </c:pt>
                <c:pt idx="6">
                  <c:v>0.4</c:v>
                </c:pt>
                <c:pt idx="7">
                  <c:v>0.40268456375823197</c:v>
                </c:pt>
                <c:pt idx="8">
                  <c:v>0.40268456375823197</c:v>
                </c:pt>
                <c:pt idx="9">
                  <c:v>0.40000000000000008</c:v>
                </c:pt>
                <c:pt idx="10">
                  <c:v>0.40000000000000008</c:v>
                </c:pt>
                <c:pt idx="11">
                  <c:v>0.348051948051948</c:v>
                </c:pt>
                <c:pt idx="12">
                  <c:v>0.348051948051948</c:v>
                </c:pt>
                <c:pt idx="13">
                  <c:v>0.50828729281767959</c:v>
                </c:pt>
                <c:pt idx="14">
                  <c:v>0.50828729281767959</c:v>
                </c:pt>
                <c:pt idx="15">
                  <c:v>-1.4492753623188406E-3</c:v>
                </c:pt>
                <c:pt idx="16">
                  <c:v>-1.4492753623188406E-3</c:v>
                </c:pt>
                <c:pt idx="17">
                  <c:v>1.4000000000000004</c:v>
                </c:pt>
                <c:pt idx="18">
                  <c:v>1.4000000000000004</c:v>
                </c:pt>
                <c:pt idx="19">
                  <c:v>1.3999999999999995</c:v>
                </c:pt>
                <c:pt idx="20">
                  <c:v>1.3999999999999995</c:v>
                </c:pt>
                <c:pt idx="21">
                  <c:v>1.3999999999999995</c:v>
                </c:pt>
                <c:pt idx="22">
                  <c:v>1.3999999999999995</c:v>
                </c:pt>
                <c:pt idx="23">
                  <c:v>1.4000000000000004</c:v>
                </c:pt>
                <c:pt idx="24">
                  <c:v>1.4000000000000004</c:v>
                </c:pt>
                <c:pt idx="25">
                  <c:v>0.2170616679600984</c:v>
                </c:pt>
                <c:pt idx="26">
                  <c:v>0.2170616679600984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E6-4F6D-A1F6-8CA22986F3FA}"/>
            </c:ext>
          </c:extLst>
        </c:ser>
        <c:ser>
          <c:idx val="1"/>
          <c:order val="2"/>
          <c:tx>
            <c:strRef>
              <c:f>ferment.!$X$6</c:f>
              <c:strCache>
                <c:ptCount val="1"/>
                <c:pt idx="0">
                  <c:v>Viab</c:v>
                </c:pt>
              </c:strCache>
            </c:strRef>
          </c:tx>
          <c:marker>
            <c:symbol val="none"/>
          </c:marker>
          <c:xVal>
            <c:numRef>
              <c:f>ferment.!$E$8:$E$98</c:f>
              <c:numCache>
                <c:formatCode>0.00</c:formatCode>
                <c:ptCount val="91"/>
                <c:pt idx="0">
                  <c:v>2.0833333335758653E-2</c:v>
                </c:pt>
                <c:pt idx="1">
                  <c:v>0.98958333333575865</c:v>
                </c:pt>
                <c:pt idx="2">
                  <c:v>1.9513888888905058</c:v>
                </c:pt>
                <c:pt idx="3">
                  <c:v>2.8993055555547471</c:v>
                </c:pt>
                <c:pt idx="4">
                  <c:v>3.8958333333357587</c:v>
                </c:pt>
                <c:pt idx="5">
                  <c:v>5.03125</c:v>
                </c:pt>
                <c:pt idx="6">
                  <c:v>6.21875</c:v>
                </c:pt>
                <c:pt idx="7">
                  <c:v>6.9652777777810115</c:v>
                </c:pt>
                <c:pt idx="8">
                  <c:v>7.9909722222218988</c:v>
                </c:pt>
                <c:pt idx="9">
                  <c:v>8.9166666666642413</c:v>
                </c:pt>
                <c:pt idx="10">
                  <c:v>9.9097222222189885</c:v>
                </c:pt>
                <c:pt idx="11">
                  <c:v>10.895833333335759</c:v>
                </c:pt>
                <c:pt idx="12">
                  <c:v>12.208333333335759</c:v>
                </c:pt>
                <c:pt idx="13">
                  <c:v>13.017361111109494</c:v>
                </c:pt>
                <c:pt idx="14">
                  <c:v>15.048611111109494</c:v>
                </c:pt>
                <c:pt idx="15">
                  <c:v>15.9375</c:v>
                </c:pt>
                <c:pt idx="16">
                  <c:v>16.899305555554747</c:v>
                </c:pt>
                <c:pt idx="17">
                  <c:v>19.0625</c:v>
                </c:pt>
                <c:pt idx="18">
                  <c:v>19.979166666664241</c:v>
                </c:pt>
                <c:pt idx="19">
                  <c:v>21.225694444445253</c:v>
                </c:pt>
                <c:pt idx="20">
                  <c:v>22.145833333335759</c:v>
                </c:pt>
                <c:pt idx="21">
                  <c:v>23.020833333335759</c:v>
                </c:pt>
                <c:pt idx="22">
                  <c:v>23.90625</c:v>
                </c:pt>
                <c:pt idx="23">
                  <c:v>24.930555555554747</c:v>
                </c:pt>
                <c:pt idx="24">
                  <c:v>26.243055555554747</c:v>
                </c:pt>
                <c:pt idx="25">
                  <c:v>27.03125</c:v>
                </c:pt>
                <c:pt idx="26">
                  <c:v>28.145833333335759</c:v>
                </c:pt>
                <c:pt idx="27">
                  <c:v>29.201388888890506</c:v>
                </c:pt>
                <c:pt idx="28">
                  <c:v>30.041666666664241</c:v>
                </c:pt>
                <c:pt idx="29">
                  <c:v>33.152777777781012</c:v>
                </c:pt>
                <c:pt idx="30">
                  <c:v>35.194444444445253</c:v>
                </c:pt>
                <c:pt idx="31">
                  <c:v>36.274305555554747</c:v>
                </c:pt>
                <c:pt idx="32">
                  <c:v>37.902777777781012</c:v>
                </c:pt>
                <c:pt idx="33">
                  <c:v>38.902777777781012</c:v>
                </c:pt>
                <c:pt idx="34">
                  <c:v>41.1875</c:v>
                </c:pt>
                <c:pt idx="35">
                  <c:v>43.263888888890506</c:v>
                </c:pt>
                <c:pt idx="36">
                  <c:v>43.951388888890506</c:v>
                </c:pt>
                <c:pt idx="37">
                  <c:v>44.902777777781012</c:v>
                </c:pt>
                <c:pt idx="38">
                  <c:v>47.173611111109494</c:v>
                </c:pt>
                <c:pt idx="39">
                  <c:v>47.944444444445253</c:v>
                </c:pt>
                <c:pt idx="40">
                  <c:v>48.989583333335759</c:v>
                </c:pt>
                <c:pt idx="41">
                  <c:v>51.225694444445253</c:v>
                </c:pt>
                <c:pt idx="42">
                  <c:v>54.138888888890506</c:v>
                </c:pt>
                <c:pt idx="43">
                  <c:v>55.180555555554747</c:v>
                </c:pt>
                <c:pt idx="44">
                  <c:v>56.048611111109494</c:v>
                </c:pt>
                <c:pt idx="45">
                  <c:v>57.979166666664241</c:v>
                </c:pt>
                <c:pt idx="46">
                  <c:v>59.003472222218988</c:v>
                </c:pt>
                <c:pt idx="47">
                  <c:v>61.961805555554747</c:v>
                </c:pt>
                <c:pt idx="48">
                  <c:v>62.975694444445253</c:v>
                </c:pt>
                <c:pt idx="49">
                  <c:v>64.034722222218988</c:v>
                </c:pt>
                <c:pt idx="50">
                  <c:v>65.034722222218988</c:v>
                </c:pt>
                <c:pt idx="51">
                  <c:v>67.96875</c:v>
                </c:pt>
                <c:pt idx="52">
                  <c:v>69.048611111109494</c:v>
                </c:pt>
                <c:pt idx="53">
                  <c:v>70.1875</c:v>
                </c:pt>
                <c:pt idx="54">
                  <c:v>71.21875</c:v>
                </c:pt>
                <c:pt idx="55">
                  <c:v>71.951388888890506</c:v>
                </c:pt>
                <c:pt idx="56">
                  <c:v>72.899305555554747</c:v>
                </c:pt>
                <c:pt idx="57">
                  <c:v>77.201388888890506</c:v>
                </c:pt>
                <c:pt idx="58">
                  <c:v>78.201388888890506</c:v>
                </c:pt>
                <c:pt idx="59">
                  <c:v>78.972222222218988</c:v>
                </c:pt>
                <c:pt idx="60">
                  <c:v>81.979166666664241</c:v>
                </c:pt>
                <c:pt idx="61">
                  <c:v>83.197916666664241</c:v>
                </c:pt>
                <c:pt idx="62">
                  <c:v>84.215277777781012</c:v>
                </c:pt>
                <c:pt idx="63">
                  <c:v>85.267361111109494</c:v>
                </c:pt>
                <c:pt idx="64">
                  <c:v>85.982638888890506</c:v>
                </c:pt>
                <c:pt idx="65">
                  <c:v>87.590277777781012</c:v>
                </c:pt>
                <c:pt idx="66">
                  <c:v>88.631944444445253</c:v>
                </c:pt>
                <c:pt idx="67">
                  <c:v>89.673611111109494</c:v>
                </c:pt>
                <c:pt idx="68">
                  <c:v>90.715277777781012</c:v>
                </c:pt>
                <c:pt idx="69">
                  <c:v>91.756944444445253</c:v>
                </c:pt>
                <c:pt idx="70">
                  <c:v>87.798611111109494</c:v>
                </c:pt>
                <c:pt idx="71">
                  <c:v>88.840277777781012</c:v>
                </c:pt>
              </c:numCache>
            </c:numRef>
          </c:xVal>
          <c:yVal>
            <c:numRef>
              <c:f>ferment.!$X$8:$X$41</c:f>
              <c:numCache>
                <c:formatCode>0.00%</c:formatCode>
                <c:ptCount val="34"/>
                <c:pt idx="0">
                  <c:v>0.95854922279792742</c:v>
                </c:pt>
                <c:pt idx="1">
                  <c:v>0.96226415094339623</c:v>
                </c:pt>
                <c:pt idx="2">
                  <c:v>0.97389372338455837</c:v>
                </c:pt>
                <c:pt idx="3">
                  <c:v>0.97847656846283015</c:v>
                </c:pt>
                <c:pt idx="4">
                  <c:v>0.99241274658573597</c:v>
                </c:pt>
                <c:pt idx="5">
                  <c:v>0.98598949211908937</c:v>
                </c:pt>
                <c:pt idx="6">
                  <c:v>0.98515769944341369</c:v>
                </c:pt>
                <c:pt idx="7">
                  <c:v>0.90413495165603786</c:v>
                </c:pt>
                <c:pt idx="8">
                  <c:v>0.85947046843177188</c:v>
                </c:pt>
                <c:pt idx="9">
                  <c:v>0.92944949225013362</c:v>
                </c:pt>
                <c:pt idx="10">
                  <c:v>0.93203883495145634</c:v>
                </c:pt>
                <c:pt idx="11">
                  <c:v>0.93043478260869561</c:v>
                </c:pt>
                <c:pt idx="12">
                  <c:v>0.92282958199356913</c:v>
                </c:pt>
                <c:pt idx="13">
                  <c:v>0.8623188405797102</c:v>
                </c:pt>
                <c:pt idx="14">
                  <c:v>0.86574870912220314</c:v>
                </c:pt>
                <c:pt idx="15">
                  <c:v>0.90781777741164837</c:v>
                </c:pt>
                <c:pt idx="16">
                  <c:v>0.92391304347826086</c:v>
                </c:pt>
                <c:pt idx="17">
                  <c:v>0.92135629327179125</c:v>
                </c:pt>
                <c:pt idx="18">
                  <c:v>0.93860424028268552</c:v>
                </c:pt>
                <c:pt idx="19">
                  <c:v>0.9564356435643564</c:v>
                </c:pt>
                <c:pt idx="20">
                  <c:v>0.95711060948081261</c:v>
                </c:pt>
                <c:pt idx="21">
                  <c:v>0.94262295081967218</c:v>
                </c:pt>
                <c:pt idx="22">
                  <c:v>0.94613259668508287</c:v>
                </c:pt>
                <c:pt idx="23">
                  <c:v>0.93019197207678883</c:v>
                </c:pt>
                <c:pt idx="24">
                  <c:v>0.94199243379571251</c:v>
                </c:pt>
                <c:pt idx="25">
                  <c:v>0.95063145809414462</c:v>
                </c:pt>
                <c:pt idx="26">
                  <c:v>0.95978260869565213</c:v>
                </c:pt>
                <c:pt idx="27">
                  <c:v>0.96902654867256632</c:v>
                </c:pt>
                <c:pt idx="28">
                  <c:v>0.95343800757985919</c:v>
                </c:pt>
                <c:pt idx="29">
                  <c:v>0.94319399785637725</c:v>
                </c:pt>
                <c:pt idx="30">
                  <c:v>0.93497109826589597</c:v>
                </c:pt>
                <c:pt idx="31">
                  <c:v>0.9455370650529501</c:v>
                </c:pt>
                <c:pt idx="32">
                  <c:v>0.92066420664206639</c:v>
                </c:pt>
                <c:pt idx="33">
                  <c:v>0.91816367265469057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E6-4F6D-A1F6-8CA22986F3FA}"/>
            </c:ext>
          </c:extLst>
        </c:ser>
        <c:ser>
          <c:idx val="3"/>
          <c:order val="3"/>
          <c:tx>
            <c:strRef>
              <c:f>Cosechas!$AJ$6:$AJ$7</c:f>
              <c:strCache>
                <c:ptCount val="2"/>
                <c:pt idx="0">
                  <c:v>VVD</c:v>
                </c:pt>
                <c:pt idx="1">
                  <c:v>Cultivo continuo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Cosechas!$AE$8:$AE$180</c:f>
              <c:numCache>
                <c:formatCode>0.00</c:formatCode>
                <c:ptCount val="173"/>
                <c:pt idx="0">
                  <c:v>1.9791666666642413</c:v>
                </c:pt>
                <c:pt idx="1">
                  <c:v>1.9791666666642413</c:v>
                </c:pt>
                <c:pt idx="2">
                  <c:v>2.9236111111094942</c:v>
                </c:pt>
                <c:pt idx="3">
                  <c:v>2.9236111111094942</c:v>
                </c:pt>
                <c:pt idx="4">
                  <c:v>12.229166666664241</c:v>
                </c:pt>
                <c:pt idx="5">
                  <c:v>12.229166666664241</c:v>
                </c:pt>
                <c:pt idx="6">
                  <c:v>13.479166666664241</c:v>
                </c:pt>
                <c:pt idx="7">
                  <c:v>13.479166666664241</c:v>
                </c:pt>
                <c:pt idx="8">
                  <c:v>25.895833333335759</c:v>
                </c:pt>
                <c:pt idx="9">
                  <c:v>25.895833333335759</c:v>
                </c:pt>
                <c:pt idx="10">
                  <c:v>30.020833333335759</c:v>
                </c:pt>
                <c:pt idx="11">
                  <c:v>30.020833333335759</c:v>
                </c:pt>
                <c:pt idx="12">
                  <c:v>39.645833333335759</c:v>
                </c:pt>
                <c:pt idx="13">
                  <c:v>39.645833333335759</c:v>
                </c:pt>
                <c:pt idx="14">
                  <c:v>17.020833333335759</c:v>
                </c:pt>
                <c:pt idx="15">
                  <c:v>17.020833333335759</c:v>
                </c:pt>
                <c:pt idx="16">
                  <c:v>-672.97916666666424</c:v>
                </c:pt>
                <c:pt idx="17">
                  <c:v>-672.97916666666424</c:v>
                </c:pt>
                <c:pt idx="18">
                  <c:v>-671.97916666666424</c:v>
                </c:pt>
                <c:pt idx="19">
                  <c:v>-671.97916666666424</c:v>
                </c:pt>
                <c:pt idx="20">
                  <c:v>-670.97916666666424</c:v>
                </c:pt>
                <c:pt idx="21">
                  <c:v>-670.97916666666424</c:v>
                </c:pt>
                <c:pt idx="22">
                  <c:v>-669.97916666666424</c:v>
                </c:pt>
                <c:pt idx="23">
                  <c:v>-669.97916666666424</c:v>
                </c:pt>
                <c:pt idx="24">
                  <c:v>-668.97916666666424</c:v>
                </c:pt>
                <c:pt idx="25">
                  <c:v>-668.97916666666424</c:v>
                </c:pt>
                <c:pt idx="26">
                  <c:v>-715.50972222222481</c:v>
                </c:pt>
                <c:pt idx="27">
                  <c:v>-715.50972222222481</c:v>
                </c:pt>
                <c:pt idx="28">
                  <c:v>-713.97916666666424</c:v>
                </c:pt>
                <c:pt idx="29">
                  <c:v>-713.97916666666424</c:v>
                </c:pt>
                <c:pt idx="30">
                  <c:v>-712.97916666666424</c:v>
                </c:pt>
                <c:pt idx="31">
                  <c:v>-712.97916666666424</c:v>
                </c:pt>
                <c:pt idx="32">
                  <c:v>-711.97916666666424</c:v>
                </c:pt>
                <c:pt idx="33">
                  <c:v>-711.97916666666424</c:v>
                </c:pt>
                <c:pt idx="34">
                  <c:v>-710.97916666666424</c:v>
                </c:pt>
                <c:pt idx="35">
                  <c:v>-710.97916666666424</c:v>
                </c:pt>
                <c:pt idx="36">
                  <c:v>-708.97916666666424</c:v>
                </c:pt>
                <c:pt idx="37">
                  <c:v>-708.97916666666424</c:v>
                </c:pt>
                <c:pt idx="38">
                  <c:v>-707.97916666666424</c:v>
                </c:pt>
                <c:pt idx="39">
                  <c:v>-707.97916666666424</c:v>
                </c:pt>
                <c:pt idx="40">
                  <c:v>-705.97916666666424</c:v>
                </c:pt>
                <c:pt idx="41">
                  <c:v>-705.97916666666424</c:v>
                </c:pt>
                <c:pt idx="42">
                  <c:v>-704.97916666666424</c:v>
                </c:pt>
                <c:pt idx="43">
                  <c:v>-704.97916666666424</c:v>
                </c:pt>
                <c:pt idx="44">
                  <c:v>-703.97916666666424</c:v>
                </c:pt>
                <c:pt idx="45">
                  <c:v>-703.97916666666424</c:v>
                </c:pt>
                <c:pt idx="46">
                  <c:v>-702.97916666666424</c:v>
                </c:pt>
                <c:pt idx="47">
                  <c:v>-702.97916666666424</c:v>
                </c:pt>
                <c:pt idx="48">
                  <c:v>-701.97916666666424</c:v>
                </c:pt>
                <c:pt idx="49">
                  <c:v>-701.97916666666424</c:v>
                </c:pt>
                <c:pt idx="50">
                  <c:v>-700.97916666666424</c:v>
                </c:pt>
                <c:pt idx="51">
                  <c:v>-700.97916666666424</c:v>
                </c:pt>
                <c:pt idx="52">
                  <c:v>-699.97916666666424</c:v>
                </c:pt>
                <c:pt idx="53">
                  <c:v>-699.97916666666424</c:v>
                </c:pt>
                <c:pt idx="54">
                  <c:v>-698.97916666666424</c:v>
                </c:pt>
                <c:pt idx="55">
                  <c:v>-698.97916666666424</c:v>
                </c:pt>
                <c:pt idx="56">
                  <c:v>-697.97916666666424</c:v>
                </c:pt>
                <c:pt idx="57">
                  <c:v>-697.97916666666424</c:v>
                </c:pt>
                <c:pt idx="58">
                  <c:v>-695.97916666666424</c:v>
                </c:pt>
                <c:pt idx="59">
                  <c:v>-695.97916666666424</c:v>
                </c:pt>
                <c:pt idx="60">
                  <c:v>-695.0625</c:v>
                </c:pt>
                <c:pt idx="61">
                  <c:v>-695.0625</c:v>
                </c:pt>
                <c:pt idx="62">
                  <c:v>-692.97916666666424</c:v>
                </c:pt>
                <c:pt idx="63">
                  <c:v>-692.97916666666424</c:v>
                </c:pt>
                <c:pt idx="64">
                  <c:v>-691.6875</c:v>
                </c:pt>
                <c:pt idx="65">
                  <c:v>-691.6875</c:v>
                </c:pt>
                <c:pt idx="66">
                  <c:v>-687.97916666666424</c:v>
                </c:pt>
                <c:pt idx="67">
                  <c:v>-687.97916666666424</c:v>
                </c:pt>
                <c:pt idx="68">
                  <c:v>-2056.9791666666642</c:v>
                </c:pt>
                <c:pt idx="69">
                  <c:v>-2056.9791666666642</c:v>
                </c:pt>
                <c:pt idx="70">
                  <c:v>-2055.9791666666642</c:v>
                </c:pt>
                <c:pt idx="71">
                  <c:v>-2055.9791666666642</c:v>
                </c:pt>
                <c:pt idx="72">
                  <c:v>-2054.9791666666642</c:v>
                </c:pt>
                <c:pt idx="73">
                  <c:v>-2054.9791666666642</c:v>
                </c:pt>
                <c:pt idx="74">
                  <c:v>-2053.9791666666642</c:v>
                </c:pt>
                <c:pt idx="75">
                  <c:v>-2053.9791666666642</c:v>
                </c:pt>
                <c:pt idx="76">
                  <c:v>-2052.9791666666642</c:v>
                </c:pt>
                <c:pt idx="77">
                  <c:v>-2052.9791666666642</c:v>
                </c:pt>
                <c:pt idx="78">
                  <c:v>-2051.9791666666642</c:v>
                </c:pt>
                <c:pt idx="79">
                  <c:v>-2051.9791666666642</c:v>
                </c:pt>
                <c:pt idx="80">
                  <c:v>-2050.9791666666642</c:v>
                </c:pt>
                <c:pt idx="81">
                  <c:v>-2050.9791666666642</c:v>
                </c:pt>
                <c:pt idx="82">
                  <c:v>-2049.9791666666642</c:v>
                </c:pt>
                <c:pt idx="83">
                  <c:v>-2049.9791666666642</c:v>
                </c:pt>
                <c:pt idx="84">
                  <c:v>-2048.9791666666642</c:v>
                </c:pt>
                <c:pt idx="85">
                  <c:v>-2048.9791666666642</c:v>
                </c:pt>
                <c:pt idx="86">
                  <c:v>-2047.9791666666642</c:v>
                </c:pt>
                <c:pt idx="87">
                  <c:v>-2047.9791666666642</c:v>
                </c:pt>
                <c:pt idx="88">
                  <c:v>-2046.9791666666642</c:v>
                </c:pt>
                <c:pt idx="89">
                  <c:v>-2046.9791666666642</c:v>
                </c:pt>
                <c:pt idx="90">
                  <c:v>-2045.9791666666642</c:v>
                </c:pt>
                <c:pt idx="91">
                  <c:v>-2045.9791666666642</c:v>
                </c:pt>
                <c:pt idx="92">
                  <c:v>-2044.9791666666642</c:v>
                </c:pt>
                <c:pt idx="93">
                  <c:v>-2044.9791666666642</c:v>
                </c:pt>
                <c:pt idx="94">
                  <c:v>-2043.9791666666642</c:v>
                </c:pt>
                <c:pt idx="95">
                  <c:v>-2043.9791666666642</c:v>
                </c:pt>
                <c:pt idx="96">
                  <c:v>-2042.9791666666642</c:v>
                </c:pt>
                <c:pt idx="97">
                  <c:v>-2042.9791666666642</c:v>
                </c:pt>
                <c:pt idx="98">
                  <c:v>-2041.9791666666642</c:v>
                </c:pt>
                <c:pt idx="99">
                  <c:v>-2041.9791666666642</c:v>
                </c:pt>
                <c:pt idx="100">
                  <c:v>-2040.9791666666642</c:v>
                </c:pt>
                <c:pt idx="101">
                  <c:v>-2040.9791666666642</c:v>
                </c:pt>
                <c:pt idx="102">
                  <c:v>-2039.9791666666642</c:v>
                </c:pt>
                <c:pt idx="103">
                  <c:v>-2039.9791666666642</c:v>
                </c:pt>
                <c:pt idx="104">
                  <c:v>-2038.9791666666642</c:v>
                </c:pt>
                <c:pt idx="105">
                  <c:v>-2038.9791666666642</c:v>
                </c:pt>
                <c:pt idx="106">
                  <c:v>-2037.9791666666642</c:v>
                </c:pt>
                <c:pt idx="107">
                  <c:v>-2037.9791666666642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</c:numCache>
            </c:numRef>
          </c:xVal>
          <c:yVal>
            <c:numRef>
              <c:f>Cosechas!$AJ$8:$AJ$100</c:f>
              <c:numCache>
                <c:formatCode>0.00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E6-4F6D-A1F6-8CA22986F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056456"/>
        <c:axId val="319056064"/>
      </c:scatterChart>
      <c:valAx>
        <c:axId val="319055280"/>
        <c:scaling>
          <c:orientation val="minMax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lang="es-ES" sz="1400"/>
                </a:pPr>
                <a:r>
                  <a:rPr lang="es-ES" sz="1400"/>
                  <a:t>t (d)</a:t>
                </a:r>
              </a:p>
            </c:rich>
          </c:tx>
          <c:layout>
            <c:manualLayout>
              <c:xMode val="edge"/>
              <c:yMode val="edge"/>
              <c:x val="0.94980944276459511"/>
              <c:y val="0.94257901764569896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lang="es-ES" sz="1200"/>
            </a:pPr>
            <a:endParaRPr lang="es-ES"/>
          </a:p>
        </c:txPr>
        <c:crossAx val="319055672"/>
        <c:crosses val="autoZero"/>
        <c:crossBetween val="midCat"/>
      </c:valAx>
      <c:valAx>
        <c:axId val="319055672"/>
        <c:scaling>
          <c:orientation val="minMax"/>
          <c:max val="50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s-ES" sz="1200"/>
                </a:pPr>
                <a:r>
                  <a:rPr lang="en-US" sz="1200"/>
                  <a:t>Concentración</a:t>
                </a:r>
                <a:r>
                  <a:rPr lang="en-US" sz="1200" baseline="0"/>
                  <a:t> celular </a:t>
                </a:r>
                <a:r>
                  <a:rPr lang="en-US" sz="1200"/>
                  <a:t>(cell/mL)</a:t>
                </a:r>
              </a:p>
            </c:rich>
          </c:tx>
          <c:layout>
            <c:manualLayout>
              <c:xMode val="edge"/>
              <c:yMode val="edge"/>
              <c:x val="1.3755136291520361E-2"/>
              <c:y val="0.39338258301620466"/>
            </c:manualLayout>
          </c:layout>
          <c:overlay val="0"/>
        </c:title>
        <c:numFmt formatCode="0.0E+00" sourceLinked="0"/>
        <c:majorTickMark val="none"/>
        <c:minorTickMark val="none"/>
        <c:tickLblPos val="nextTo"/>
        <c:txPr>
          <a:bodyPr/>
          <a:lstStyle/>
          <a:p>
            <a:pPr>
              <a:defRPr lang="es-ES" sz="1200"/>
            </a:pPr>
            <a:endParaRPr lang="es-ES"/>
          </a:p>
        </c:txPr>
        <c:crossAx val="319055280"/>
        <c:crosses val="autoZero"/>
        <c:crossBetween val="midCat"/>
      </c:valAx>
      <c:valAx>
        <c:axId val="319056064"/>
        <c:scaling>
          <c:orientation val="minMax"/>
          <c:max val="1"/>
          <c:min val="0"/>
        </c:scaling>
        <c:delete val="0"/>
        <c:axPos val="r"/>
        <c:minorGridlines/>
        <c:numFmt formatCode="0.00" sourceLinked="1"/>
        <c:majorTickMark val="out"/>
        <c:minorTickMark val="none"/>
        <c:tickLblPos val="nextTo"/>
        <c:crossAx val="319056456"/>
        <c:crosses val="max"/>
        <c:crossBetween val="midCat"/>
        <c:minorUnit val="5.000000000000001E-2"/>
      </c:valAx>
      <c:valAx>
        <c:axId val="31905645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one"/>
        <c:crossAx val="319056064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0.46572771205171937"/>
          <c:y val="5.6333894800358643E-3"/>
          <c:w val="0.18280213288171868"/>
          <c:h val="0.1715328972027875"/>
        </c:manualLayout>
      </c:layout>
      <c:overlay val="0"/>
      <c:txPr>
        <a:bodyPr/>
        <a:lstStyle/>
        <a:p>
          <a:pPr>
            <a:defRPr lang="es-ES" sz="1200"/>
          </a:pPr>
          <a:endParaRPr lang="es-ES"/>
        </a:p>
      </c:txPr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qP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5906316969234178"/>
                  <c:y val="0.12033501020705745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ferment.!$BD$8:$BD$12</c:f>
              <c:numCache>
                <c:formatCode>0.00E+00</c:formatCode>
                <c:ptCount val="5"/>
                <c:pt idx="0" formatCode="0.00">
                  <c:v>0</c:v>
                </c:pt>
                <c:pt idx="1">
                  <c:v>15257812.5</c:v>
                </c:pt>
                <c:pt idx="2">
                  <c:v>45304618.055530295</c:v>
                </c:pt>
                <c:pt idx="3">
                  <c:v>99275201.388725534</c:v>
                </c:pt>
                <c:pt idx="4">
                  <c:v>174150312.50007963</c:v>
                </c:pt>
              </c:numCache>
            </c:numRef>
          </c:xVal>
          <c:yVal>
            <c:numRef>
              <c:f>ferment.!$BQ$8:$BQ$12</c:f>
              <c:numCache>
                <c:formatCode>0.00</c:formatCode>
                <c:ptCount val="5"/>
                <c:pt idx="0">
                  <c:v>1.7011372499999999</c:v>
                </c:pt>
                <c:pt idx="1">
                  <c:v>4.5199999999999996</c:v>
                </c:pt>
                <c:pt idx="2">
                  <c:v>11.36</c:v>
                </c:pt>
                <c:pt idx="3">
                  <c:v>20.577567499999994</c:v>
                </c:pt>
                <c:pt idx="4">
                  <c:v>22.796153846169503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F-47D9-8D0F-772BFFABF1C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3000891383599775E-2"/>
                  <c:y val="2.3542578011081949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ferment.!$BD$12:$BD$17</c:f>
              <c:numCache>
                <c:formatCode>0.00E+00</c:formatCode>
                <c:ptCount val="6"/>
                <c:pt idx="0">
                  <c:v>174150312.50007963</c:v>
                </c:pt>
                <c:pt idx="1">
                  <c:v>257058437.49990255</c:v>
                </c:pt>
                <c:pt idx="2">
                  <c:v>335005937.49990255</c:v>
                </c:pt>
                <c:pt idx="3">
                  <c:v>378476250.00009084</c:v>
                </c:pt>
                <c:pt idx="4">
                  <c:v>440151256.94432139</c:v>
                </c:pt>
                <c:pt idx="5">
                  <c:v>503598354.16639954</c:v>
                </c:pt>
              </c:numCache>
            </c:numRef>
          </c:xVal>
          <c:yVal>
            <c:numRef>
              <c:f>ferment.!$BQ$12:$BQ$14</c:f>
              <c:numCache>
                <c:formatCode>0.00</c:formatCode>
                <c:ptCount val="3"/>
                <c:pt idx="0">
                  <c:v>22.796153846169503</c:v>
                </c:pt>
                <c:pt idx="1">
                  <c:v>30.170292086568239</c:v>
                </c:pt>
                <c:pt idx="2">
                  <c:v>37.826340726790733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FF-47D9-8D0F-772BFFABF1C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ferment.!$BD$14:$BD$17</c:f>
              <c:numCache>
                <c:formatCode>0.00E+00</c:formatCode>
                <c:ptCount val="4"/>
                <c:pt idx="0">
                  <c:v>335005937.49990255</c:v>
                </c:pt>
                <c:pt idx="1">
                  <c:v>378476250.00009084</c:v>
                </c:pt>
                <c:pt idx="2">
                  <c:v>440151256.94432139</c:v>
                </c:pt>
                <c:pt idx="3">
                  <c:v>503598354.16639954</c:v>
                </c:pt>
              </c:numCache>
            </c:numRef>
          </c:xVal>
          <c:yVal>
            <c:numRef>
              <c:f>ferment.!$BQ$14:$BQ$17</c:f>
              <c:numCache>
                <c:formatCode>0.00</c:formatCode>
                <c:ptCount val="4"/>
                <c:pt idx="0">
                  <c:v>37.826340726790733</c:v>
                </c:pt>
                <c:pt idx="1">
                  <c:v>42.46056082139161</c:v>
                </c:pt>
                <c:pt idx="2">
                  <c:v>50.102595236614818</c:v>
                </c:pt>
                <c:pt idx="3">
                  <c:v>58.401117459962762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FF-47D9-8D0F-772BFFAB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415248"/>
        <c:axId val="315415640"/>
      </c:scatterChart>
      <c:valAx>
        <c:axId val="315415248"/>
        <c:scaling>
          <c:orientation val="minMax"/>
          <c:max val="160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SXv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5415640"/>
        <c:crosses val="autoZero"/>
        <c:crossBetween val="midCat"/>
      </c:valAx>
      <c:valAx>
        <c:axId val="31541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IgG+SdIgG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541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41206274497162"/>
          <c:y val="0.18879635343387718"/>
          <c:w val="0.78821697166542559"/>
          <c:h val="0.74590444169383474"/>
        </c:manualLayout>
      </c:layout>
      <c:scatterChart>
        <c:scatterStyle val="smoothMarker"/>
        <c:varyColors val="0"/>
        <c:ser>
          <c:idx val="1"/>
          <c:order val="2"/>
          <c:tx>
            <c:strRef>
              <c:f>ferment.!$R$6</c:f>
              <c:strCache>
                <c:ptCount val="1"/>
                <c:pt idx="0">
                  <c:v>µ(h-1)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ferment.!$E$8:$E$63</c:f>
              <c:numCache>
                <c:formatCode>0.00</c:formatCode>
                <c:ptCount val="56"/>
                <c:pt idx="0">
                  <c:v>2.0833333335758653E-2</c:v>
                </c:pt>
                <c:pt idx="1">
                  <c:v>0.98958333333575865</c:v>
                </c:pt>
                <c:pt idx="2">
                  <c:v>1.9513888888905058</c:v>
                </c:pt>
                <c:pt idx="3">
                  <c:v>2.8993055555547471</c:v>
                </c:pt>
                <c:pt idx="4">
                  <c:v>3.8958333333357587</c:v>
                </c:pt>
                <c:pt idx="5">
                  <c:v>5.03125</c:v>
                </c:pt>
                <c:pt idx="6">
                  <c:v>6.21875</c:v>
                </c:pt>
                <c:pt idx="7">
                  <c:v>6.9652777777810115</c:v>
                </c:pt>
                <c:pt idx="8">
                  <c:v>7.9909722222218988</c:v>
                </c:pt>
                <c:pt idx="9">
                  <c:v>8.9166666666642413</c:v>
                </c:pt>
                <c:pt idx="10">
                  <c:v>9.9097222222189885</c:v>
                </c:pt>
                <c:pt idx="11">
                  <c:v>10.895833333335759</c:v>
                </c:pt>
                <c:pt idx="12">
                  <c:v>12.208333333335759</c:v>
                </c:pt>
                <c:pt idx="13">
                  <c:v>13.017361111109494</c:v>
                </c:pt>
                <c:pt idx="14">
                  <c:v>15.048611111109494</c:v>
                </c:pt>
                <c:pt idx="15">
                  <c:v>15.9375</c:v>
                </c:pt>
                <c:pt idx="16">
                  <c:v>16.899305555554747</c:v>
                </c:pt>
                <c:pt idx="17">
                  <c:v>19.0625</c:v>
                </c:pt>
                <c:pt idx="18">
                  <c:v>19.979166666664241</c:v>
                </c:pt>
                <c:pt idx="19">
                  <c:v>21.225694444445253</c:v>
                </c:pt>
                <c:pt idx="20">
                  <c:v>22.145833333335759</c:v>
                </c:pt>
                <c:pt idx="21">
                  <c:v>23.020833333335759</c:v>
                </c:pt>
                <c:pt idx="22">
                  <c:v>23.90625</c:v>
                </c:pt>
                <c:pt idx="23">
                  <c:v>24.930555555554747</c:v>
                </c:pt>
                <c:pt idx="24">
                  <c:v>26.243055555554747</c:v>
                </c:pt>
                <c:pt idx="25">
                  <c:v>27.03125</c:v>
                </c:pt>
                <c:pt idx="26">
                  <c:v>28.145833333335759</c:v>
                </c:pt>
                <c:pt idx="27">
                  <c:v>29.201388888890506</c:v>
                </c:pt>
                <c:pt idx="28">
                  <c:v>30.041666666664241</c:v>
                </c:pt>
                <c:pt idx="29">
                  <c:v>33.152777777781012</c:v>
                </c:pt>
                <c:pt idx="30">
                  <c:v>35.194444444445253</c:v>
                </c:pt>
                <c:pt idx="31">
                  <c:v>36.274305555554747</c:v>
                </c:pt>
                <c:pt idx="32">
                  <c:v>37.902777777781012</c:v>
                </c:pt>
                <c:pt idx="33">
                  <c:v>38.902777777781012</c:v>
                </c:pt>
                <c:pt idx="34">
                  <c:v>41.1875</c:v>
                </c:pt>
                <c:pt idx="35">
                  <c:v>43.263888888890506</c:v>
                </c:pt>
                <c:pt idx="36">
                  <c:v>43.951388888890506</c:v>
                </c:pt>
                <c:pt idx="37">
                  <c:v>44.902777777781012</c:v>
                </c:pt>
                <c:pt idx="38">
                  <c:v>47.173611111109494</c:v>
                </c:pt>
                <c:pt idx="39">
                  <c:v>47.944444444445253</c:v>
                </c:pt>
                <c:pt idx="40">
                  <c:v>48.989583333335759</c:v>
                </c:pt>
                <c:pt idx="41">
                  <c:v>51.225694444445253</c:v>
                </c:pt>
                <c:pt idx="42">
                  <c:v>54.138888888890506</c:v>
                </c:pt>
                <c:pt idx="43">
                  <c:v>55.180555555554747</c:v>
                </c:pt>
                <c:pt idx="44">
                  <c:v>56.048611111109494</c:v>
                </c:pt>
                <c:pt idx="45">
                  <c:v>57.979166666664241</c:v>
                </c:pt>
                <c:pt idx="46">
                  <c:v>59.003472222218988</c:v>
                </c:pt>
                <c:pt idx="47">
                  <c:v>61.961805555554747</c:v>
                </c:pt>
                <c:pt idx="48">
                  <c:v>62.975694444445253</c:v>
                </c:pt>
                <c:pt idx="49">
                  <c:v>64.034722222218988</c:v>
                </c:pt>
                <c:pt idx="50">
                  <c:v>65.034722222218988</c:v>
                </c:pt>
                <c:pt idx="51">
                  <c:v>67.96875</c:v>
                </c:pt>
                <c:pt idx="52">
                  <c:v>69.048611111109494</c:v>
                </c:pt>
                <c:pt idx="53">
                  <c:v>70.1875</c:v>
                </c:pt>
                <c:pt idx="54">
                  <c:v>71.21875</c:v>
                </c:pt>
                <c:pt idx="55">
                  <c:v>71.951388888890506</c:v>
                </c:pt>
              </c:numCache>
            </c:numRef>
          </c:xVal>
          <c:yVal>
            <c:numRef>
              <c:f>ferment.!$R$8:$R$51</c:f>
              <c:numCache>
                <c:formatCode>0.0000</c:formatCode>
                <c:ptCount val="44"/>
                <c:pt idx="0" formatCode="General">
                  <c:v>0</c:v>
                </c:pt>
                <c:pt idx="1">
                  <c:v>2.6009535893897477E-2</c:v>
                </c:pt>
                <c:pt idx="2">
                  <c:v>3.0845825918262307E-2</c:v>
                </c:pt>
                <c:pt idx="3">
                  <c:v>2.452772856095059E-2</c:v>
                </c:pt>
                <c:pt idx="4">
                  <c:v>1.1411645027905658E-2</c:v>
                </c:pt>
                <c:pt idx="5">
                  <c:v>1.4006079822176797E-2</c:v>
                </c:pt>
                <c:pt idx="6">
                  <c:v>1.6397416184315304E-2</c:v>
                </c:pt>
                <c:pt idx="7">
                  <c:v>1.2373886128825265E-2</c:v>
                </c:pt>
                <c:pt idx="8">
                  <c:v>3.138978346097112E-2</c:v>
                </c:pt>
                <c:pt idx="9">
                  <c:v>1.6946279251036696E-2</c:v>
                </c:pt>
                <c:pt idx="10">
                  <c:v>1.8498143490296694E-2</c:v>
                </c:pt>
                <c:pt idx="11">
                  <c:v>2.3670555216777391E-2</c:v>
                </c:pt>
                <c:pt idx="12">
                  <c:v>1.4960269687234106E-2</c:v>
                </c:pt>
                <c:pt idx="13">
                  <c:v>1.0589250826040033E-2</c:v>
                </c:pt>
                <c:pt idx="14">
                  <c:v>2.3874559651827627E-2</c:v>
                </c:pt>
                <c:pt idx="15">
                  <c:v>1.8454483991774257E-2</c:v>
                </c:pt>
                <c:pt idx="16">
                  <c:v>2.1801235332039693E-2</c:v>
                </c:pt>
                <c:pt idx="17">
                  <c:v>2.0756067860361965E-2</c:v>
                </c:pt>
                <c:pt idx="18">
                  <c:v>2.5550149504452516E-2</c:v>
                </c:pt>
                <c:pt idx="19">
                  <c:v>2.036015272595457E-2</c:v>
                </c:pt>
                <c:pt idx="20">
                  <c:v>1.104957014804589E-2</c:v>
                </c:pt>
                <c:pt idx="21">
                  <c:v>2.1273601705143363E-2</c:v>
                </c:pt>
                <c:pt idx="22">
                  <c:v>1.5953453102368738E-2</c:v>
                </c:pt>
                <c:pt idx="23">
                  <c:v>2.4266824370345351E-2</c:v>
                </c:pt>
                <c:pt idx="24">
                  <c:v>1.4110234819426805E-2</c:v>
                </c:pt>
                <c:pt idx="25">
                  <c:v>2.2140198513685854E-2</c:v>
                </c:pt>
                <c:pt idx="26">
                  <c:v>1.8868474511756463E-2</c:v>
                </c:pt>
                <c:pt idx="27">
                  <c:v>1.6083777250634309E-2</c:v>
                </c:pt>
                <c:pt idx="28">
                  <c:v>1.7173955665229119E-2</c:v>
                </c:pt>
                <c:pt idx="29">
                  <c:v>1.4869210730437886E-2</c:v>
                </c:pt>
                <c:pt idx="30">
                  <c:v>1.6870323732234151E-2</c:v>
                </c:pt>
                <c:pt idx="31">
                  <c:v>1.2893937655350997E-2</c:v>
                </c:pt>
                <c:pt idx="32">
                  <c:v>9.633573430798157E-3</c:v>
                </c:pt>
                <c:pt idx="33">
                  <c:v>1.1305837485217443E-2</c:v>
                </c:pt>
                <c:pt idx="34">
                  <c:v>1.0695275049251622E-2</c:v>
                </c:pt>
                <c:pt idx="35">
                  <c:v>1.4498844921734203E-2</c:v>
                </c:pt>
                <c:pt idx="36">
                  <c:v>1.1066570078242289E-2</c:v>
                </c:pt>
                <c:pt idx="37">
                  <c:v>1.4944759470854947E-2</c:v>
                </c:pt>
                <c:pt idx="38">
                  <c:v>1.4248640225432261E-2</c:v>
                </c:pt>
                <c:pt idx="39">
                  <c:v>1.804616528423509E-2</c:v>
                </c:pt>
                <c:pt idx="40">
                  <c:v>1.4952666171991738E-2</c:v>
                </c:pt>
                <c:pt idx="41">
                  <c:v>1.6901178371346193E-2</c:v>
                </c:pt>
                <c:pt idx="42">
                  <c:v>1.8347690398337391E-2</c:v>
                </c:pt>
                <c:pt idx="43">
                  <c:v>1.3279316887504118E-2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4A-4CDA-B468-F53D95C7E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057240"/>
        <c:axId val="319057632"/>
      </c:scatterChart>
      <c:scatterChart>
        <c:scatterStyle val="lineMarker"/>
        <c:varyColors val="0"/>
        <c:ser>
          <c:idx val="2"/>
          <c:order val="3"/>
          <c:tx>
            <c:strRef>
              <c:f>ferment.!$U$6</c:f>
              <c:strCache>
                <c:ptCount val="1"/>
                <c:pt idx="0">
                  <c:v>kd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chemeClr val="tx1"/>
              </a:solidFill>
            </c:spPr>
          </c:marker>
          <c:xVal>
            <c:numRef>
              <c:f>ferment.!$E$8:$E$63</c:f>
              <c:numCache>
                <c:formatCode>0.00</c:formatCode>
                <c:ptCount val="56"/>
                <c:pt idx="0">
                  <c:v>2.0833333335758653E-2</c:v>
                </c:pt>
                <c:pt idx="1">
                  <c:v>0.98958333333575865</c:v>
                </c:pt>
                <c:pt idx="2">
                  <c:v>1.9513888888905058</c:v>
                </c:pt>
                <c:pt idx="3">
                  <c:v>2.8993055555547471</c:v>
                </c:pt>
                <c:pt idx="4">
                  <c:v>3.8958333333357587</c:v>
                </c:pt>
                <c:pt idx="5">
                  <c:v>5.03125</c:v>
                </c:pt>
                <c:pt idx="6">
                  <c:v>6.21875</c:v>
                </c:pt>
                <c:pt idx="7">
                  <c:v>6.9652777777810115</c:v>
                </c:pt>
                <c:pt idx="8">
                  <c:v>7.9909722222218988</c:v>
                </c:pt>
                <c:pt idx="9">
                  <c:v>8.9166666666642413</c:v>
                </c:pt>
                <c:pt idx="10">
                  <c:v>9.9097222222189885</c:v>
                </c:pt>
                <c:pt idx="11">
                  <c:v>10.895833333335759</c:v>
                </c:pt>
                <c:pt idx="12">
                  <c:v>12.208333333335759</c:v>
                </c:pt>
                <c:pt idx="13">
                  <c:v>13.017361111109494</c:v>
                </c:pt>
                <c:pt idx="14">
                  <c:v>15.048611111109494</c:v>
                </c:pt>
                <c:pt idx="15">
                  <c:v>15.9375</c:v>
                </c:pt>
                <c:pt idx="16">
                  <c:v>16.899305555554747</c:v>
                </c:pt>
                <c:pt idx="17">
                  <c:v>19.0625</c:v>
                </c:pt>
                <c:pt idx="18">
                  <c:v>19.979166666664241</c:v>
                </c:pt>
                <c:pt idx="19">
                  <c:v>21.225694444445253</c:v>
                </c:pt>
                <c:pt idx="20">
                  <c:v>22.145833333335759</c:v>
                </c:pt>
                <c:pt idx="21">
                  <c:v>23.020833333335759</c:v>
                </c:pt>
                <c:pt idx="22">
                  <c:v>23.90625</c:v>
                </c:pt>
                <c:pt idx="23">
                  <c:v>24.930555555554747</c:v>
                </c:pt>
                <c:pt idx="24">
                  <c:v>26.243055555554747</c:v>
                </c:pt>
                <c:pt idx="25">
                  <c:v>27.03125</c:v>
                </c:pt>
                <c:pt idx="26">
                  <c:v>28.145833333335759</c:v>
                </c:pt>
                <c:pt idx="27">
                  <c:v>29.201388888890506</c:v>
                </c:pt>
                <c:pt idx="28">
                  <c:v>30.041666666664241</c:v>
                </c:pt>
                <c:pt idx="29">
                  <c:v>33.152777777781012</c:v>
                </c:pt>
                <c:pt idx="30">
                  <c:v>35.194444444445253</c:v>
                </c:pt>
                <c:pt idx="31">
                  <c:v>36.274305555554747</c:v>
                </c:pt>
                <c:pt idx="32">
                  <c:v>37.902777777781012</c:v>
                </c:pt>
                <c:pt idx="33">
                  <c:v>38.902777777781012</c:v>
                </c:pt>
                <c:pt idx="34">
                  <c:v>41.1875</c:v>
                </c:pt>
                <c:pt idx="35">
                  <c:v>43.263888888890506</c:v>
                </c:pt>
                <c:pt idx="36">
                  <c:v>43.951388888890506</c:v>
                </c:pt>
                <c:pt idx="37">
                  <c:v>44.902777777781012</c:v>
                </c:pt>
                <c:pt idx="38">
                  <c:v>47.173611111109494</c:v>
                </c:pt>
                <c:pt idx="39">
                  <c:v>47.944444444445253</c:v>
                </c:pt>
                <c:pt idx="40">
                  <c:v>48.989583333335759</c:v>
                </c:pt>
                <c:pt idx="41">
                  <c:v>51.225694444445253</c:v>
                </c:pt>
                <c:pt idx="42">
                  <c:v>54.138888888890506</c:v>
                </c:pt>
                <c:pt idx="43">
                  <c:v>55.180555555554747</c:v>
                </c:pt>
                <c:pt idx="44">
                  <c:v>56.048611111109494</c:v>
                </c:pt>
                <c:pt idx="45">
                  <c:v>57.979166666664241</c:v>
                </c:pt>
                <c:pt idx="46">
                  <c:v>59.003472222218988</c:v>
                </c:pt>
                <c:pt idx="47">
                  <c:v>61.961805555554747</c:v>
                </c:pt>
                <c:pt idx="48">
                  <c:v>62.975694444445253</c:v>
                </c:pt>
                <c:pt idx="49">
                  <c:v>64.034722222218988</c:v>
                </c:pt>
                <c:pt idx="50">
                  <c:v>65.034722222218988</c:v>
                </c:pt>
                <c:pt idx="51">
                  <c:v>67.96875</c:v>
                </c:pt>
                <c:pt idx="52">
                  <c:v>69.048611111109494</c:v>
                </c:pt>
                <c:pt idx="53">
                  <c:v>70.1875</c:v>
                </c:pt>
                <c:pt idx="54">
                  <c:v>71.21875</c:v>
                </c:pt>
                <c:pt idx="55">
                  <c:v>71.951388888890506</c:v>
                </c:pt>
              </c:numCache>
            </c:numRef>
          </c:xVal>
          <c:yVal>
            <c:numRef>
              <c:f>ferment.!$U$8:$U$51</c:f>
              <c:numCache>
                <c:formatCode>0.0000</c:formatCode>
                <c:ptCount val="44"/>
                <c:pt idx="0" formatCode="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4A-4CDA-B468-F53D95C7E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057240"/>
        <c:axId val="319057632"/>
      </c:scatterChart>
      <c:scatterChart>
        <c:scatterStyle val="lineMarker"/>
        <c:varyColors val="0"/>
        <c:ser>
          <c:idx val="0"/>
          <c:order val="0"/>
          <c:tx>
            <c:strRef>
              <c:f>Cosechas!$AI$6:$AI$7</c:f>
              <c:strCache>
                <c:ptCount val="2"/>
                <c:pt idx="0">
                  <c:v>VVD</c:v>
                </c:pt>
                <c:pt idx="1">
                  <c:v>perfusión</c:v>
                </c:pt>
              </c:strCache>
            </c:strRef>
          </c:tx>
          <c:spPr>
            <a:ln w="3810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Cosechas!$AE$8:$AE$150</c:f>
              <c:numCache>
                <c:formatCode>0.00</c:formatCode>
                <c:ptCount val="143"/>
                <c:pt idx="0">
                  <c:v>1.9791666666642413</c:v>
                </c:pt>
                <c:pt idx="1">
                  <c:v>1.9791666666642413</c:v>
                </c:pt>
                <c:pt idx="2">
                  <c:v>2.9236111111094942</c:v>
                </c:pt>
                <c:pt idx="3">
                  <c:v>2.9236111111094942</c:v>
                </c:pt>
                <c:pt idx="4">
                  <c:v>12.229166666664241</c:v>
                </c:pt>
                <c:pt idx="5">
                  <c:v>12.229166666664241</c:v>
                </c:pt>
                <c:pt idx="6">
                  <c:v>13.479166666664241</c:v>
                </c:pt>
                <c:pt idx="7">
                  <c:v>13.479166666664241</c:v>
                </c:pt>
                <c:pt idx="8">
                  <c:v>25.895833333335759</c:v>
                </c:pt>
                <c:pt idx="9">
                  <c:v>25.895833333335759</c:v>
                </c:pt>
                <c:pt idx="10">
                  <c:v>30.020833333335759</c:v>
                </c:pt>
                <c:pt idx="11">
                  <c:v>30.020833333335759</c:v>
                </c:pt>
                <c:pt idx="12">
                  <c:v>39.645833333335759</c:v>
                </c:pt>
                <c:pt idx="13">
                  <c:v>39.645833333335759</c:v>
                </c:pt>
                <c:pt idx="14">
                  <c:v>17.020833333335759</c:v>
                </c:pt>
                <c:pt idx="15">
                  <c:v>17.020833333335759</c:v>
                </c:pt>
                <c:pt idx="16">
                  <c:v>-672.97916666666424</c:v>
                </c:pt>
                <c:pt idx="17">
                  <c:v>-672.97916666666424</c:v>
                </c:pt>
                <c:pt idx="18">
                  <c:v>-671.97916666666424</c:v>
                </c:pt>
                <c:pt idx="19">
                  <c:v>-671.97916666666424</c:v>
                </c:pt>
                <c:pt idx="20">
                  <c:v>-670.97916666666424</c:v>
                </c:pt>
                <c:pt idx="21">
                  <c:v>-670.97916666666424</c:v>
                </c:pt>
                <c:pt idx="22">
                  <c:v>-669.97916666666424</c:v>
                </c:pt>
                <c:pt idx="23">
                  <c:v>-669.97916666666424</c:v>
                </c:pt>
                <c:pt idx="24">
                  <c:v>-668.97916666666424</c:v>
                </c:pt>
                <c:pt idx="25">
                  <c:v>-668.97916666666424</c:v>
                </c:pt>
                <c:pt idx="26">
                  <c:v>-715.50972222222481</c:v>
                </c:pt>
                <c:pt idx="27">
                  <c:v>-715.50972222222481</c:v>
                </c:pt>
                <c:pt idx="28">
                  <c:v>-713.97916666666424</c:v>
                </c:pt>
                <c:pt idx="29">
                  <c:v>-713.97916666666424</c:v>
                </c:pt>
                <c:pt idx="30">
                  <c:v>-712.97916666666424</c:v>
                </c:pt>
                <c:pt idx="31">
                  <c:v>-712.97916666666424</c:v>
                </c:pt>
                <c:pt idx="32">
                  <c:v>-711.97916666666424</c:v>
                </c:pt>
                <c:pt idx="33">
                  <c:v>-711.97916666666424</c:v>
                </c:pt>
                <c:pt idx="34">
                  <c:v>-710.97916666666424</c:v>
                </c:pt>
                <c:pt idx="35">
                  <c:v>-710.97916666666424</c:v>
                </c:pt>
                <c:pt idx="36">
                  <c:v>-708.97916666666424</c:v>
                </c:pt>
                <c:pt idx="37">
                  <c:v>-708.97916666666424</c:v>
                </c:pt>
                <c:pt idx="38">
                  <c:v>-707.97916666666424</c:v>
                </c:pt>
                <c:pt idx="39">
                  <c:v>-707.97916666666424</c:v>
                </c:pt>
                <c:pt idx="40">
                  <c:v>-705.97916666666424</c:v>
                </c:pt>
                <c:pt idx="41">
                  <c:v>-705.97916666666424</c:v>
                </c:pt>
                <c:pt idx="42">
                  <c:v>-704.97916666666424</c:v>
                </c:pt>
                <c:pt idx="43">
                  <c:v>-704.97916666666424</c:v>
                </c:pt>
                <c:pt idx="44">
                  <c:v>-703.97916666666424</c:v>
                </c:pt>
                <c:pt idx="45">
                  <c:v>-703.97916666666424</c:v>
                </c:pt>
                <c:pt idx="46">
                  <c:v>-702.97916666666424</c:v>
                </c:pt>
                <c:pt idx="47">
                  <c:v>-702.97916666666424</c:v>
                </c:pt>
                <c:pt idx="48">
                  <c:v>-701.97916666666424</c:v>
                </c:pt>
                <c:pt idx="49">
                  <c:v>-701.97916666666424</c:v>
                </c:pt>
                <c:pt idx="50">
                  <c:v>-700.97916666666424</c:v>
                </c:pt>
                <c:pt idx="51">
                  <c:v>-700.97916666666424</c:v>
                </c:pt>
                <c:pt idx="52">
                  <c:v>-699.97916666666424</c:v>
                </c:pt>
                <c:pt idx="53">
                  <c:v>-699.97916666666424</c:v>
                </c:pt>
                <c:pt idx="54">
                  <c:v>-698.97916666666424</c:v>
                </c:pt>
                <c:pt idx="55">
                  <c:v>-698.97916666666424</c:v>
                </c:pt>
                <c:pt idx="56">
                  <c:v>-697.97916666666424</c:v>
                </c:pt>
                <c:pt idx="57">
                  <c:v>-697.97916666666424</c:v>
                </c:pt>
                <c:pt idx="58">
                  <c:v>-695.97916666666424</c:v>
                </c:pt>
                <c:pt idx="59">
                  <c:v>-695.97916666666424</c:v>
                </c:pt>
                <c:pt idx="60">
                  <c:v>-695.0625</c:v>
                </c:pt>
                <c:pt idx="61">
                  <c:v>-695.0625</c:v>
                </c:pt>
                <c:pt idx="62">
                  <c:v>-692.97916666666424</c:v>
                </c:pt>
                <c:pt idx="63">
                  <c:v>-692.97916666666424</c:v>
                </c:pt>
                <c:pt idx="64">
                  <c:v>-691.6875</c:v>
                </c:pt>
                <c:pt idx="65">
                  <c:v>-691.6875</c:v>
                </c:pt>
                <c:pt idx="66">
                  <c:v>-687.97916666666424</c:v>
                </c:pt>
                <c:pt idx="67">
                  <c:v>-687.97916666666424</c:v>
                </c:pt>
                <c:pt idx="68">
                  <c:v>-2056.9791666666642</c:v>
                </c:pt>
                <c:pt idx="69">
                  <c:v>-2056.9791666666642</c:v>
                </c:pt>
                <c:pt idx="70">
                  <c:v>-2055.9791666666642</c:v>
                </c:pt>
                <c:pt idx="71">
                  <c:v>-2055.9791666666642</c:v>
                </c:pt>
                <c:pt idx="72">
                  <c:v>-2054.9791666666642</c:v>
                </c:pt>
                <c:pt idx="73">
                  <c:v>-2054.9791666666642</c:v>
                </c:pt>
                <c:pt idx="74">
                  <c:v>-2053.9791666666642</c:v>
                </c:pt>
                <c:pt idx="75">
                  <c:v>-2053.9791666666642</c:v>
                </c:pt>
                <c:pt idx="76">
                  <c:v>-2052.9791666666642</c:v>
                </c:pt>
                <c:pt idx="77">
                  <c:v>-2052.9791666666642</c:v>
                </c:pt>
                <c:pt idx="78">
                  <c:v>-2051.9791666666642</c:v>
                </c:pt>
                <c:pt idx="79">
                  <c:v>-2051.9791666666642</c:v>
                </c:pt>
                <c:pt idx="80">
                  <c:v>-2050.9791666666642</c:v>
                </c:pt>
                <c:pt idx="81">
                  <c:v>-2050.9791666666642</c:v>
                </c:pt>
                <c:pt idx="82">
                  <c:v>-2049.9791666666642</c:v>
                </c:pt>
                <c:pt idx="83">
                  <c:v>-2049.9791666666642</c:v>
                </c:pt>
                <c:pt idx="84">
                  <c:v>-2048.9791666666642</c:v>
                </c:pt>
                <c:pt idx="85">
                  <c:v>-2048.9791666666642</c:v>
                </c:pt>
                <c:pt idx="86">
                  <c:v>-2047.9791666666642</c:v>
                </c:pt>
                <c:pt idx="87">
                  <c:v>-2047.9791666666642</c:v>
                </c:pt>
                <c:pt idx="88">
                  <c:v>-2046.9791666666642</c:v>
                </c:pt>
                <c:pt idx="89">
                  <c:v>-2046.9791666666642</c:v>
                </c:pt>
                <c:pt idx="90">
                  <c:v>-2045.9791666666642</c:v>
                </c:pt>
                <c:pt idx="91">
                  <c:v>-2045.9791666666642</c:v>
                </c:pt>
                <c:pt idx="92">
                  <c:v>-2044.9791666666642</c:v>
                </c:pt>
                <c:pt idx="93">
                  <c:v>-2044.9791666666642</c:v>
                </c:pt>
                <c:pt idx="94">
                  <c:v>-2043.9791666666642</c:v>
                </c:pt>
                <c:pt idx="95">
                  <c:v>-2043.9791666666642</c:v>
                </c:pt>
                <c:pt idx="96">
                  <c:v>-2042.9791666666642</c:v>
                </c:pt>
                <c:pt idx="97">
                  <c:v>-2042.9791666666642</c:v>
                </c:pt>
                <c:pt idx="98">
                  <c:v>-2041.9791666666642</c:v>
                </c:pt>
                <c:pt idx="99">
                  <c:v>-2041.9791666666642</c:v>
                </c:pt>
                <c:pt idx="100">
                  <c:v>-2040.9791666666642</c:v>
                </c:pt>
                <c:pt idx="101">
                  <c:v>-2040.9791666666642</c:v>
                </c:pt>
                <c:pt idx="102">
                  <c:v>-2039.9791666666642</c:v>
                </c:pt>
                <c:pt idx="103">
                  <c:v>-2039.9791666666642</c:v>
                </c:pt>
                <c:pt idx="104">
                  <c:v>-2038.9791666666642</c:v>
                </c:pt>
                <c:pt idx="105">
                  <c:v>-2038.9791666666642</c:v>
                </c:pt>
                <c:pt idx="106">
                  <c:v>-2037.9791666666642</c:v>
                </c:pt>
                <c:pt idx="107">
                  <c:v>-2037.9791666666642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xVal>
          <c:yVal>
            <c:numRef>
              <c:f>Cosechas!$AI$8:$AI$150</c:f>
              <c:numCache>
                <c:formatCode>0.00</c:formatCode>
                <c:ptCount val="143"/>
                <c:pt idx="0">
                  <c:v>0</c:v>
                </c:pt>
                <c:pt idx="1">
                  <c:v>0.29117647058798607</c:v>
                </c:pt>
                <c:pt idx="2">
                  <c:v>0.29117647058798607</c:v>
                </c:pt>
                <c:pt idx="3">
                  <c:v>0.45402985074630808</c:v>
                </c:pt>
                <c:pt idx="4">
                  <c:v>0.45402985074630808</c:v>
                </c:pt>
                <c:pt idx="5">
                  <c:v>0.4</c:v>
                </c:pt>
                <c:pt idx="6">
                  <c:v>0.4</c:v>
                </c:pt>
                <c:pt idx="7">
                  <c:v>0.40268456375823197</c:v>
                </c:pt>
                <c:pt idx="8">
                  <c:v>0.40268456375823197</c:v>
                </c:pt>
                <c:pt idx="9">
                  <c:v>0.40000000000000008</c:v>
                </c:pt>
                <c:pt idx="10">
                  <c:v>0.40000000000000008</c:v>
                </c:pt>
                <c:pt idx="11">
                  <c:v>0.348051948051948</c:v>
                </c:pt>
                <c:pt idx="12">
                  <c:v>0.348051948051948</c:v>
                </c:pt>
                <c:pt idx="13">
                  <c:v>0.50828729281767959</c:v>
                </c:pt>
                <c:pt idx="14">
                  <c:v>0.50828729281767959</c:v>
                </c:pt>
                <c:pt idx="15">
                  <c:v>-1.4492753623188406E-3</c:v>
                </c:pt>
                <c:pt idx="16">
                  <c:v>-1.4492753623188406E-3</c:v>
                </c:pt>
                <c:pt idx="17">
                  <c:v>1.4000000000000004</c:v>
                </c:pt>
                <c:pt idx="18">
                  <c:v>1.4000000000000004</c:v>
                </c:pt>
                <c:pt idx="19">
                  <c:v>1.3999999999999995</c:v>
                </c:pt>
                <c:pt idx="20">
                  <c:v>1.3999999999999995</c:v>
                </c:pt>
                <c:pt idx="21">
                  <c:v>1.3999999999999995</c:v>
                </c:pt>
                <c:pt idx="22">
                  <c:v>1.3999999999999995</c:v>
                </c:pt>
                <c:pt idx="23">
                  <c:v>1.4000000000000004</c:v>
                </c:pt>
                <c:pt idx="24">
                  <c:v>1.4000000000000004</c:v>
                </c:pt>
                <c:pt idx="25">
                  <c:v>0.2170616679600984</c:v>
                </c:pt>
                <c:pt idx="26">
                  <c:v>0.2170616679600984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4A-4CDA-B468-F53D95C7E2DF}"/>
            </c:ext>
          </c:extLst>
        </c:ser>
        <c:ser>
          <c:idx val="3"/>
          <c:order val="1"/>
          <c:tx>
            <c:strRef>
              <c:f>Cosechas!$AJ$6:$AJ$7</c:f>
              <c:strCache>
                <c:ptCount val="2"/>
                <c:pt idx="0">
                  <c:v>VVD</c:v>
                </c:pt>
                <c:pt idx="1">
                  <c:v>Cultivo continuo</c:v>
                </c:pt>
              </c:strCache>
            </c:strRef>
          </c:tx>
          <c:marker>
            <c:symbol val="none"/>
          </c:marker>
          <c:xVal>
            <c:numRef>
              <c:f>Cosechas!$AE$8:$AE$170</c:f>
              <c:numCache>
                <c:formatCode>0.00</c:formatCode>
                <c:ptCount val="163"/>
                <c:pt idx="0">
                  <c:v>1.9791666666642413</c:v>
                </c:pt>
                <c:pt idx="1">
                  <c:v>1.9791666666642413</c:v>
                </c:pt>
                <c:pt idx="2">
                  <c:v>2.9236111111094942</c:v>
                </c:pt>
                <c:pt idx="3">
                  <c:v>2.9236111111094942</c:v>
                </c:pt>
                <c:pt idx="4">
                  <c:v>12.229166666664241</c:v>
                </c:pt>
                <c:pt idx="5">
                  <c:v>12.229166666664241</c:v>
                </c:pt>
                <c:pt idx="6">
                  <c:v>13.479166666664241</c:v>
                </c:pt>
                <c:pt idx="7">
                  <c:v>13.479166666664241</c:v>
                </c:pt>
                <c:pt idx="8">
                  <c:v>25.895833333335759</c:v>
                </c:pt>
                <c:pt idx="9">
                  <c:v>25.895833333335759</c:v>
                </c:pt>
                <c:pt idx="10">
                  <c:v>30.020833333335759</c:v>
                </c:pt>
                <c:pt idx="11">
                  <c:v>30.020833333335759</c:v>
                </c:pt>
                <c:pt idx="12">
                  <c:v>39.645833333335759</c:v>
                </c:pt>
                <c:pt idx="13">
                  <c:v>39.645833333335759</c:v>
                </c:pt>
                <c:pt idx="14">
                  <c:v>17.020833333335759</c:v>
                </c:pt>
                <c:pt idx="15">
                  <c:v>17.020833333335759</c:v>
                </c:pt>
                <c:pt idx="16">
                  <c:v>-672.97916666666424</c:v>
                </c:pt>
                <c:pt idx="17">
                  <c:v>-672.97916666666424</c:v>
                </c:pt>
                <c:pt idx="18">
                  <c:v>-671.97916666666424</c:v>
                </c:pt>
                <c:pt idx="19">
                  <c:v>-671.97916666666424</c:v>
                </c:pt>
                <c:pt idx="20">
                  <c:v>-670.97916666666424</c:v>
                </c:pt>
                <c:pt idx="21">
                  <c:v>-670.97916666666424</c:v>
                </c:pt>
                <c:pt idx="22">
                  <c:v>-669.97916666666424</c:v>
                </c:pt>
                <c:pt idx="23">
                  <c:v>-669.97916666666424</c:v>
                </c:pt>
                <c:pt idx="24">
                  <c:v>-668.97916666666424</c:v>
                </c:pt>
                <c:pt idx="25">
                  <c:v>-668.97916666666424</c:v>
                </c:pt>
                <c:pt idx="26">
                  <c:v>-715.50972222222481</c:v>
                </c:pt>
                <c:pt idx="27">
                  <c:v>-715.50972222222481</c:v>
                </c:pt>
                <c:pt idx="28">
                  <c:v>-713.97916666666424</c:v>
                </c:pt>
                <c:pt idx="29">
                  <c:v>-713.97916666666424</c:v>
                </c:pt>
                <c:pt idx="30">
                  <c:v>-712.97916666666424</c:v>
                </c:pt>
                <c:pt idx="31">
                  <c:v>-712.97916666666424</c:v>
                </c:pt>
                <c:pt idx="32">
                  <c:v>-711.97916666666424</c:v>
                </c:pt>
                <c:pt idx="33">
                  <c:v>-711.97916666666424</c:v>
                </c:pt>
                <c:pt idx="34">
                  <c:v>-710.97916666666424</c:v>
                </c:pt>
                <c:pt idx="35">
                  <c:v>-710.97916666666424</c:v>
                </c:pt>
                <c:pt idx="36">
                  <c:v>-708.97916666666424</c:v>
                </c:pt>
                <c:pt idx="37">
                  <c:v>-708.97916666666424</c:v>
                </c:pt>
                <c:pt idx="38">
                  <c:v>-707.97916666666424</c:v>
                </c:pt>
                <c:pt idx="39">
                  <c:v>-707.97916666666424</c:v>
                </c:pt>
                <c:pt idx="40">
                  <c:v>-705.97916666666424</c:v>
                </c:pt>
                <c:pt idx="41">
                  <c:v>-705.97916666666424</c:v>
                </c:pt>
                <c:pt idx="42">
                  <c:v>-704.97916666666424</c:v>
                </c:pt>
                <c:pt idx="43">
                  <c:v>-704.97916666666424</c:v>
                </c:pt>
                <c:pt idx="44">
                  <c:v>-703.97916666666424</c:v>
                </c:pt>
                <c:pt idx="45">
                  <c:v>-703.97916666666424</c:v>
                </c:pt>
                <c:pt idx="46">
                  <c:v>-702.97916666666424</c:v>
                </c:pt>
                <c:pt idx="47">
                  <c:v>-702.97916666666424</c:v>
                </c:pt>
                <c:pt idx="48">
                  <c:v>-701.97916666666424</c:v>
                </c:pt>
                <c:pt idx="49">
                  <c:v>-701.97916666666424</c:v>
                </c:pt>
                <c:pt idx="50">
                  <c:v>-700.97916666666424</c:v>
                </c:pt>
                <c:pt idx="51">
                  <c:v>-700.97916666666424</c:v>
                </c:pt>
                <c:pt idx="52">
                  <c:v>-699.97916666666424</c:v>
                </c:pt>
                <c:pt idx="53">
                  <c:v>-699.97916666666424</c:v>
                </c:pt>
                <c:pt idx="54">
                  <c:v>-698.97916666666424</c:v>
                </c:pt>
                <c:pt idx="55">
                  <c:v>-698.97916666666424</c:v>
                </c:pt>
                <c:pt idx="56">
                  <c:v>-697.97916666666424</c:v>
                </c:pt>
                <c:pt idx="57">
                  <c:v>-697.97916666666424</c:v>
                </c:pt>
                <c:pt idx="58">
                  <c:v>-695.97916666666424</c:v>
                </c:pt>
                <c:pt idx="59">
                  <c:v>-695.97916666666424</c:v>
                </c:pt>
                <c:pt idx="60">
                  <c:v>-695.0625</c:v>
                </c:pt>
                <c:pt idx="61">
                  <c:v>-695.0625</c:v>
                </c:pt>
                <c:pt idx="62">
                  <c:v>-692.97916666666424</c:v>
                </c:pt>
                <c:pt idx="63">
                  <c:v>-692.97916666666424</c:v>
                </c:pt>
                <c:pt idx="64">
                  <c:v>-691.6875</c:v>
                </c:pt>
                <c:pt idx="65">
                  <c:v>-691.6875</c:v>
                </c:pt>
                <c:pt idx="66">
                  <c:v>-687.97916666666424</c:v>
                </c:pt>
                <c:pt idx="67">
                  <c:v>-687.97916666666424</c:v>
                </c:pt>
                <c:pt idx="68">
                  <c:v>-2056.9791666666642</c:v>
                </c:pt>
                <c:pt idx="69">
                  <c:v>-2056.9791666666642</c:v>
                </c:pt>
                <c:pt idx="70">
                  <c:v>-2055.9791666666642</c:v>
                </c:pt>
                <c:pt idx="71">
                  <c:v>-2055.9791666666642</c:v>
                </c:pt>
                <c:pt idx="72">
                  <c:v>-2054.9791666666642</c:v>
                </c:pt>
                <c:pt idx="73">
                  <c:v>-2054.9791666666642</c:v>
                </c:pt>
                <c:pt idx="74">
                  <c:v>-2053.9791666666642</c:v>
                </c:pt>
                <c:pt idx="75">
                  <c:v>-2053.9791666666642</c:v>
                </c:pt>
                <c:pt idx="76">
                  <c:v>-2052.9791666666642</c:v>
                </c:pt>
                <c:pt idx="77">
                  <c:v>-2052.9791666666642</c:v>
                </c:pt>
                <c:pt idx="78">
                  <c:v>-2051.9791666666642</c:v>
                </c:pt>
                <c:pt idx="79">
                  <c:v>-2051.9791666666642</c:v>
                </c:pt>
                <c:pt idx="80">
                  <c:v>-2050.9791666666642</c:v>
                </c:pt>
                <c:pt idx="81">
                  <c:v>-2050.9791666666642</c:v>
                </c:pt>
                <c:pt idx="82">
                  <c:v>-2049.9791666666642</c:v>
                </c:pt>
                <c:pt idx="83">
                  <c:v>-2049.9791666666642</c:v>
                </c:pt>
                <c:pt idx="84">
                  <c:v>-2048.9791666666642</c:v>
                </c:pt>
                <c:pt idx="85">
                  <c:v>-2048.9791666666642</c:v>
                </c:pt>
                <c:pt idx="86">
                  <c:v>-2047.9791666666642</c:v>
                </c:pt>
                <c:pt idx="87">
                  <c:v>-2047.9791666666642</c:v>
                </c:pt>
                <c:pt idx="88">
                  <c:v>-2046.9791666666642</c:v>
                </c:pt>
                <c:pt idx="89">
                  <c:v>-2046.9791666666642</c:v>
                </c:pt>
                <c:pt idx="90">
                  <c:v>-2045.9791666666642</c:v>
                </c:pt>
                <c:pt idx="91">
                  <c:v>-2045.9791666666642</c:v>
                </c:pt>
                <c:pt idx="92">
                  <c:v>-2044.9791666666642</c:v>
                </c:pt>
                <c:pt idx="93">
                  <c:v>-2044.9791666666642</c:v>
                </c:pt>
                <c:pt idx="94">
                  <c:v>-2043.9791666666642</c:v>
                </c:pt>
                <c:pt idx="95">
                  <c:v>-2043.9791666666642</c:v>
                </c:pt>
                <c:pt idx="96">
                  <c:v>-2042.9791666666642</c:v>
                </c:pt>
                <c:pt idx="97">
                  <c:v>-2042.9791666666642</c:v>
                </c:pt>
                <c:pt idx="98">
                  <c:v>-2041.9791666666642</c:v>
                </c:pt>
                <c:pt idx="99">
                  <c:v>-2041.9791666666642</c:v>
                </c:pt>
                <c:pt idx="100">
                  <c:v>-2040.9791666666642</c:v>
                </c:pt>
                <c:pt idx="101">
                  <c:v>-2040.9791666666642</c:v>
                </c:pt>
                <c:pt idx="102">
                  <c:v>-2039.9791666666642</c:v>
                </c:pt>
                <c:pt idx="103">
                  <c:v>-2039.9791666666642</c:v>
                </c:pt>
                <c:pt idx="104">
                  <c:v>-2038.9791666666642</c:v>
                </c:pt>
                <c:pt idx="105">
                  <c:v>-2038.9791666666642</c:v>
                </c:pt>
                <c:pt idx="106">
                  <c:v>-2037.9791666666642</c:v>
                </c:pt>
                <c:pt idx="107">
                  <c:v>-2037.9791666666642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xVal>
          <c:yVal>
            <c:numRef>
              <c:f>Cosechas!$AJ$8:$AJ$170</c:f>
              <c:numCache>
                <c:formatCode>0.00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4A-4CDA-B468-F53D95C7E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058416"/>
        <c:axId val="319058024"/>
      </c:scatterChart>
      <c:valAx>
        <c:axId val="319057240"/>
        <c:scaling>
          <c:orientation val="minMax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lang="es-ES" sz="1400"/>
                </a:pPr>
                <a:r>
                  <a:rPr lang="es-ES" sz="1400"/>
                  <a:t>t (d)</a:t>
                </a:r>
              </a:p>
            </c:rich>
          </c:tx>
          <c:layout>
            <c:manualLayout>
              <c:xMode val="edge"/>
              <c:yMode val="edge"/>
              <c:x val="0.94980944276459511"/>
              <c:y val="0.94257901764569896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lang="es-ES" sz="1200"/>
            </a:pPr>
            <a:endParaRPr lang="es-ES"/>
          </a:p>
        </c:txPr>
        <c:crossAx val="319057632"/>
        <c:crosses val="autoZero"/>
        <c:crossBetween val="midCat"/>
      </c:valAx>
      <c:valAx>
        <c:axId val="31905763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s-ES" sz="1200"/>
                </a:pPr>
                <a:r>
                  <a:rPr lang="en-US" sz="1200"/>
                  <a:t>velocidad (h-1)</a:t>
                </a:r>
              </a:p>
            </c:rich>
          </c:tx>
          <c:layout>
            <c:manualLayout>
              <c:xMode val="edge"/>
              <c:yMode val="edge"/>
              <c:x val="1.3755136291520361E-2"/>
              <c:y val="0.39338258301620466"/>
            </c:manualLayout>
          </c:layout>
          <c:overlay val="0"/>
        </c:title>
        <c:numFmt formatCode="#,##0.0000" sourceLinked="0"/>
        <c:majorTickMark val="none"/>
        <c:minorTickMark val="none"/>
        <c:tickLblPos val="nextTo"/>
        <c:txPr>
          <a:bodyPr/>
          <a:lstStyle/>
          <a:p>
            <a:pPr>
              <a:defRPr lang="es-ES" sz="1200"/>
            </a:pPr>
            <a:endParaRPr lang="es-ES"/>
          </a:p>
        </c:txPr>
        <c:crossAx val="319057240"/>
        <c:crosses val="autoZero"/>
        <c:crossBetween val="midCat"/>
      </c:valAx>
      <c:valAx>
        <c:axId val="319058024"/>
        <c:scaling>
          <c:orientation val="minMax"/>
          <c:min val="0"/>
        </c:scaling>
        <c:delete val="0"/>
        <c:axPos val="r"/>
        <c:numFmt formatCode="0.00" sourceLinked="1"/>
        <c:majorTickMark val="out"/>
        <c:minorTickMark val="none"/>
        <c:tickLblPos val="nextTo"/>
        <c:crossAx val="319058416"/>
        <c:crosses val="max"/>
        <c:crossBetween val="midCat"/>
      </c:valAx>
      <c:valAx>
        <c:axId val="31905841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19058024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0.81555689625174266"/>
          <c:y val="3.5407410971485895E-3"/>
          <c:w val="0.18266179880022673"/>
          <c:h val="0.17139848114596959"/>
        </c:manualLayout>
      </c:layout>
      <c:overlay val="0"/>
      <c:txPr>
        <a:bodyPr/>
        <a:lstStyle/>
        <a:p>
          <a:pPr>
            <a:defRPr lang="es-ES" sz="1200"/>
          </a:pPr>
          <a:endParaRPr lang="es-ES"/>
        </a:p>
      </c:txPr>
    </c:legend>
    <c:plotVisOnly val="1"/>
    <c:dispBlanksAs val="gap"/>
    <c:showDLblsOverMax val="0"/>
  </c:chart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15409053653659"/>
          <c:y val="0.13579498982728966"/>
          <c:w val="0.65575161248224556"/>
          <c:h val="0.744426375326661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ferment.!$J$6</c:f>
              <c:strCache>
                <c:ptCount val="1"/>
                <c:pt idx="0">
                  <c:v>Xv(Promedio)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14300">
                <a:solidFill>
                  <a:schemeClr val="accent1"/>
                </a:solidFill>
              </a:ln>
              <a:effectLst/>
            </c:spPr>
          </c:marker>
          <c:xVal>
            <c:numRef>
              <c:f>ferment.!$E$8:$E$34</c:f>
              <c:numCache>
                <c:formatCode>0.00</c:formatCode>
                <c:ptCount val="27"/>
                <c:pt idx="0">
                  <c:v>2.0833333335758653E-2</c:v>
                </c:pt>
                <c:pt idx="1">
                  <c:v>0.98958333333575865</c:v>
                </c:pt>
                <c:pt idx="2">
                  <c:v>1.9513888888905058</c:v>
                </c:pt>
                <c:pt idx="3">
                  <c:v>2.8993055555547471</c:v>
                </c:pt>
                <c:pt idx="4">
                  <c:v>3.8958333333357587</c:v>
                </c:pt>
                <c:pt idx="5">
                  <c:v>5.03125</c:v>
                </c:pt>
                <c:pt idx="6">
                  <c:v>6.21875</c:v>
                </c:pt>
                <c:pt idx="7">
                  <c:v>6.9652777777810115</c:v>
                </c:pt>
                <c:pt idx="8">
                  <c:v>7.9909722222218988</c:v>
                </c:pt>
                <c:pt idx="9">
                  <c:v>8.9166666666642413</c:v>
                </c:pt>
                <c:pt idx="10">
                  <c:v>9.9097222222189885</c:v>
                </c:pt>
                <c:pt idx="11">
                  <c:v>10.895833333335759</c:v>
                </c:pt>
                <c:pt idx="12">
                  <c:v>12.208333333335759</c:v>
                </c:pt>
                <c:pt idx="13">
                  <c:v>13.017361111109494</c:v>
                </c:pt>
                <c:pt idx="14">
                  <c:v>15.048611111109494</c:v>
                </c:pt>
                <c:pt idx="15">
                  <c:v>15.9375</c:v>
                </c:pt>
                <c:pt idx="16">
                  <c:v>16.899305555554747</c:v>
                </c:pt>
                <c:pt idx="17">
                  <c:v>19.0625</c:v>
                </c:pt>
                <c:pt idx="18">
                  <c:v>19.979166666664241</c:v>
                </c:pt>
                <c:pt idx="19">
                  <c:v>21.225694444445253</c:v>
                </c:pt>
                <c:pt idx="20">
                  <c:v>22.145833333335759</c:v>
                </c:pt>
                <c:pt idx="21">
                  <c:v>23.020833333335759</c:v>
                </c:pt>
                <c:pt idx="22">
                  <c:v>23.90625</c:v>
                </c:pt>
                <c:pt idx="23">
                  <c:v>24.930555555554747</c:v>
                </c:pt>
                <c:pt idx="24">
                  <c:v>26.243055555554747</c:v>
                </c:pt>
                <c:pt idx="25">
                  <c:v>27.03125</c:v>
                </c:pt>
                <c:pt idx="26">
                  <c:v>28.145833333335759</c:v>
                </c:pt>
              </c:numCache>
            </c:numRef>
          </c:xVal>
          <c:yVal>
            <c:numRef>
              <c:f>ferment.!$J$8:$J$34</c:f>
              <c:numCache>
                <c:formatCode>0.00E+00</c:formatCode>
                <c:ptCount val="27"/>
                <c:pt idx="0">
                  <c:v>462500</c:v>
                </c:pt>
                <c:pt idx="1">
                  <c:v>850000</c:v>
                </c:pt>
                <c:pt idx="2">
                  <c:v>1753333.3333333333</c:v>
                </c:pt>
                <c:pt idx="3">
                  <c:v>2136666.6666666665</c:v>
                </c:pt>
                <c:pt idx="4">
                  <c:v>3270000</c:v>
                </c:pt>
                <c:pt idx="5">
                  <c:v>2815000</c:v>
                </c:pt>
                <c:pt idx="6">
                  <c:v>2655000</c:v>
                </c:pt>
                <c:pt idx="7">
                  <c:v>2197500</c:v>
                </c:pt>
                <c:pt idx="8">
                  <c:v>2813333.3333333335</c:v>
                </c:pt>
                <c:pt idx="9">
                  <c:v>2898333.3333333335</c:v>
                </c:pt>
                <c:pt idx="10">
                  <c:v>2880000</c:v>
                </c:pt>
                <c:pt idx="11">
                  <c:v>3210000</c:v>
                </c:pt>
                <c:pt idx="12">
                  <c:v>2870000</c:v>
                </c:pt>
                <c:pt idx="13">
                  <c:v>2380000</c:v>
                </c:pt>
                <c:pt idx="14">
                  <c:v>3353333.3333333335</c:v>
                </c:pt>
                <c:pt idx="15">
                  <c:v>3673333.3333333335</c:v>
                </c:pt>
                <c:pt idx="16">
                  <c:v>4250000</c:v>
                </c:pt>
                <c:pt idx="17">
                  <c:v>5190000</c:v>
                </c:pt>
                <c:pt idx="18">
                  <c:v>6375000</c:v>
                </c:pt>
                <c:pt idx="19">
                  <c:v>7245000</c:v>
                </c:pt>
                <c:pt idx="20">
                  <c:v>6360000</c:v>
                </c:pt>
                <c:pt idx="21">
                  <c:v>6900000</c:v>
                </c:pt>
                <c:pt idx="22">
                  <c:v>6850000</c:v>
                </c:pt>
                <c:pt idx="23">
                  <c:v>7995000</c:v>
                </c:pt>
                <c:pt idx="24">
                  <c:v>7470000</c:v>
                </c:pt>
                <c:pt idx="25">
                  <c:v>8280000</c:v>
                </c:pt>
                <c:pt idx="26">
                  <c:v>8830000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81-4E8C-8A25-820D00559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058808"/>
        <c:axId val="319059200"/>
      </c:scatterChart>
      <c:scatterChart>
        <c:scatterStyle val="smoothMarker"/>
        <c:varyColors val="0"/>
        <c:ser>
          <c:idx val="2"/>
          <c:order val="1"/>
          <c:tx>
            <c:strRef>
              <c:f>ferment.!$P$6</c:f>
              <c:strCache>
                <c:ptCount val="1"/>
                <c:pt idx="0">
                  <c:v>pH muestra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ferment.!$E$8:$E$34</c:f>
              <c:numCache>
                <c:formatCode>0.00</c:formatCode>
                <c:ptCount val="27"/>
                <c:pt idx="0">
                  <c:v>2.0833333335758653E-2</c:v>
                </c:pt>
                <c:pt idx="1">
                  <c:v>0.98958333333575865</c:v>
                </c:pt>
                <c:pt idx="2">
                  <c:v>1.9513888888905058</c:v>
                </c:pt>
                <c:pt idx="3">
                  <c:v>2.8993055555547471</c:v>
                </c:pt>
                <c:pt idx="4">
                  <c:v>3.8958333333357587</c:v>
                </c:pt>
                <c:pt idx="5">
                  <c:v>5.03125</c:v>
                </c:pt>
                <c:pt idx="6">
                  <c:v>6.21875</c:v>
                </c:pt>
                <c:pt idx="7">
                  <c:v>6.9652777777810115</c:v>
                </c:pt>
                <c:pt idx="8">
                  <c:v>7.9909722222218988</c:v>
                </c:pt>
                <c:pt idx="9">
                  <c:v>8.9166666666642413</c:v>
                </c:pt>
                <c:pt idx="10">
                  <c:v>9.9097222222189885</c:v>
                </c:pt>
                <c:pt idx="11">
                  <c:v>10.895833333335759</c:v>
                </c:pt>
                <c:pt idx="12">
                  <c:v>12.208333333335759</c:v>
                </c:pt>
                <c:pt idx="13">
                  <c:v>13.017361111109494</c:v>
                </c:pt>
                <c:pt idx="14">
                  <c:v>15.048611111109494</c:v>
                </c:pt>
                <c:pt idx="15">
                  <c:v>15.9375</c:v>
                </c:pt>
                <c:pt idx="16">
                  <c:v>16.899305555554747</c:v>
                </c:pt>
                <c:pt idx="17">
                  <c:v>19.0625</c:v>
                </c:pt>
                <c:pt idx="18">
                  <c:v>19.979166666664241</c:v>
                </c:pt>
                <c:pt idx="19">
                  <c:v>21.225694444445253</c:v>
                </c:pt>
                <c:pt idx="20">
                  <c:v>22.145833333335759</c:v>
                </c:pt>
                <c:pt idx="21">
                  <c:v>23.020833333335759</c:v>
                </c:pt>
                <c:pt idx="22">
                  <c:v>23.90625</c:v>
                </c:pt>
                <c:pt idx="23">
                  <c:v>24.930555555554747</c:v>
                </c:pt>
                <c:pt idx="24">
                  <c:v>26.243055555554747</c:v>
                </c:pt>
                <c:pt idx="25">
                  <c:v>27.03125</c:v>
                </c:pt>
                <c:pt idx="26">
                  <c:v>28.145833333335759</c:v>
                </c:pt>
              </c:numCache>
            </c:numRef>
          </c:xVal>
          <c:yVal>
            <c:numRef>
              <c:f>ferment.!$P$8:$P$34</c:f>
              <c:numCache>
                <c:formatCode>0.00</c:formatCode>
                <c:ptCount val="27"/>
                <c:pt idx="0">
                  <c:v>7.33</c:v>
                </c:pt>
                <c:pt idx="1">
                  <c:v>7.33</c:v>
                </c:pt>
                <c:pt idx="2">
                  <c:v>6.99</c:v>
                </c:pt>
                <c:pt idx="3">
                  <c:v>7</c:v>
                </c:pt>
                <c:pt idx="4">
                  <c:v>6.97</c:v>
                </c:pt>
                <c:pt idx="5">
                  <c:v>6.99</c:v>
                </c:pt>
                <c:pt idx="6">
                  <c:v>7.01</c:v>
                </c:pt>
                <c:pt idx="7">
                  <c:v>7</c:v>
                </c:pt>
                <c:pt idx="8">
                  <c:v>6.95</c:v>
                </c:pt>
                <c:pt idx="9">
                  <c:v>6.97</c:v>
                </c:pt>
                <c:pt idx="10">
                  <c:v>6.96</c:v>
                </c:pt>
                <c:pt idx="11">
                  <c:v>7.01</c:v>
                </c:pt>
                <c:pt idx="12">
                  <c:v>6.93</c:v>
                </c:pt>
                <c:pt idx="13">
                  <c:v>7.12</c:v>
                </c:pt>
                <c:pt idx="14">
                  <c:v>7.11</c:v>
                </c:pt>
                <c:pt idx="15">
                  <c:v>7.11</c:v>
                </c:pt>
                <c:pt idx="16">
                  <c:v>7.12</c:v>
                </c:pt>
                <c:pt idx="17">
                  <c:v>7.13</c:v>
                </c:pt>
                <c:pt idx="18">
                  <c:v>7.14</c:v>
                </c:pt>
                <c:pt idx="19">
                  <c:v>7.13</c:v>
                </c:pt>
                <c:pt idx="20">
                  <c:v>7.13</c:v>
                </c:pt>
                <c:pt idx="21">
                  <c:v>7.11</c:v>
                </c:pt>
                <c:pt idx="22">
                  <c:v>7.32</c:v>
                </c:pt>
                <c:pt idx="23">
                  <c:v>7.11</c:v>
                </c:pt>
                <c:pt idx="24">
                  <c:v>7.15</c:v>
                </c:pt>
                <c:pt idx="25">
                  <c:v>7.13</c:v>
                </c:pt>
                <c:pt idx="26">
                  <c:v>7.11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81-4E8C-8A25-820D00559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059984"/>
        <c:axId val="319059592"/>
      </c:scatterChart>
      <c:valAx>
        <c:axId val="319058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  <c:crossAx val="319059200"/>
        <c:crosses val="autoZero"/>
        <c:crossBetween val="midCat"/>
      </c:valAx>
      <c:valAx>
        <c:axId val="3190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Xv (1E6 cell</a:t>
                </a:r>
                <a:r>
                  <a:rPr lang="en-US" sz="18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/mL)</a:t>
                </a:r>
                <a:endParaRPr lang="en-US" sz="1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  <c:crossAx val="319058808"/>
        <c:crosses val="autoZero"/>
        <c:crossBetween val="midCat"/>
      </c:valAx>
      <c:valAx>
        <c:axId val="319059592"/>
        <c:scaling>
          <c:orientation val="minMax"/>
          <c:max val="7.1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9059984"/>
        <c:crosses val="max"/>
        <c:crossBetween val="midCat"/>
      </c:valAx>
      <c:valAx>
        <c:axId val="31905998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19059592"/>
        <c:crosses val="autoZero"/>
        <c:crossBetween val="midCat"/>
      </c:valAx>
      <c:spPr>
        <a:noFill/>
        <a:ln>
          <a:solidFill>
            <a:schemeClr val="accent1">
              <a:alpha val="99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47003499562554"/>
          <c:y val="5.0925925925925923E-2"/>
          <c:w val="0.68295562506741458"/>
          <c:h val="0.7953783902012248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ferment.!$E$8:$E$63</c:f>
              <c:numCache>
                <c:formatCode>0.00</c:formatCode>
                <c:ptCount val="56"/>
                <c:pt idx="0">
                  <c:v>2.0833333335758653E-2</c:v>
                </c:pt>
                <c:pt idx="1">
                  <c:v>0.98958333333575865</c:v>
                </c:pt>
                <c:pt idx="2">
                  <c:v>1.9513888888905058</c:v>
                </c:pt>
                <c:pt idx="3">
                  <c:v>2.8993055555547471</c:v>
                </c:pt>
                <c:pt idx="4">
                  <c:v>3.8958333333357587</c:v>
                </c:pt>
                <c:pt idx="5">
                  <c:v>5.03125</c:v>
                </c:pt>
                <c:pt idx="6">
                  <c:v>6.21875</c:v>
                </c:pt>
                <c:pt idx="7">
                  <c:v>6.9652777777810115</c:v>
                </c:pt>
                <c:pt idx="8">
                  <c:v>7.9909722222218988</c:v>
                </c:pt>
                <c:pt idx="9">
                  <c:v>8.9166666666642413</c:v>
                </c:pt>
                <c:pt idx="10">
                  <c:v>9.9097222222189885</c:v>
                </c:pt>
                <c:pt idx="11">
                  <c:v>10.895833333335759</c:v>
                </c:pt>
                <c:pt idx="12">
                  <c:v>12.208333333335759</c:v>
                </c:pt>
                <c:pt idx="13">
                  <c:v>13.017361111109494</c:v>
                </c:pt>
                <c:pt idx="14">
                  <c:v>15.048611111109494</c:v>
                </c:pt>
                <c:pt idx="15">
                  <c:v>15.9375</c:v>
                </c:pt>
                <c:pt idx="16">
                  <c:v>16.899305555554747</c:v>
                </c:pt>
                <c:pt idx="17">
                  <c:v>19.0625</c:v>
                </c:pt>
                <c:pt idx="18">
                  <c:v>19.979166666664241</c:v>
                </c:pt>
                <c:pt idx="19">
                  <c:v>21.225694444445253</c:v>
                </c:pt>
                <c:pt idx="20">
                  <c:v>22.145833333335759</c:v>
                </c:pt>
                <c:pt idx="21">
                  <c:v>23.020833333335759</c:v>
                </c:pt>
                <c:pt idx="22">
                  <c:v>23.90625</c:v>
                </c:pt>
                <c:pt idx="23">
                  <c:v>24.930555555554747</c:v>
                </c:pt>
                <c:pt idx="24">
                  <c:v>26.243055555554747</c:v>
                </c:pt>
                <c:pt idx="25">
                  <c:v>27.03125</c:v>
                </c:pt>
                <c:pt idx="26">
                  <c:v>28.145833333335759</c:v>
                </c:pt>
                <c:pt idx="27">
                  <c:v>29.201388888890506</c:v>
                </c:pt>
                <c:pt idx="28">
                  <c:v>30.041666666664241</c:v>
                </c:pt>
                <c:pt idx="29">
                  <c:v>33.152777777781012</c:v>
                </c:pt>
                <c:pt idx="30">
                  <c:v>35.194444444445253</c:v>
                </c:pt>
                <c:pt idx="31">
                  <c:v>36.274305555554747</c:v>
                </c:pt>
                <c:pt idx="32">
                  <c:v>37.902777777781012</c:v>
                </c:pt>
                <c:pt idx="33">
                  <c:v>38.902777777781012</c:v>
                </c:pt>
                <c:pt idx="34">
                  <c:v>41.1875</c:v>
                </c:pt>
                <c:pt idx="35">
                  <c:v>43.263888888890506</c:v>
                </c:pt>
                <c:pt idx="36">
                  <c:v>43.951388888890506</c:v>
                </c:pt>
                <c:pt idx="37">
                  <c:v>44.902777777781012</c:v>
                </c:pt>
                <c:pt idx="38">
                  <c:v>47.173611111109494</c:v>
                </c:pt>
                <c:pt idx="39">
                  <c:v>47.944444444445253</c:v>
                </c:pt>
                <c:pt idx="40">
                  <c:v>48.989583333335759</c:v>
                </c:pt>
                <c:pt idx="41">
                  <c:v>51.225694444445253</c:v>
                </c:pt>
                <c:pt idx="42">
                  <c:v>54.138888888890506</c:v>
                </c:pt>
                <c:pt idx="43">
                  <c:v>55.180555555554747</c:v>
                </c:pt>
                <c:pt idx="44">
                  <c:v>56.048611111109494</c:v>
                </c:pt>
                <c:pt idx="45">
                  <c:v>57.979166666664241</c:v>
                </c:pt>
                <c:pt idx="46">
                  <c:v>59.003472222218988</c:v>
                </c:pt>
                <c:pt idx="47">
                  <c:v>61.961805555554747</c:v>
                </c:pt>
                <c:pt idx="48">
                  <c:v>62.975694444445253</c:v>
                </c:pt>
                <c:pt idx="49">
                  <c:v>64.034722222218988</c:v>
                </c:pt>
                <c:pt idx="50">
                  <c:v>65.034722222218988</c:v>
                </c:pt>
                <c:pt idx="51">
                  <c:v>67.96875</c:v>
                </c:pt>
                <c:pt idx="52">
                  <c:v>69.048611111109494</c:v>
                </c:pt>
                <c:pt idx="53">
                  <c:v>70.1875</c:v>
                </c:pt>
                <c:pt idx="54">
                  <c:v>71.21875</c:v>
                </c:pt>
                <c:pt idx="55">
                  <c:v>71.951388888890506</c:v>
                </c:pt>
              </c:numCache>
            </c:numRef>
          </c:xVal>
          <c:yVal>
            <c:numRef>
              <c:f>ferment.!$J$8:$J$63</c:f>
              <c:numCache>
                <c:formatCode>0.00E+00</c:formatCode>
                <c:ptCount val="56"/>
                <c:pt idx="0">
                  <c:v>462500</c:v>
                </c:pt>
                <c:pt idx="1">
                  <c:v>850000</c:v>
                </c:pt>
                <c:pt idx="2">
                  <c:v>1753333.3333333333</c:v>
                </c:pt>
                <c:pt idx="3">
                  <c:v>2136666.6666666665</c:v>
                </c:pt>
                <c:pt idx="4">
                  <c:v>3270000</c:v>
                </c:pt>
                <c:pt idx="5">
                  <c:v>2815000</c:v>
                </c:pt>
                <c:pt idx="6">
                  <c:v>2655000</c:v>
                </c:pt>
                <c:pt idx="7">
                  <c:v>2197500</c:v>
                </c:pt>
                <c:pt idx="8">
                  <c:v>2813333.3333333335</c:v>
                </c:pt>
                <c:pt idx="9">
                  <c:v>2898333.3333333335</c:v>
                </c:pt>
                <c:pt idx="10">
                  <c:v>2880000</c:v>
                </c:pt>
                <c:pt idx="11">
                  <c:v>3210000</c:v>
                </c:pt>
                <c:pt idx="12">
                  <c:v>2870000</c:v>
                </c:pt>
                <c:pt idx="13">
                  <c:v>2380000</c:v>
                </c:pt>
                <c:pt idx="14">
                  <c:v>3353333.3333333335</c:v>
                </c:pt>
                <c:pt idx="15">
                  <c:v>3673333.3333333335</c:v>
                </c:pt>
                <c:pt idx="16">
                  <c:v>4250000</c:v>
                </c:pt>
                <c:pt idx="17">
                  <c:v>5190000</c:v>
                </c:pt>
                <c:pt idx="18">
                  <c:v>6375000</c:v>
                </c:pt>
                <c:pt idx="19">
                  <c:v>7245000</c:v>
                </c:pt>
                <c:pt idx="20">
                  <c:v>6360000</c:v>
                </c:pt>
                <c:pt idx="21">
                  <c:v>6900000</c:v>
                </c:pt>
                <c:pt idx="22">
                  <c:v>6850000</c:v>
                </c:pt>
                <c:pt idx="23">
                  <c:v>7995000</c:v>
                </c:pt>
                <c:pt idx="24">
                  <c:v>7470000</c:v>
                </c:pt>
                <c:pt idx="25">
                  <c:v>8280000</c:v>
                </c:pt>
                <c:pt idx="26">
                  <c:v>8830000</c:v>
                </c:pt>
                <c:pt idx="27">
                  <c:v>8760000</c:v>
                </c:pt>
                <c:pt idx="28">
                  <c:v>8805000</c:v>
                </c:pt>
                <c:pt idx="29">
                  <c:v>8800000</c:v>
                </c:pt>
                <c:pt idx="30">
                  <c:v>9705000</c:v>
                </c:pt>
                <c:pt idx="31">
                  <c:v>9375000</c:v>
                </c:pt>
                <c:pt idx="32">
                  <c:v>7485000</c:v>
                </c:pt>
                <c:pt idx="33">
                  <c:v>6900000</c:v>
                </c:pt>
                <c:pt idx="34">
                  <c:v>5480000</c:v>
                </c:pt>
                <c:pt idx="35">
                  <c:v>5595000</c:v>
                </c:pt>
                <c:pt idx="36">
                  <c:v>5313333.333333333</c:v>
                </c:pt>
                <c:pt idx="37">
                  <c:v>5400000</c:v>
                </c:pt>
                <c:pt idx="38">
                  <c:v>5326666.666666667</c:v>
                </c:pt>
                <c:pt idx="39">
                  <c:v>5613333.333333333</c:v>
                </c:pt>
                <c:pt idx="40">
                  <c:v>5190000</c:v>
                </c:pt>
                <c:pt idx="41">
                  <c:v>5170000</c:v>
                </c:pt>
                <c:pt idx="42">
                  <c:v>6110000</c:v>
                </c:pt>
                <c:pt idx="43">
                  <c:v>5593333.333333333</c:v>
                </c:pt>
                <c:pt idx="44">
                  <c:v>6086666.666666667</c:v>
                </c:pt>
                <c:pt idx="45">
                  <c:v>6752500</c:v>
                </c:pt>
                <c:pt idx="46">
                  <c:v>7325000</c:v>
                </c:pt>
                <c:pt idx="47">
                  <c:v>7940000</c:v>
                </c:pt>
                <c:pt idx="48">
                  <c:v>9210000</c:v>
                </c:pt>
                <c:pt idx="49">
                  <c:v>7470000</c:v>
                </c:pt>
                <c:pt idx="50">
                  <c:v>9330000</c:v>
                </c:pt>
                <c:pt idx="51">
                  <c:v>10780000</c:v>
                </c:pt>
                <c:pt idx="52">
                  <c:v>10493333.333333334</c:v>
                </c:pt>
                <c:pt idx="53">
                  <c:v>8626666.666666666</c:v>
                </c:pt>
                <c:pt idx="54">
                  <c:v>9600000</c:v>
                </c:pt>
                <c:pt idx="55">
                  <c:v>9753333.333333334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65-46D6-B612-65D759357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346480"/>
        <c:axId val="510345824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ferment.!$E$8:$E$63</c:f>
              <c:numCache>
                <c:formatCode>0.00</c:formatCode>
                <c:ptCount val="56"/>
                <c:pt idx="0">
                  <c:v>2.0833333335758653E-2</c:v>
                </c:pt>
                <c:pt idx="1">
                  <c:v>0.98958333333575865</c:v>
                </c:pt>
                <c:pt idx="2">
                  <c:v>1.9513888888905058</c:v>
                </c:pt>
                <c:pt idx="3">
                  <c:v>2.8993055555547471</c:v>
                </c:pt>
                <c:pt idx="4">
                  <c:v>3.8958333333357587</c:v>
                </c:pt>
                <c:pt idx="5">
                  <c:v>5.03125</c:v>
                </c:pt>
                <c:pt idx="6">
                  <c:v>6.21875</c:v>
                </c:pt>
                <c:pt idx="7">
                  <c:v>6.9652777777810115</c:v>
                </c:pt>
                <c:pt idx="8">
                  <c:v>7.9909722222218988</c:v>
                </c:pt>
                <c:pt idx="9">
                  <c:v>8.9166666666642413</c:v>
                </c:pt>
                <c:pt idx="10">
                  <c:v>9.9097222222189885</c:v>
                </c:pt>
                <c:pt idx="11">
                  <c:v>10.895833333335759</c:v>
                </c:pt>
                <c:pt idx="12">
                  <c:v>12.208333333335759</c:v>
                </c:pt>
                <c:pt idx="13">
                  <c:v>13.017361111109494</c:v>
                </c:pt>
                <c:pt idx="14">
                  <c:v>15.048611111109494</c:v>
                </c:pt>
                <c:pt idx="15">
                  <c:v>15.9375</c:v>
                </c:pt>
                <c:pt idx="16">
                  <c:v>16.899305555554747</c:v>
                </c:pt>
                <c:pt idx="17">
                  <c:v>19.0625</c:v>
                </c:pt>
                <c:pt idx="18">
                  <c:v>19.979166666664241</c:v>
                </c:pt>
                <c:pt idx="19">
                  <c:v>21.225694444445253</c:v>
                </c:pt>
                <c:pt idx="20">
                  <c:v>22.145833333335759</c:v>
                </c:pt>
                <c:pt idx="21">
                  <c:v>23.020833333335759</c:v>
                </c:pt>
                <c:pt idx="22">
                  <c:v>23.90625</c:v>
                </c:pt>
                <c:pt idx="23">
                  <c:v>24.930555555554747</c:v>
                </c:pt>
                <c:pt idx="24">
                  <c:v>26.243055555554747</c:v>
                </c:pt>
                <c:pt idx="25">
                  <c:v>27.03125</c:v>
                </c:pt>
                <c:pt idx="26">
                  <c:v>28.145833333335759</c:v>
                </c:pt>
                <c:pt idx="27">
                  <c:v>29.201388888890506</c:v>
                </c:pt>
                <c:pt idx="28">
                  <c:v>30.041666666664241</c:v>
                </c:pt>
                <c:pt idx="29">
                  <c:v>33.152777777781012</c:v>
                </c:pt>
                <c:pt idx="30">
                  <c:v>35.194444444445253</c:v>
                </c:pt>
                <c:pt idx="31">
                  <c:v>36.274305555554747</c:v>
                </c:pt>
                <c:pt idx="32">
                  <c:v>37.902777777781012</c:v>
                </c:pt>
                <c:pt idx="33">
                  <c:v>38.902777777781012</c:v>
                </c:pt>
                <c:pt idx="34">
                  <c:v>41.1875</c:v>
                </c:pt>
                <c:pt idx="35">
                  <c:v>43.263888888890506</c:v>
                </c:pt>
                <c:pt idx="36">
                  <c:v>43.951388888890506</c:v>
                </c:pt>
                <c:pt idx="37">
                  <c:v>44.902777777781012</c:v>
                </c:pt>
                <c:pt idx="38">
                  <c:v>47.173611111109494</c:v>
                </c:pt>
                <c:pt idx="39">
                  <c:v>47.944444444445253</c:v>
                </c:pt>
                <c:pt idx="40">
                  <c:v>48.989583333335759</c:v>
                </c:pt>
                <c:pt idx="41">
                  <c:v>51.225694444445253</c:v>
                </c:pt>
                <c:pt idx="42">
                  <c:v>54.138888888890506</c:v>
                </c:pt>
                <c:pt idx="43">
                  <c:v>55.180555555554747</c:v>
                </c:pt>
                <c:pt idx="44">
                  <c:v>56.048611111109494</c:v>
                </c:pt>
                <c:pt idx="45">
                  <c:v>57.979166666664241</c:v>
                </c:pt>
                <c:pt idx="46">
                  <c:v>59.003472222218988</c:v>
                </c:pt>
                <c:pt idx="47">
                  <c:v>61.961805555554747</c:v>
                </c:pt>
                <c:pt idx="48">
                  <c:v>62.975694444445253</c:v>
                </c:pt>
                <c:pt idx="49">
                  <c:v>64.034722222218988</c:v>
                </c:pt>
                <c:pt idx="50">
                  <c:v>65.034722222218988</c:v>
                </c:pt>
                <c:pt idx="51">
                  <c:v>67.96875</c:v>
                </c:pt>
                <c:pt idx="52">
                  <c:v>69.048611111109494</c:v>
                </c:pt>
                <c:pt idx="53">
                  <c:v>70.1875</c:v>
                </c:pt>
                <c:pt idx="54">
                  <c:v>71.21875</c:v>
                </c:pt>
                <c:pt idx="55">
                  <c:v>71.951388888890506</c:v>
                </c:pt>
              </c:numCache>
            </c:numRef>
          </c:xVal>
          <c:yVal>
            <c:numRef>
              <c:f>ferment.!$P$8:$P$63</c:f>
              <c:numCache>
                <c:formatCode>0.00</c:formatCode>
                <c:ptCount val="56"/>
                <c:pt idx="0">
                  <c:v>7.33</c:v>
                </c:pt>
                <c:pt idx="1">
                  <c:v>7.33</c:v>
                </c:pt>
                <c:pt idx="2">
                  <c:v>6.99</c:v>
                </c:pt>
                <c:pt idx="3">
                  <c:v>7</c:v>
                </c:pt>
                <c:pt idx="4">
                  <c:v>6.97</c:v>
                </c:pt>
                <c:pt idx="5">
                  <c:v>6.99</c:v>
                </c:pt>
                <c:pt idx="6">
                  <c:v>7.01</c:v>
                </c:pt>
                <c:pt idx="7">
                  <c:v>7</c:v>
                </c:pt>
                <c:pt idx="8">
                  <c:v>6.95</c:v>
                </c:pt>
                <c:pt idx="9">
                  <c:v>6.97</c:v>
                </c:pt>
                <c:pt idx="10">
                  <c:v>6.96</c:v>
                </c:pt>
                <c:pt idx="11">
                  <c:v>7.01</c:v>
                </c:pt>
                <c:pt idx="12">
                  <c:v>6.93</c:v>
                </c:pt>
                <c:pt idx="13">
                  <c:v>7.12</c:v>
                </c:pt>
                <c:pt idx="14">
                  <c:v>7.11</c:v>
                </c:pt>
                <c:pt idx="15">
                  <c:v>7.11</c:v>
                </c:pt>
                <c:pt idx="16">
                  <c:v>7.12</c:v>
                </c:pt>
                <c:pt idx="17">
                  <c:v>7.13</c:v>
                </c:pt>
                <c:pt idx="18">
                  <c:v>7.14</c:v>
                </c:pt>
                <c:pt idx="19">
                  <c:v>7.13</c:v>
                </c:pt>
                <c:pt idx="20">
                  <c:v>7.13</c:v>
                </c:pt>
                <c:pt idx="21">
                  <c:v>7.11</c:v>
                </c:pt>
                <c:pt idx="22">
                  <c:v>7.32</c:v>
                </c:pt>
                <c:pt idx="23">
                  <c:v>7.11</c:v>
                </c:pt>
                <c:pt idx="24">
                  <c:v>7.15</c:v>
                </c:pt>
                <c:pt idx="25">
                  <c:v>7.13</c:v>
                </c:pt>
                <c:pt idx="26">
                  <c:v>7.11</c:v>
                </c:pt>
                <c:pt idx="27">
                  <c:v>7.15</c:v>
                </c:pt>
                <c:pt idx="28">
                  <c:v>7.16</c:v>
                </c:pt>
                <c:pt idx="29">
                  <c:v>7.14</c:v>
                </c:pt>
                <c:pt idx="30">
                  <c:v>7.11</c:v>
                </c:pt>
                <c:pt idx="31">
                  <c:v>7.11</c:v>
                </c:pt>
                <c:pt idx="32">
                  <c:v>7.13</c:v>
                </c:pt>
                <c:pt idx="33">
                  <c:v>7.13</c:v>
                </c:pt>
                <c:pt idx="34">
                  <c:v>7.1</c:v>
                </c:pt>
                <c:pt idx="35">
                  <c:v>7.13</c:v>
                </c:pt>
                <c:pt idx="36">
                  <c:v>7.12</c:v>
                </c:pt>
                <c:pt idx="37">
                  <c:v>7.11</c:v>
                </c:pt>
                <c:pt idx="38">
                  <c:v>7.12</c:v>
                </c:pt>
                <c:pt idx="39">
                  <c:v>7.11</c:v>
                </c:pt>
                <c:pt idx="40">
                  <c:v>7.11</c:v>
                </c:pt>
                <c:pt idx="41">
                  <c:v>7.01</c:v>
                </c:pt>
                <c:pt idx="42">
                  <c:v>6.89</c:v>
                </c:pt>
                <c:pt idx="43">
                  <c:v>7.11</c:v>
                </c:pt>
                <c:pt idx="44">
                  <c:v>7.11</c:v>
                </c:pt>
                <c:pt idx="45">
                  <c:v>7.13</c:v>
                </c:pt>
                <c:pt idx="46">
                  <c:v>7.11</c:v>
                </c:pt>
                <c:pt idx="47">
                  <c:v>7.12</c:v>
                </c:pt>
                <c:pt idx="48">
                  <c:v>7.12</c:v>
                </c:pt>
                <c:pt idx="49">
                  <c:v>7.13</c:v>
                </c:pt>
                <c:pt idx="50">
                  <c:v>7.14</c:v>
                </c:pt>
                <c:pt idx="51">
                  <c:v>7.11</c:v>
                </c:pt>
                <c:pt idx="52">
                  <c:v>7.12</c:v>
                </c:pt>
                <c:pt idx="53">
                  <c:v>7.29</c:v>
                </c:pt>
                <c:pt idx="54">
                  <c:v>7.11</c:v>
                </c:pt>
                <c:pt idx="55">
                  <c:v>7.11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65-46D6-B612-65D759357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274320"/>
        <c:axId val="510273336"/>
      </c:scatterChart>
      <c:valAx>
        <c:axId val="51034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culture</a:t>
                </a:r>
                <a:r>
                  <a:rPr lang="en-US" baseline="0"/>
                  <a:t> time(d)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0345824"/>
        <c:crosses val="autoZero"/>
        <c:crossBetween val="midCat"/>
      </c:valAx>
      <c:valAx>
        <c:axId val="5103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Viable</a:t>
                </a:r>
                <a:r>
                  <a:rPr lang="en-US" baseline="0"/>
                  <a:t> cell density(cel/mL)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0346480"/>
        <c:crosses val="autoZero"/>
        <c:crossBetween val="midCat"/>
      </c:valAx>
      <c:valAx>
        <c:axId val="5102733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0274320"/>
        <c:crosses val="max"/>
        <c:crossBetween val="midCat"/>
      </c:valAx>
      <c:valAx>
        <c:axId val="51027432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51027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-2L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6817451592135887"/>
          <c:y val="5.0925925925925923E-2"/>
          <c:w val="0.64128806544380867"/>
          <c:h val="0.78489922830111514"/>
        </c:manualLayout>
      </c:layout>
      <c:scatterChart>
        <c:scatterStyle val="smoothMarker"/>
        <c:varyColors val="0"/>
        <c:ser>
          <c:idx val="0"/>
          <c:order val="0"/>
          <c:tx>
            <c:v>Xv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ferment.!$E$8:$E$63</c:f>
              <c:numCache>
                <c:formatCode>0.00</c:formatCode>
                <c:ptCount val="56"/>
                <c:pt idx="0">
                  <c:v>2.0833333335758653E-2</c:v>
                </c:pt>
                <c:pt idx="1">
                  <c:v>0.98958333333575865</c:v>
                </c:pt>
                <c:pt idx="2">
                  <c:v>1.9513888888905058</c:v>
                </c:pt>
                <c:pt idx="3">
                  <c:v>2.8993055555547471</c:v>
                </c:pt>
                <c:pt idx="4">
                  <c:v>3.8958333333357587</c:v>
                </c:pt>
                <c:pt idx="5">
                  <c:v>5.03125</c:v>
                </c:pt>
                <c:pt idx="6">
                  <c:v>6.21875</c:v>
                </c:pt>
                <c:pt idx="7">
                  <c:v>6.9652777777810115</c:v>
                </c:pt>
                <c:pt idx="8">
                  <c:v>7.9909722222218988</c:v>
                </c:pt>
                <c:pt idx="9">
                  <c:v>8.9166666666642413</c:v>
                </c:pt>
                <c:pt idx="10">
                  <c:v>9.9097222222189885</c:v>
                </c:pt>
                <c:pt idx="11">
                  <c:v>10.895833333335759</c:v>
                </c:pt>
                <c:pt idx="12">
                  <c:v>12.208333333335759</c:v>
                </c:pt>
                <c:pt idx="13">
                  <c:v>13.017361111109494</c:v>
                </c:pt>
                <c:pt idx="14">
                  <c:v>15.048611111109494</c:v>
                </c:pt>
                <c:pt idx="15">
                  <c:v>15.9375</c:v>
                </c:pt>
                <c:pt idx="16">
                  <c:v>16.899305555554747</c:v>
                </c:pt>
                <c:pt idx="17">
                  <c:v>19.0625</c:v>
                </c:pt>
                <c:pt idx="18">
                  <c:v>19.979166666664241</c:v>
                </c:pt>
                <c:pt idx="19">
                  <c:v>21.225694444445253</c:v>
                </c:pt>
                <c:pt idx="20">
                  <c:v>22.145833333335759</c:v>
                </c:pt>
                <c:pt idx="21">
                  <c:v>23.020833333335759</c:v>
                </c:pt>
                <c:pt idx="22">
                  <c:v>23.90625</c:v>
                </c:pt>
                <c:pt idx="23">
                  <c:v>24.930555555554747</c:v>
                </c:pt>
                <c:pt idx="24">
                  <c:v>26.243055555554747</c:v>
                </c:pt>
                <c:pt idx="25">
                  <c:v>27.03125</c:v>
                </c:pt>
                <c:pt idx="26">
                  <c:v>28.145833333335759</c:v>
                </c:pt>
                <c:pt idx="27">
                  <c:v>29.201388888890506</c:v>
                </c:pt>
                <c:pt idx="28">
                  <c:v>30.041666666664241</c:v>
                </c:pt>
                <c:pt idx="29">
                  <c:v>33.152777777781012</c:v>
                </c:pt>
                <c:pt idx="30">
                  <c:v>35.194444444445253</c:v>
                </c:pt>
                <c:pt idx="31">
                  <c:v>36.274305555554747</c:v>
                </c:pt>
                <c:pt idx="32">
                  <c:v>37.902777777781012</c:v>
                </c:pt>
                <c:pt idx="33">
                  <c:v>38.902777777781012</c:v>
                </c:pt>
                <c:pt idx="34">
                  <c:v>41.1875</c:v>
                </c:pt>
                <c:pt idx="35">
                  <c:v>43.263888888890506</c:v>
                </c:pt>
                <c:pt idx="36">
                  <c:v>43.951388888890506</c:v>
                </c:pt>
                <c:pt idx="37">
                  <c:v>44.902777777781012</c:v>
                </c:pt>
                <c:pt idx="38">
                  <c:v>47.173611111109494</c:v>
                </c:pt>
                <c:pt idx="39">
                  <c:v>47.944444444445253</c:v>
                </c:pt>
                <c:pt idx="40">
                  <c:v>48.989583333335759</c:v>
                </c:pt>
                <c:pt idx="41">
                  <c:v>51.225694444445253</c:v>
                </c:pt>
                <c:pt idx="42">
                  <c:v>54.138888888890506</c:v>
                </c:pt>
                <c:pt idx="43">
                  <c:v>55.180555555554747</c:v>
                </c:pt>
                <c:pt idx="44">
                  <c:v>56.048611111109494</c:v>
                </c:pt>
                <c:pt idx="45">
                  <c:v>57.979166666664241</c:v>
                </c:pt>
                <c:pt idx="46">
                  <c:v>59.003472222218988</c:v>
                </c:pt>
                <c:pt idx="47">
                  <c:v>61.961805555554747</c:v>
                </c:pt>
                <c:pt idx="48">
                  <c:v>62.975694444445253</c:v>
                </c:pt>
                <c:pt idx="49">
                  <c:v>64.034722222218988</c:v>
                </c:pt>
                <c:pt idx="50">
                  <c:v>65.034722222218988</c:v>
                </c:pt>
                <c:pt idx="51">
                  <c:v>67.96875</c:v>
                </c:pt>
                <c:pt idx="52">
                  <c:v>69.048611111109494</c:v>
                </c:pt>
                <c:pt idx="53">
                  <c:v>70.1875</c:v>
                </c:pt>
                <c:pt idx="54">
                  <c:v>71.21875</c:v>
                </c:pt>
                <c:pt idx="55">
                  <c:v>71.951388888890506</c:v>
                </c:pt>
              </c:numCache>
            </c:numRef>
          </c:xVal>
          <c:yVal>
            <c:numRef>
              <c:f>ferment.!$J$8:$J$63</c:f>
              <c:numCache>
                <c:formatCode>0.00E+00</c:formatCode>
                <c:ptCount val="56"/>
                <c:pt idx="0">
                  <c:v>462500</c:v>
                </c:pt>
                <c:pt idx="1">
                  <c:v>850000</c:v>
                </c:pt>
                <c:pt idx="2">
                  <c:v>1753333.3333333333</c:v>
                </c:pt>
                <c:pt idx="3">
                  <c:v>2136666.6666666665</c:v>
                </c:pt>
                <c:pt idx="4">
                  <c:v>3270000</c:v>
                </c:pt>
                <c:pt idx="5">
                  <c:v>2815000</c:v>
                </c:pt>
                <c:pt idx="6">
                  <c:v>2655000</c:v>
                </c:pt>
                <c:pt idx="7">
                  <c:v>2197500</c:v>
                </c:pt>
                <c:pt idx="8">
                  <c:v>2813333.3333333335</c:v>
                </c:pt>
                <c:pt idx="9">
                  <c:v>2898333.3333333335</c:v>
                </c:pt>
                <c:pt idx="10">
                  <c:v>2880000</c:v>
                </c:pt>
                <c:pt idx="11">
                  <c:v>3210000</c:v>
                </c:pt>
                <c:pt idx="12">
                  <c:v>2870000</c:v>
                </c:pt>
                <c:pt idx="13">
                  <c:v>2380000</c:v>
                </c:pt>
                <c:pt idx="14">
                  <c:v>3353333.3333333335</c:v>
                </c:pt>
                <c:pt idx="15">
                  <c:v>3673333.3333333335</c:v>
                </c:pt>
                <c:pt idx="16">
                  <c:v>4250000</c:v>
                </c:pt>
                <c:pt idx="17">
                  <c:v>5190000</c:v>
                </c:pt>
                <c:pt idx="18">
                  <c:v>6375000</c:v>
                </c:pt>
                <c:pt idx="19">
                  <c:v>7245000</c:v>
                </c:pt>
                <c:pt idx="20">
                  <c:v>6360000</c:v>
                </c:pt>
                <c:pt idx="21">
                  <c:v>6900000</c:v>
                </c:pt>
                <c:pt idx="22">
                  <c:v>6850000</c:v>
                </c:pt>
                <c:pt idx="23">
                  <c:v>7995000</c:v>
                </c:pt>
                <c:pt idx="24">
                  <c:v>7470000</c:v>
                </c:pt>
                <c:pt idx="25">
                  <c:v>8280000</c:v>
                </c:pt>
                <c:pt idx="26">
                  <c:v>8830000</c:v>
                </c:pt>
                <c:pt idx="27">
                  <c:v>8760000</c:v>
                </c:pt>
                <c:pt idx="28">
                  <c:v>8805000</c:v>
                </c:pt>
                <c:pt idx="29">
                  <c:v>8800000</c:v>
                </c:pt>
                <c:pt idx="30">
                  <c:v>9705000</c:v>
                </c:pt>
                <c:pt idx="31">
                  <c:v>9375000</c:v>
                </c:pt>
                <c:pt idx="32">
                  <c:v>7485000</c:v>
                </c:pt>
                <c:pt idx="33">
                  <c:v>6900000</c:v>
                </c:pt>
                <c:pt idx="34">
                  <c:v>5480000</c:v>
                </c:pt>
                <c:pt idx="35">
                  <c:v>5595000</c:v>
                </c:pt>
                <c:pt idx="36">
                  <c:v>5313333.333333333</c:v>
                </c:pt>
                <c:pt idx="37">
                  <c:v>5400000</c:v>
                </c:pt>
                <c:pt idx="38">
                  <c:v>5326666.666666667</c:v>
                </c:pt>
                <c:pt idx="39">
                  <c:v>5613333.333333333</c:v>
                </c:pt>
                <c:pt idx="40">
                  <c:v>5190000</c:v>
                </c:pt>
                <c:pt idx="41">
                  <c:v>5170000</c:v>
                </c:pt>
                <c:pt idx="42">
                  <c:v>6110000</c:v>
                </c:pt>
                <c:pt idx="43">
                  <c:v>5593333.333333333</c:v>
                </c:pt>
                <c:pt idx="44">
                  <c:v>6086666.666666667</c:v>
                </c:pt>
                <c:pt idx="45">
                  <c:v>6752500</c:v>
                </c:pt>
                <c:pt idx="46">
                  <c:v>7325000</c:v>
                </c:pt>
                <c:pt idx="47">
                  <c:v>7940000</c:v>
                </c:pt>
                <c:pt idx="48">
                  <c:v>9210000</c:v>
                </c:pt>
                <c:pt idx="49">
                  <c:v>7470000</c:v>
                </c:pt>
                <c:pt idx="50">
                  <c:v>9330000</c:v>
                </c:pt>
                <c:pt idx="51">
                  <c:v>10780000</c:v>
                </c:pt>
                <c:pt idx="52">
                  <c:v>10493333.333333334</c:v>
                </c:pt>
                <c:pt idx="53">
                  <c:v>8626666.666666666</c:v>
                </c:pt>
                <c:pt idx="54">
                  <c:v>9600000</c:v>
                </c:pt>
                <c:pt idx="55">
                  <c:v>9753333.333333334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C0-4C01-BEC1-E4039D96A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346480"/>
        <c:axId val="510345824"/>
      </c:scatterChart>
      <c:scatterChart>
        <c:scatterStyle val="smoothMarker"/>
        <c:varyColors val="0"/>
        <c:ser>
          <c:idx val="1"/>
          <c:order val="1"/>
          <c:tx>
            <c:v>CSPR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ferment.!$E$11:$E$63</c:f>
              <c:numCache>
                <c:formatCode>0.00</c:formatCode>
                <c:ptCount val="53"/>
                <c:pt idx="0">
                  <c:v>2.8993055555547471</c:v>
                </c:pt>
                <c:pt idx="1">
                  <c:v>3.8958333333357587</c:v>
                </c:pt>
                <c:pt idx="2">
                  <c:v>5.03125</c:v>
                </c:pt>
                <c:pt idx="3">
                  <c:v>6.21875</c:v>
                </c:pt>
                <c:pt idx="4">
                  <c:v>6.9652777777810115</c:v>
                </c:pt>
                <c:pt idx="5">
                  <c:v>7.9909722222218988</c:v>
                </c:pt>
                <c:pt idx="6">
                  <c:v>8.9166666666642413</c:v>
                </c:pt>
                <c:pt idx="7">
                  <c:v>9.9097222222189885</c:v>
                </c:pt>
                <c:pt idx="8">
                  <c:v>10.895833333335759</c:v>
                </c:pt>
                <c:pt idx="9">
                  <c:v>12.208333333335759</c:v>
                </c:pt>
                <c:pt idx="10">
                  <c:v>13.017361111109494</c:v>
                </c:pt>
                <c:pt idx="11">
                  <c:v>15.048611111109494</c:v>
                </c:pt>
                <c:pt idx="12">
                  <c:v>15.9375</c:v>
                </c:pt>
                <c:pt idx="13">
                  <c:v>16.899305555554747</c:v>
                </c:pt>
                <c:pt idx="14">
                  <c:v>19.0625</c:v>
                </c:pt>
                <c:pt idx="15">
                  <c:v>19.979166666664241</c:v>
                </c:pt>
                <c:pt idx="16">
                  <c:v>21.225694444445253</c:v>
                </c:pt>
                <c:pt idx="17">
                  <c:v>22.145833333335759</c:v>
                </c:pt>
                <c:pt idx="18">
                  <c:v>23.020833333335759</c:v>
                </c:pt>
                <c:pt idx="19">
                  <c:v>23.90625</c:v>
                </c:pt>
                <c:pt idx="20">
                  <c:v>24.930555555554747</c:v>
                </c:pt>
                <c:pt idx="21">
                  <c:v>26.243055555554747</c:v>
                </c:pt>
                <c:pt idx="22">
                  <c:v>27.03125</c:v>
                </c:pt>
                <c:pt idx="23">
                  <c:v>28.145833333335759</c:v>
                </c:pt>
                <c:pt idx="24">
                  <c:v>29.201388888890506</c:v>
                </c:pt>
                <c:pt idx="25">
                  <c:v>30.041666666664241</c:v>
                </c:pt>
                <c:pt idx="26">
                  <c:v>33.152777777781012</c:v>
                </c:pt>
                <c:pt idx="27">
                  <c:v>35.194444444445253</c:v>
                </c:pt>
                <c:pt idx="28">
                  <c:v>36.274305555554747</c:v>
                </c:pt>
                <c:pt idx="29">
                  <c:v>37.902777777781012</c:v>
                </c:pt>
                <c:pt idx="30">
                  <c:v>38.902777777781012</c:v>
                </c:pt>
                <c:pt idx="31">
                  <c:v>41.1875</c:v>
                </c:pt>
                <c:pt idx="32">
                  <c:v>43.263888888890506</c:v>
                </c:pt>
                <c:pt idx="33">
                  <c:v>43.951388888890506</c:v>
                </c:pt>
                <c:pt idx="34">
                  <c:v>44.902777777781012</c:v>
                </c:pt>
                <c:pt idx="35">
                  <c:v>47.173611111109494</c:v>
                </c:pt>
                <c:pt idx="36">
                  <c:v>47.944444444445253</c:v>
                </c:pt>
                <c:pt idx="37">
                  <c:v>48.989583333335759</c:v>
                </c:pt>
                <c:pt idx="38">
                  <c:v>51.225694444445253</c:v>
                </c:pt>
                <c:pt idx="39">
                  <c:v>54.138888888890506</c:v>
                </c:pt>
                <c:pt idx="40">
                  <c:v>55.180555555554747</c:v>
                </c:pt>
                <c:pt idx="41">
                  <c:v>56.048611111109494</c:v>
                </c:pt>
                <c:pt idx="42">
                  <c:v>57.979166666664241</c:v>
                </c:pt>
                <c:pt idx="43">
                  <c:v>59.003472222218988</c:v>
                </c:pt>
                <c:pt idx="44">
                  <c:v>61.961805555554747</c:v>
                </c:pt>
                <c:pt idx="45">
                  <c:v>62.975694444445253</c:v>
                </c:pt>
                <c:pt idx="46">
                  <c:v>64.034722222218988</c:v>
                </c:pt>
                <c:pt idx="47">
                  <c:v>65.034722222218988</c:v>
                </c:pt>
                <c:pt idx="48">
                  <c:v>67.96875</c:v>
                </c:pt>
                <c:pt idx="49">
                  <c:v>69.048611111109494</c:v>
                </c:pt>
                <c:pt idx="50">
                  <c:v>70.1875</c:v>
                </c:pt>
                <c:pt idx="51">
                  <c:v>71.21875</c:v>
                </c:pt>
                <c:pt idx="52">
                  <c:v>71.951388888890506</c:v>
                </c:pt>
              </c:numCache>
            </c:numRef>
          </c:xVal>
          <c:yVal>
            <c:numRef>
              <c:f>ferment.!$AK$11:$AK$63</c:f>
              <c:numCache>
                <c:formatCode>0.000</c:formatCode>
                <c:ptCount val="53"/>
                <c:pt idx="0">
                  <c:v>0.10051014285495094</c:v>
                </c:pt>
                <c:pt idx="1">
                  <c:v>0.13502541316326097</c:v>
                </c:pt>
                <c:pt idx="2">
                  <c:v>0.16425766291364302</c:v>
                </c:pt>
                <c:pt idx="3">
                  <c:v>0.16651798988997915</c:v>
                </c:pt>
                <c:pt idx="4">
                  <c:v>0.19811096118653776</c:v>
                </c:pt>
                <c:pt idx="5">
                  <c:v>0.16460931759387357</c:v>
                </c:pt>
                <c:pt idx="6">
                  <c:v>0.15840647913595721</c:v>
                </c:pt>
                <c:pt idx="7">
                  <c:v>0.15734265734278549</c:v>
                </c:pt>
                <c:pt idx="8">
                  <c:v>0.14216137949108879</c:v>
                </c:pt>
                <c:pt idx="9">
                  <c:v>0.15264642442342782</c:v>
                </c:pt>
                <c:pt idx="10">
                  <c:v>0.1687885454619463</c:v>
                </c:pt>
                <c:pt idx="11">
                  <c:v>0.12111943722281697</c:v>
                </c:pt>
                <c:pt idx="12">
                  <c:v>0.10719147005425138</c:v>
                </c:pt>
                <c:pt idx="13">
                  <c:v>9.1739222764995354E-2</c:v>
                </c:pt>
                <c:pt idx="14">
                  <c:v>7.7937260505264117E-2</c:v>
                </c:pt>
                <c:pt idx="15">
                  <c:v>6.4171122994822194E-2</c:v>
                </c:pt>
                <c:pt idx="16">
                  <c:v>5.5364279658674E-2</c:v>
                </c:pt>
                <c:pt idx="17">
                  <c:v>6.4079743680912682E-2</c:v>
                </c:pt>
                <c:pt idx="18">
                  <c:v>5.7971014492753561E-2</c:v>
                </c:pt>
                <c:pt idx="19">
                  <c:v>5.770717045958295E-2</c:v>
                </c:pt>
                <c:pt idx="20">
                  <c:v>5.1896842306143158E-2</c:v>
                </c:pt>
                <c:pt idx="21">
                  <c:v>5.3547523427041534E-2</c:v>
                </c:pt>
                <c:pt idx="22">
                  <c:v>4.9798889101653469E-2</c:v>
                </c:pt>
                <c:pt idx="23">
                  <c:v>4.5723478794578908E-2</c:v>
                </c:pt>
                <c:pt idx="24">
                  <c:v>4.5962509012291757E-2</c:v>
                </c:pt>
                <c:pt idx="25">
                  <c:v>4.3926957354457029E-2</c:v>
                </c:pt>
                <c:pt idx="26">
                  <c:v>4.017857142849833E-2</c:v>
                </c:pt>
                <c:pt idx="27">
                  <c:v>3.6337255149398145E-2</c:v>
                </c:pt>
                <c:pt idx="28">
                  <c:v>3.7535691318384079E-2</c:v>
                </c:pt>
                <c:pt idx="29">
                  <c:v>4.7173237733345648E-2</c:v>
                </c:pt>
                <c:pt idx="30">
                  <c:v>5.0724637681159368E-2</c:v>
                </c:pt>
                <c:pt idx="31">
                  <c:v>6.3896345927807616E-2</c:v>
                </c:pt>
                <c:pt idx="32">
                  <c:v>6.2406412796852724E-2</c:v>
                </c:pt>
                <c:pt idx="33">
                  <c:v>6.8438462415877727E-2</c:v>
                </c:pt>
                <c:pt idx="34">
                  <c:v>6.3260340632495748E-2</c:v>
                </c:pt>
                <c:pt idx="35">
                  <c:v>6.6137718019224814E-2</c:v>
                </c:pt>
                <c:pt idx="36">
                  <c:v>6.355524170230982E-2</c:v>
                </c:pt>
                <c:pt idx="37">
                  <c:v>7.8351544946396304E-2</c:v>
                </c:pt>
                <c:pt idx="38">
                  <c:v>7.7849994593806551E-2</c:v>
                </c:pt>
                <c:pt idx="39">
                  <c:v>6.6012652425029864E-2</c:v>
                </c:pt>
                <c:pt idx="40">
                  <c:v>7.1227651966792635E-2</c:v>
                </c:pt>
                <c:pt idx="41">
                  <c:v>6.3404162103016498E-2</c:v>
                </c:pt>
                <c:pt idx="42">
                  <c:v>5.9450403394451325E-2</c:v>
                </c:pt>
                <c:pt idx="43">
                  <c:v>5.6643720715032465E-2</c:v>
                </c:pt>
                <c:pt idx="44">
                  <c:v>5.0023060275972787E-2</c:v>
                </c:pt>
                <c:pt idx="45">
                  <c:v>4.2836107268683865E-2</c:v>
                </c:pt>
                <c:pt idx="46">
                  <c:v>5.3723089077826663E-2</c:v>
                </c:pt>
                <c:pt idx="47">
                  <c:v>4.2872454448017377E-2</c:v>
                </c:pt>
                <c:pt idx="48">
                  <c:v>3.7149663523248978E-2</c:v>
                </c:pt>
                <c:pt idx="49">
                  <c:v>3.7506588167095053E-2</c:v>
                </c:pt>
                <c:pt idx="50">
                  <c:v>4.5802390017653058E-2</c:v>
                </c:pt>
                <c:pt idx="51">
                  <c:v>4.0404040404040262E-2</c:v>
                </c:pt>
                <c:pt idx="52">
                  <c:v>4.1983459294416874E-2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C0-4C01-BEC1-E4039D96ABB0}"/>
            </c:ext>
          </c:extLst>
        </c:ser>
        <c:ser>
          <c:idx val="2"/>
          <c:order val="2"/>
          <c:tx>
            <c:v>u(h-1)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ferment.!$E$8:$E$63</c:f>
              <c:numCache>
                <c:formatCode>0.00</c:formatCode>
                <c:ptCount val="56"/>
                <c:pt idx="0">
                  <c:v>2.0833333335758653E-2</c:v>
                </c:pt>
                <c:pt idx="1">
                  <c:v>0.98958333333575865</c:v>
                </c:pt>
                <c:pt idx="2">
                  <c:v>1.9513888888905058</c:v>
                </c:pt>
                <c:pt idx="3">
                  <c:v>2.8993055555547471</c:v>
                </c:pt>
                <c:pt idx="4">
                  <c:v>3.8958333333357587</c:v>
                </c:pt>
                <c:pt idx="5">
                  <c:v>5.03125</c:v>
                </c:pt>
                <c:pt idx="6">
                  <c:v>6.21875</c:v>
                </c:pt>
                <c:pt idx="7">
                  <c:v>6.9652777777810115</c:v>
                </c:pt>
                <c:pt idx="8">
                  <c:v>7.9909722222218988</c:v>
                </c:pt>
                <c:pt idx="9">
                  <c:v>8.9166666666642413</c:v>
                </c:pt>
                <c:pt idx="10">
                  <c:v>9.9097222222189885</c:v>
                </c:pt>
                <c:pt idx="11">
                  <c:v>10.895833333335759</c:v>
                </c:pt>
                <c:pt idx="12">
                  <c:v>12.208333333335759</c:v>
                </c:pt>
                <c:pt idx="13">
                  <c:v>13.017361111109494</c:v>
                </c:pt>
                <c:pt idx="14">
                  <c:v>15.048611111109494</c:v>
                </c:pt>
                <c:pt idx="15">
                  <c:v>15.9375</c:v>
                </c:pt>
                <c:pt idx="16">
                  <c:v>16.899305555554747</c:v>
                </c:pt>
                <c:pt idx="17">
                  <c:v>19.0625</c:v>
                </c:pt>
                <c:pt idx="18">
                  <c:v>19.979166666664241</c:v>
                </c:pt>
                <c:pt idx="19">
                  <c:v>21.225694444445253</c:v>
                </c:pt>
                <c:pt idx="20">
                  <c:v>22.145833333335759</c:v>
                </c:pt>
                <c:pt idx="21">
                  <c:v>23.020833333335759</c:v>
                </c:pt>
                <c:pt idx="22">
                  <c:v>23.90625</c:v>
                </c:pt>
                <c:pt idx="23">
                  <c:v>24.930555555554747</c:v>
                </c:pt>
                <c:pt idx="24">
                  <c:v>26.243055555554747</c:v>
                </c:pt>
                <c:pt idx="25">
                  <c:v>27.03125</c:v>
                </c:pt>
                <c:pt idx="26">
                  <c:v>28.145833333335759</c:v>
                </c:pt>
                <c:pt idx="27">
                  <c:v>29.201388888890506</c:v>
                </c:pt>
                <c:pt idx="28">
                  <c:v>30.041666666664241</c:v>
                </c:pt>
                <c:pt idx="29">
                  <c:v>33.152777777781012</c:v>
                </c:pt>
                <c:pt idx="30">
                  <c:v>35.194444444445253</c:v>
                </c:pt>
                <c:pt idx="31">
                  <c:v>36.274305555554747</c:v>
                </c:pt>
                <c:pt idx="32">
                  <c:v>37.902777777781012</c:v>
                </c:pt>
                <c:pt idx="33">
                  <c:v>38.902777777781012</c:v>
                </c:pt>
                <c:pt idx="34">
                  <c:v>41.1875</c:v>
                </c:pt>
                <c:pt idx="35">
                  <c:v>43.263888888890506</c:v>
                </c:pt>
                <c:pt idx="36">
                  <c:v>43.951388888890506</c:v>
                </c:pt>
                <c:pt idx="37">
                  <c:v>44.902777777781012</c:v>
                </c:pt>
                <c:pt idx="38">
                  <c:v>47.173611111109494</c:v>
                </c:pt>
                <c:pt idx="39">
                  <c:v>47.944444444445253</c:v>
                </c:pt>
                <c:pt idx="40">
                  <c:v>48.989583333335759</c:v>
                </c:pt>
                <c:pt idx="41">
                  <c:v>51.225694444445253</c:v>
                </c:pt>
                <c:pt idx="42">
                  <c:v>54.138888888890506</c:v>
                </c:pt>
                <c:pt idx="43">
                  <c:v>55.180555555554747</c:v>
                </c:pt>
                <c:pt idx="44">
                  <c:v>56.048611111109494</c:v>
                </c:pt>
                <c:pt idx="45">
                  <c:v>57.979166666664241</c:v>
                </c:pt>
                <c:pt idx="46">
                  <c:v>59.003472222218988</c:v>
                </c:pt>
                <c:pt idx="47">
                  <c:v>61.961805555554747</c:v>
                </c:pt>
                <c:pt idx="48">
                  <c:v>62.975694444445253</c:v>
                </c:pt>
                <c:pt idx="49">
                  <c:v>64.034722222218988</c:v>
                </c:pt>
                <c:pt idx="50">
                  <c:v>65.034722222218988</c:v>
                </c:pt>
                <c:pt idx="51">
                  <c:v>67.96875</c:v>
                </c:pt>
                <c:pt idx="52">
                  <c:v>69.048611111109494</c:v>
                </c:pt>
                <c:pt idx="53">
                  <c:v>70.1875</c:v>
                </c:pt>
                <c:pt idx="54">
                  <c:v>71.21875</c:v>
                </c:pt>
                <c:pt idx="55">
                  <c:v>71.951388888890506</c:v>
                </c:pt>
              </c:numCache>
            </c:numRef>
          </c:xVal>
          <c:yVal>
            <c:numRef>
              <c:f>ferment.!$R$8:$R$63</c:f>
              <c:numCache>
                <c:formatCode>0.0000</c:formatCode>
                <c:ptCount val="56"/>
                <c:pt idx="0" formatCode="General">
                  <c:v>0</c:v>
                </c:pt>
                <c:pt idx="1">
                  <c:v>2.6009535893897477E-2</c:v>
                </c:pt>
                <c:pt idx="2">
                  <c:v>3.0845825918262307E-2</c:v>
                </c:pt>
                <c:pt idx="3">
                  <c:v>2.452772856095059E-2</c:v>
                </c:pt>
                <c:pt idx="4">
                  <c:v>1.1411645027905658E-2</c:v>
                </c:pt>
                <c:pt idx="5">
                  <c:v>1.4006079822176797E-2</c:v>
                </c:pt>
                <c:pt idx="6">
                  <c:v>1.6397416184315304E-2</c:v>
                </c:pt>
                <c:pt idx="7">
                  <c:v>1.2373886128825265E-2</c:v>
                </c:pt>
                <c:pt idx="8">
                  <c:v>3.138978346097112E-2</c:v>
                </c:pt>
                <c:pt idx="9">
                  <c:v>1.6946279251036696E-2</c:v>
                </c:pt>
                <c:pt idx="10">
                  <c:v>1.8498143490296694E-2</c:v>
                </c:pt>
                <c:pt idx="11">
                  <c:v>2.3670555216777391E-2</c:v>
                </c:pt>
                <c:pt idx="12">
                  <c:v>1.4960269687234106E-2</c:v>
                </c:pt>
                <c:pt idx="13">
                  <c:v>1.0589250826040033E-2</c:v>
                </c:pt>
                <c:pt idx="14">
                  <c:v>2.3874559651827627E-2</c:v>
                </c:pt>
                <c:pt idx="15">
                  <c:v>1.8454483991774257E-2</c:v>
                </c:pt>
                <c:pt idx="16">
                  <c:v>2.1801235332039693E-2</c:v>
                </c:pt>
                <c:pt idx="17">
                  <c:v>2.0756067860361965E-2</c:v>
                </c:pt>
                <c:pt idx="18">
                  <c:v>2.5550149504452516E-2</c:v>
                </c:pt>
                <c:pt idx="19">
                  <c:v>2.036015272595457E-2</c:v>
                </c:pt>
                <c:pt idx="20">
                  <c:v>1.104957014804589E-2</c:v>
                </c:pt>
                <c:pt idx="21">
                  <c:v>2.1273601705143363E-2</c:v>
                </c:pt>
                <c:pt idx="22">
                  <c:v>1.5953453102368738E-2</c:v>
                </c:pt>
                <c:pt idx="23">
                  <c:v>2.4266824370345351E-2</c:v>
                </c:pt>
                <c:pt idx="24">
                  <c:v>1.4110234819426805E-2</c:v>
                </c:pt>
                <c:pt idx="25">
                  <c:v>2.2140198513685854E-2</c:v>
                </c:pt>
                <c:pt idx="26">
                  <c:v>1.8868474511756463E-2</c:v>
                </c:pt>
                <c:pt idx="27">
                  <c:v>1.6083777250634309E-2</c:v>
                </c:pt>
                <c:pt idx="28">
                  <c:v>1.7173955665229119E-2</c:v>
                </c:pt>
                <c:pt idx="29">
                  <c:v>1.4869210730437886E-2</c:v>
                </c:pt>
                <c:pt idx="30">
                  <c:v>1.6870323732234151E-2</c:v>
                </c:pt>
                <c:pt idx="31">
                  <c:v>1.2893937655350997E-2</c:v>
                </c:pt>
                <c:pt idx="32">
                  <c:v>9.633573430798157E-3</c:v>
                </c:pt>
                <c:pt idx="33">
                  <c:v>1.1305837485217443E-2</c:v>
                </c:pt>
                <c:pt idx="34">
                  <c:v>1.0695275049251622E-2</c:v>
                </c:pt>
                <c:pt idx="35">
                  <c:v>1.4498844921734203E-2</c:v>
                </c:pt>
                <c:pt idx="36">
                  <c:v>1.1066570078242289E-2</c:v>
                </c:pt>
                <c:pt idx="37">
                  <c:v>1.4944759470854947E-2</c:v>
                </c:pt>
                <c:pt idx="38">
                  <c:v>1.4248640225432261E-2</c:v>
                </c:pt>
                <c:pt idx="39">
                  <c:v>1.804616528423509E-2</c:v>
                </c:pt>
                <c:pt idx="40">
                  <c:v>1.4952666171991738E-2</c:v>
                </c:pt>
                <c:pt idx="41">
                  <c:v>1.6901178371346193E-2</c:v>
                </c:pt>
                <c:pt idx="42">
                  <c:v>1.8347690398337391E-2</c:v>
                </c:pt>
                <c:pt idx="43">
                  <c:v>1.3279316887504118E-2</c:v>
                </c:pt>
                <c:pt idx="44">
                  <c:v>2.0265656848134597E-2</c:v>
                </c:pt>
                <c:pt idx="45">
                  <c:v>1.9201005715826499E-2</c:v>
                </c:pt>
                <c:pt idx="46">
                  <c:v>1.8959934756966394E-2</c:v>
                </c:pt>
                <c:pt idx="47">
                  <c:v>1.7875727832674899E-2</c:v>
                </c:pt>
                <c:pt idx="48">
                  <c:v>2.2138394560981142E-2</c:v>
                </c:pt>
                <c:pt idx="49">
                  <c:v>1.0488944049978384E-2</c:v>
                </c:pt>
                <c:pt idx="50">
                  <c:v>2.5652203316043936E-2</c:v>
                </c:pt>
                <c:pt idx="51">
                  <c:v>1.8216761763893929E-2</c:v>
                </c:pt>
                <c:pt idx="52">
                  <c:v>1.5211382945357031E-2</c:v>
                </c:pt>
                <c:pt idx="53">
                  <c:v>9.3911002601283992E-3</c:v>
                </c:pt>
                <c:pt idx="54">
                  <c:v>2.0474694764723807E-2</c:v>
                </c:pt>
                <c:pt idx="55">
                  <c:v>1.8163731980296065E-2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59-42A3-A052-470F1E9CB666}"/>
            </c:ext>
          </c:extLst>
        </c:ser>
        <c:ser>
          <c:idx val="3"/>
          <c:order val="3"/>
          <c:tx>
            <c:v>D(h-1)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ferment.!$E$11:$E$63</c:f>
              <c:numCache>
                <c:formatCode>0.00</c:formatCode>
                <c:ptCount val="53"/>
                <c:pt idx="0">
                  <c:v>2.8993055555547471</c:v>
                </c:pt>
                <c:pt idx="1">
                  <c:v>3.8958333333357587</c:v>
                </c:pt>
                <c:pt idx="2">
                  <c:v>5.03125</c:v>
                </c:pt>
                <c:pt idx="3">
                  <c:v>6.21875</c:v>
                </c:pt>
                <c:pt idx="4">
                  <c:v>6.9652777777810115</c:v>
                </c:pt>
                <c:pt idx="5">
                  <c:v>7.9909722222218988</c:v>
                </c:pt>
                <c:pt idx="6">
                  <c:v>8.9166666666642413</c:v>
                </c:pt>
                <c:pt idx="7">
                  <c:v>9.9097222222189885</c:v>
                </c:pt>
                <c:pt idx="8">
                  <c:v>10.895833333335759</c:v>
                </c:pt>
                <c:pt idx="9">
                  <c:v>12.208333333335759</c:v>
                </c:pt>
                <c:pt idx="10">
                  <c:v>13.017361111109494</c:v>
                </c:pt>
                <c:pt idx="11">
                  <c:v>15.048611111109494</c:v>
                </c:pt>
                <c:pt idx="12">
                  <c:v>15.9375</c:v>
                </c:pt>
                <c:pt idx="13">
                  <c:v>16.899305555554747</c:v>
                </c:pt>
                <c:pt idx="14">
                  <c:v>19.0625</c:v>
                </c:pt>
                <c:pt idx="15">
                  <c:v>19.979166666664241</c:v>
                </c:pt>
                <c:pt idx="16">
                  <c:v>21.225694444445253</c:v>
                </c:pt>
                <c:pt idx="17">
                  <c:v>22.145833333335759</c:v>
                </c:pt>
                <c:pt idx="18">
                  <c:v>23.020833333335759</c:v>
                </c:pt>
                <c:pt idx="19">
                  <c:v>23.90625</c:v>
                </c:pt>
                <c:pt idx="20">
                  <c:v>24.930555555554747</c:v>
                </c:pt>
                <c:pt idx="21">
                  <c:v>26.243055555554747</c:v>
                </c:pt>
                <c:pt idx="22">
                  <c:v>27.03125</c:v>
                </c:pt>
                <c:pt idx="23">
                  <c:v>28.145833333335759</c:v>
                </c:pt>
                <c:pt idx="24">
                  <c:v>29.201388888890506</c:v>
                </c:pt>
                <c:pt idx="25">
                  <c:v>30.041666666664241</c:v>
                </c:pt>
                <c:pt idx="26">
                  <c:v>33.152777777781012</c:v>
                </c:pt>
                <c:pt idx="27">
                  <c:v>35.194444444445253</c:v>
                </c:pt>
                <c:pt idx="28">
                  <c:v>36.274305555554747</c:v>
                </c:pt>
                <c:pt idx="29">
                  <c:v>37.902777777781012</c:v>
                </c:pt>
                <c:pt idx="30">
                  <c:v>38.902777777781012</c:v>
                </c:pt>
                <c:pt idx="31">
                  <c:v>41.1875</c:v>
                </c:pt>
                <c:pt idx="32">
                  <c:v>43.263888888890506</c:v>
                </c:pt>
                <c:pt idx="33">
                  <c:v>43.951388888890506</c:v>
                </c:pt>
                <c:pt idx="34">
                  <c:v>44.902777777781012</c:v>
                </c:pt>
                <c:pt idx="35">
                  <c:v>47.173611111109494</c:v>
                </c:pt>
                <c:pt idx="36">
                  <c:v>47.944444444445253</c:v>
                </c:pt>
                <c:pt idx="37">
                  <c:v>48.989583333335759</c:v>
                </c:pt>
                <c:pt idx="38">
                  <c:v>51.225694444445253</c:v>
                </c:pt>
                <c:pt idx="39">
                  <c:v>54.138888888890506</c:v>
                </c:pt>
                <c:pt idx="40">
                  <c:v>55.180555555554747</c:v>
                </c:pt>
                <c:pt idx="41">
                  <c:v>56.048611111109494</c:v>
                </c:pt>
                <c:pt idx="42">
                  <c:v>57.979166666664241</c:v>
                </c:pt>
                <c:pt idx="43">
                  <c:v>59.003472222218988</c:v>
                </c:pt>
                <c:pt idx="44">
                  <c:v>61.961805555554747</c:v>
                </c:pt>
                <c:pt idx="45">
                  <c:v>62.975694444445253</c:v>
                </c:pt>
                <c:pt idx="46">
                  <c:v>64.034722222218988</c:v>
                </c:pt>
                <c:pt idx="47">
                  <c:v>65.034722222218988</c:v>
                </c:pt>
                <c:pt idx="48">
                  <c:v>67.96875</c:v>
                </c:pt>
                <c:pt idx="49">
                  <c:v>69.048611111109494</c:v>
                </c:pt>
                <c:pt idx="50">
                  <c:v>70.1875</c:v>
                </c:pt>
                <c:pt idx="51">
                  <c:v>71.21875</c:v>
                </c:pt>
                <c:pt idx="52">
                  <c:v>71.951388888890506</c:v>
                </c:pt>
              </c:numCache>
            </c:numRef>
          </c:xVal>
          <c:yVal>
            <c:numRef>
              <c:f>ferment.!$AJ$11:$AJ$63</c:f>
              <c:numCache>
                <c:formatCode>0.00</c:formatCode>
                <c:ptCount val="53"/>
                <c:pt idx="0">
                  <c:v>1.252747252750458E-2</c:v>
                </c:pt>
                <c:pt idx="1">
                  <c:v>1.8397212543494308E-2</c:v>
                </c:pt>
                <c:pt idx="2" formatCode="0.000">
                  <c:v>1.9266055045912712E-2</c:v>
                </c:pt>
                <c:pt idx="3" formatCode="0.000">
                  <c:v>1.8421052631578946E-2</c:v>
                </c:pt>
                <c:pt idx="4" formatCode="0.000">
                  <c:v>1.8139534883642363E-2</c:v>
                </c:pt>
                <c:pt idx="5" formatCode="0.000">
                  <c:v>1.9295870006837402E-2</c:v>
                </c:pt>
                <c:pt idx="6" formatCode="0.000">
                  <c:v>1.9129782445654834E-2</c:v>
                </c:pt>
                <c:pt idx="7" formatCode="0.000">
                  <c:v>1.8881118881134262E-2</c:v>
                </c:pt>
                <c:pt idx="8" formatCode="0.000">
                  <c:v>1.9014084506933124E-2</c:v>
                </c:pt>
                <c:pt idx="9" formatCode="0.000">
                  <c:v>1.8253968253968245E-2</c:v>
                </c:pt>
                <c:pt idx="10" formatCode="0.000">
                  <c:v>1.6738197424976342E-2</c:v>
                </c:pt>
                <c:pt idx="11" formatCode="0.000">
                  <c:v>1.6923076923076926E-2</c:v>
                </c:pt>
                <c:pt idx="12" formatCode="0.000">
                  <c:v>1.6406249999970143E-2</c:v>
                </c:pt>
                <c:pt idx="13" formatCode="0.000">
                  <c:v>1.6245487364634593E-2</c:v>
                </c:pt>
                <c:pt idx="14" formatCode="0.000">
                  <c:v>1.6853932584263365E-2</c:v>
                </c:pt>
                <c:pt idx="15" formatCode="0.000">
                  <c:v>1.7045454545499644E-2</c:v>
                </c:pt>
                <c:pt idx="16" formatCode="0.000">
                  <c:v>1.6713091921962214E-2</c:v>
                </c:pt>
                <c:pt idx="17" formatCode="0.000">
                  <c:v>1.6981132075441861E-2</c:v>
                </c:pt>
                <c:pt idx="18" formatCode="0.000">
                  <c:v>1.6666666666666649E-2</c:v>
                </c:pt>
                <c:pt idx="19" formatCode="0.000">
                  <c:v>1.6470588235339301E-2</c:v>
                </c:pt>
                <c:pt idx="20" formatCode="0.000">
                  <c:v>1.7288135593233941E-2</c:v>
                </c:pt>
                <c:pt idx="21" formatCode="0.000">
                  <c:v>1.6666666666666677E-2</c:v>
                </c:pt>
                <c:pt idx="22" formatCode="0.000">
                  <c:v>1.7180616740070445E-2</c:v>
                </c:pt>
                <c:pt idx="23" formatCode="0.000">
                  <c:v>1.6822429906505492E-2</c:v>
                </c:pt>
                <c:pt idx="24" formatCode="0.000">
                  <c:v>1.677631578948649E-2</c:v>
                </c:pt>
                <c:pt idx="25" formatCode="0.000">
                  <c:v>1.6115702479416422E-2</c:v>
                </c:pt>
                <c:pt idx="26" formatCode="0.000">
                  <c:v>1.4732142857116055E-2</c:v>
                </c:pt>
                <c:pt idx="27" formatCode="0.000">
                  <c:v>1.4693877551037876E-2</c:v>
                </c:pt>
                <c:pt idx="28" formatCode="0.000">
                  <c:v>1.4662379421243781E-2</c:v>
                </c:pt>
                <c:pt idx="29" formatCode="0.000">
                  <c:v>1.4712153518087176E-2</c:v>
                </c:pt>
                <c:pt idx="30" formatCode="0.000">
                  <c:v>1.4583333333333318E-2</c:v>
                </c:pt>
                <c:pt idx="31" formatCode="0.000">
                  <c:v>1.4589665653516071E-2</c:v>
                </c:pt>
                <c:pt idx="32" formatCode="0.000">
                  <c:v>1.4548494983266292E-2</c:v>
                </c:pt>
                <c:pt idx="33" formatCode="0.000">
                  <c:v>1.5151515151515152E-2</c:v>
                </c:pt>
                <c:pt idx="34" formatCode="0.000">
                  <c:v>1.4233576642311544E-2</c:v>
                </c:pt>
                <c:pt idx="35" formatCode="0.000">
                  <c:v>1.4678899082600174E-2</c:v>
                </c:pt>
                <c:pt idx="36" formatCode="0.000">
                  <c:v>1.4864864864818019E-2</c:v>
                </c:pt>
                <c:pt idx="37" formatCode="0.000">
                  <c:v>1.6943521594658201E-2</c:v>
                </c:pt>
                <c:pt idx="38" formatCode="0.000">
                  <c:v>1.6770186335415826E-2</c:v>
                </c:pt>
                <c:pt idx="39" formatCode="0.000">
                  <c:v>1.6805721096538852E-2</c:v>
                </c:pt>
                <c:pt idx="40" formatCode="0.000">
                  <c:v>1.6600000000038615E-2</c:v>
                </c:pt>
                <c:pt idx="41" formatCode="0.000">
                  <c:v>1.6080000000015016E-2</c:v>
                </c:pt>
                <c:pt idx="42" formatCode="0.000">
                  <c:v>1.6726618705043023E-2</c:v>
                </c:pt>
                <c:pt idx="43" formatCode="0.000">
                  <c:v>1.7288135593233868E-2</c:v>
                </c:pt>
                <c:pt idx="44" formatCode="0.000">
                  <c:v>1.6549295774634331E-2</c:v>
                </c:pt>
                <c:pt idx="45" formatCode="0.000">
                  <c:v>1.6438356164357435E-2</c:v>
                </c:pt>
                <c:pt idx="46" formatCode="0.000">
                  <c:v>1.6721311475473549E-2</c:v>
                </c:pt>
                <c:pt idx="47" formatCode="0.000">
                  <c:v>1.6666666666666757E-2</c:v>
                </c:pt>
                <c:pt idx="48" formatCode="0.000">
                  <c:v>1.6686390532525998E-2</c:v>
                </c:pt>
                <c:pt idx="49" formatCode="0.000">
                  <c:v>1.6398713826391003E-2</c:v>
                </c:pt>
                <c:pt idx="50" formatCode="0.000">
                  <c:v>1.6463414634123073E-2</c:v>
                </c:pt>
                <c:pt idx="51" formatCode="0.000">
                  <c:v>1.6161616161616103E-2</c:v>
                </c:pt>
                <c:pt idx="52" formatCode="0.000">
                  <c:v>1.706161137436997E-2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59-42A3-A052-470F1E9CB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274320"/>
        <c:axId val="510273336"/>
      </c:scatterChart>
      <c:valAx>
        <c:axId val="51034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Culture</a:t>
                </a:r>
                <a:r>
                  <a:rPr lang="en-US" baseline="0"/>
                  <a:t> Time(d)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0345824"/>
        <c:crosses val="autoZero"/>
        <c:crossBetween val="midCat"/>
      </c:valAx>
      <c:valAx>
        <c:axId val="5103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Viable</a:t>
                </a:r>
                <a:r>
                  <a:rPr lang="en-US" baseline="0"/>
                  <a:t> cell density(cel/mL)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7295894616946465E-2"/>
              <c:y val="0.23111125251272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0346480"/>
        <c:crosses val="autoZero"/>
        <c:crossBetween val="midCat"/>
      </c:valAx>
      <c:valAx>
        <c:axId val="5102733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CSPR(nL/cel*d)</a:t>
                </a:r>
              </a:p>
              <a:p>
                <a:pPr>
                  <a:defRPr/>
                </a:pPr>
                <a:r>
                  <a:rPr lang="en-US"/>
                  <a:t>D(h-1)</a:t>
                </a:r>
              </a:p>
              <a:p>
                <a:pPr>
                  <a:defRPr/>
                </a:pPr>
                <a:r>
                  <a:rPr lang="en-US"/>
                  <a:t>µ(h-1)</a:t>
                </a:r>
              </a:p>
            </c:rich>
          </c:tx>
          <c:layout>
            <c:manualLayout>
              <c:xMode val="edge"/>
              <c:yMode val="edge"/>
              <c:x val="0.89812741771821558"/>
              <c:y val="0.29844310391140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0274320"/>
        <c:crosses val="max"/>
        <c:crossBetween val="midCat"/>
        <c:majorUnit val="2.0000000000000004E-2"/>
      </c:valAx>
      <c:valAx>
        <c:axId val="51027432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51027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321395105379308"/>
          <c:y val="0.76657011990898083"/>
          <c:w val="0.11225411619312316"/>
          <c:h val="0.224858444770428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Chart3"/>
  <sheetViews>
    <sheetView zoomScale="8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Chart5"/>
  <sheetViews>
    <sheetView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 codeName="Chart6"/>
  <sheetViews>
    <sheetView zoomScale="7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Chart7"/>
  <sheetViews>
    <sheetView zoomScale="7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 codeName="Chart8"/>
  <sheetViews>
    <sheetView zoomScale="8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Chart9"/>
  <sheetViews>
    <sheetView zoomScale="7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Chart10"/>
  <sheetViews>
    <sheetView zoomScale="8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Chart11"/>
  <sheetViews>
    <sheetView zoomScale="70"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Chart12"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5" Type="http://schemas.openxmlformats.org/officeDocument/2006/relationships/chart" Target="../charts/chart57.xml"/><Relationship Id="rId10" Type="http://schemas.openxmlformats.org/officeDocument/2006/relationships/chart" Target="../charts/chart62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6.xml"/><Relationship Id="rId18" Type="http://schemas.openxmlformats.org/officeDocument/2006/relationships/chart" Target="../charts/chart31.xml"/><Relationship Id="rId26" Type="http://schemas.openxmlformats.org/officeDocument/2006/relationships/chart" Target="../charts/chart39.xml"/><Relationship Id="rId21" Type="http://schemas.openxmlformats.org/officeDocument/2006/relationships/chart" Target="../charts/chart34.xml"/><Relationship Id="rId34" Type="http://schemas.openxmlformats.org/officeDocument/2006/relationships/chart" Target="../charts/chart47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17" Type="http://schemas.openxmlformats.org/officeDocument/2006/relationships/chart" Target="../charts/chart30.xml"/><Relationship Id="rId25" Type="http://schemas.openxmlformats.org/officeDocument/2006/relationships/chart" Target="../charts/chart38.xml"/><Relationship Id="rId33" Type="http://schemas.openxmlformats.org/officeDocument/2006/relationships/chart" Target="../charts/chart46.xml"/><Relationship Id="rId2" Type="http://schemas.openxmlformats.org/officeDocument/2006/relationships/chart" Target="../charts/chart15.xml"/><Relationship Id="rId16" Type="http://schemas.openxmlformats.org/officeDocument/2006/relationships/chart" Target="../charts/chart29.xml"/><Relationship Id="rId20" Type="http://schemas.openxmlformats.org/officeDocument/2006/relationships/chart" Target="../charts/chart33.xml"/><Relationship Id="rId29" Type="http://schemas.openxmlformats.org/officeDocument/2006/relationships/chart" Target="../charts/chart42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24" Type="http://schemas.openxmlformats.org/officeDocument/2006/relationships/chart" Target="../charts/chart37.xml"/><Relationship Id="rId32" Type="http://schemas.openxmlformats.org/officeDocument/2006/relationships/chart" Target="../charts/chart45.xml"/><Relationship Id="rId37" Type="http://schemas.openxmlformats.org/officeDocument/2006/relationships/chart" Target="../charts/chart50.xml"/><Relationship Id="rId5" Type="http://schemas.openxmlformats.org/officeDocument/2006/relationships/chart" Target="../charts/chart18.xml"/><Relationship Id="rId15" Type="http://schemas.openxmlformats.org/officeDocument/2006/relationships/chart" Target="../charts/chart28.xml"/><Relationship Id="rId23" Type="http://schemas.openxmlformats.org/officeDocument/2006/relationships/chart" Target="../charts/chart36.xml"/><Relationship Id="rId28" Type="http://schemas.openxmlformats.org/officeDocument/2006/relationships/chart" Target="../charts/chart41.xml"/><Relationship Id="rId36" Type="http://schemas.openxmlformats.org/officeDocument/2006/relationships/chart" Target="../charts/chart49.xml"/><Relationship Id="rId10" Type="http://schemas.openxmlformats.org/officeDocument/2006/relationships/chart" Target="../charts/chart23.xml"/><Relationship Id="rId19" Type="http://schemas.openxmlformats.org/officeDocument/2006/relationships/chart" Target="../charts/chart32.xml"/><Relationship Id="rId31" Type="http://schemas.openxmlformats.org/officeDocument/2006/relationships/chart" Target="../charts/chart44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7.xml"/><Relationship Id="rId22" Type="http://schemas.openxmlformats.org/officeDocument/2006/relationships/chart" Target="../charts/chart35.xml"/><Relationship Id="rId27" Type="http://schemas.openxmlformats.org/officeDocument/2006/relationships/chart" Target="../charts/chart40.xml"/><Relationship Id="rId30" Type="http://schemas.openxmlformats.org/officeDocument/2006/relationships/chart" Target="../charts/chart43.xml"/><Relationship Id="rId35" Type="http://schemas.openxmlformats.org/officeDocument/2006/relationships/chart" Target="../charts/chart48.xml"/><Relationship Id="rId8" Type="http://schemas.openxmlformats.org/officeDocument/2006/relationships/chart" Target="../charts/chart21.xml"/><Relationship Id="rId3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129</xdr:col>
      <xdr:colOff>0</xdr:colOff>
      <xdr:row>25</xdr:row>
      <xdr:rowOff>0</xdr:rowOff>
    </xdr:from>
    <xdr:to>
      <xdr:col>139</xdr:col>
      <xdr:colOff>222250</xdr:colOff>
      <xdr:row>47</xdr:row>
      <xdr:rowOff>95250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254001</xdr:colOff>
      <xdr:row>114</xdr:row>
      <xdr:rowOff>35984</xdr:rowOff>
    </xdr:from>
    <xdr:to>
      <xdr:col>65</xdr:col>
      <xdr:colOff>433917</xdr:colOff>
      <xdr:row>139</xdr:row>
      <xdr:rowOff>31750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69</xdr:col>
      <xdr:colOff>508000</xdr:colOff>
      <xdr:row>114</xdr:row>
      <xdr:rowOff>105833</xdr:rowOff>
    </xdr:from>
    <xdr:to>
      <xdr:col>84</xdr:col>
      <xdr:colOff>550332</xdr:colOff>
      <xdr:row>137</xdr:row>
      <xdr:rowOff>112182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117</xdr:col>
      <xdr:colOff>285750</xdr:colOff>
      <xdr:row>71</xdr:row>
      <xdr:rowOff>147205</xdr:rowOff>
    </xdr:from>
    <xdr:to>
      <xdr:col>126</xdr:col>
      <xdr:colOff>173182</xdr:colOff>
      <xdr:row>95</xdr:row>
      <xdr:rowOff>100637</xdr:rowOff>
    </xdr:to>
    <xdr:graphicFrame macro="">
      <xdr:nvGraphicFramePr>
        <xdr:cNvPr id="9" name="8 Gráfico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870721</xdr:colOff>
      <xdr:row>75</xdr:row>
      <xdr:rowOff>118342</xdr:rowOff>
    </xdr:from>
    <xdr:to>
      <xdr:col>42</xdr:col>
      <xdr:colOff>43296</xdr:colOff>
      <xdr:row>102</xdr:row>
      <xdr:rowOff>146242</xdr:rowOff>
    </xdr:to>
    <xdr:graphicFrame macro="">
      <xdr:nvGraphicFramePr>
        <xdr:cNvPr id="10" name="9 Gráfico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79</xdr:col>
      <xdr:colOff>179918</xdr:colOff>
      <xdr:row>40</xdr:row>
      <xdr:rowOff>62442</xdr:rowOff>
    </xdr:from>
    <xdr:to>
      <xdr:col>85</xdr:col>
      <xdr:colOff>687918</xdr:colOff>
      <xdr:row>54</xdr:row>
      <xdr:rowOff>117476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65</xdr:col>
      <xdr:colOff>146244</xdr:colOff>
      <xdr:row>74</xdr:row>
      <xdr:rowOff>33577</xdr:rowOff>
    </xdr:from>
    <xdr:to>
      <xdr:col>75</xdr:col>
      <xdr:colOff>395433</xdr:colOff>
      <xdr:row>93</xdr:row>
      <xdr:rowOff>78027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376672</xdr:colOff>
      <xdr:row>77</xdr:row>
      <xdr:rowOff>12411</xdr:rowOff>
    </xdr:from>
    <xdr:to>
      <xdr:col>12</xdr:col>
      <xdr:colOff>780281</xdr:colOff>
      <xdr:row>106</xdr:row>
      <xdr:rowOff>91400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173180</xdr:colOff>
      <xdr:row>68</xdr:row>
      <xdr:rowOff>24055</xdr:rowOff>
    </xdr:from>
    <xdr:to>
      <xdr:col>48</xdr:col>
      <xdr:colOff>627303</xdr:colOff>
      <xdr:row>86</xdr:row>
      <xdr:rowOff>143356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852439</xdr:colOff>
      <xdr:row>73</xdr:row>
      <xdr:rowOff>58592</xdr:rowOff>
    </xdr:from>
    <xdr:to>
      <xdr:col>25</xdr:col>
      <xdr:colOff>103910</xdr:colOff>
      <xdr:row>93</xdr:row>
      <xdr:rowOff>89573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398318</xdr:colOff>
      <xdr:row>89</xdr:row>
      <xdr:rowOff>86591</xdr:rowOff>
    </xdr:from>
    <xdr:to>
      <xdr:col>11</xdr:col>
      <xdr:colOff>672041</xdr:colOff>
      <xdr:row>116</xdr:row>
      <xdr:rowOff>53012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8660</xdr:colOff>
      <xdr:row>75</xdr:row>
      <xdr:rowOff>147204</xdr:rowOff>
    </xdr:from>
    <xdr:to>
      <xdr:col>33</xdr:col>
      <xdr:colOff>584010</xdr:colOff>
      <xdr:row>95</xdr:row>
      <xdr:rowOff>41369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128</xdr:col>
      <xdr:colOff>285752</xdr:colOff>
      <xdr:row>71</xdr:row>
      <xdr:rowOff>164522</xdr:rowOff>
    </xdr:from>
    <xdr:to>
      <xdr:col>142</xdr:col>
      <xdr:colOff>77931</xdr:colOff>
      <xdr:row>95</xdr:row>
      <xdr:rowOff>117954</xdr:rowOff>
    </xdr:to>
    <xdr:graphicFrame macro="">
      <xdr:nvGraphicFramePr>
        <xdr:cNvPr id="16" name="8 Gráfico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0.11509</cdr:x>
      <cdr:y>0.27201</cdr:y>
    </cdr:from>
    <cdr:to>
      <cdr:x>0.21867</cdr:x>
      <cdr:y>0.31898</cdr:y>
    </cdr:to>
    <cdr:sp macro="" textlink="">
      <cdr:nvSpPr>
        <cdr:cNvPr id="6" name="CuadroTexto 5">
          <a:extLst xmlns:a="http://schemas.openxmlformats.org/drawingml/2006/main">
            <a:ext uri="{FF2B5EF4-FFF2-40B4-BE49-F238E27FC236}">
              <a16:creationId xmlns:a16="http://schemas.microsoft.com/office/drawing/2014/main" id="{D624E1D9-BB69-4FA6-BA00-AC9A43CCFADC}"/>
            </a:ext>
          </a:extLst>
        </cdr:cNvPr>
        <cdr:cNvSpPr txBox="1"/>
      </cdr:nvSpPr>
      <cdr:spPr>
        <a:xfrm xmlns:a="http://schemas.openxmlformats.org/drawingml/2006/main">
          <a:off x="1071599" y="1654934"/>
          <a:ext cx="964401" cy="285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0,45vvd</a:t>
          </a:r>
        </a:p>
      </cdr:txBody>
    </cdr:sp>
  </cdr:relSizeAnchor>
  <cdr:relSizeAnchor xmlns:cdr="http://schemas.openxmlformats.org/drawingml/2006/chartDrawing">
    <cdr:from>
      <cdr:x>0.2174</cdr:x>
      <cdr:y>0.15068</cdr:y>
    </cdr:from>
    <cdr:to>
      <cdr:x>0.21995</cdr:x>
      <cdr:y>0.81213</cdr:y>
    </cdr:to>
    <cdr:cxnSp macro="">
      <cdr:nvCxnSpPr>
        <cdr:cNvPr id="8" name="Conector recto 7">
          <a:extLst xmlns:a="http://schemas.openxmlformats.org/drawingml/2006/main">
            <a:ext uri="{FF2B5EF4-FFF2-40B4-BE49-F238E27FC236}">
              <a16:creationId xmlns:a16="http://schemas.microsoft.com/office/drawing/2014/main" id="{26751D29-7C1F-44B7-81B5-1CDA6BE0F527}"/>
            </a:ext>
          </a:extLst>
        </cdr:cNvPr>
        <cdr:cNvCxnSpPr/>
      </cdr:nvCxnSpPr>
      <cdr:spPr>
        <a:xfrm xmlns:a="http://schemas.openxmlformats.org/drawingml/2006/main" flipH="1">
          <a:off x="2024123" y="916770"/>
          <a:ext cx="23743" cy="402432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0.38269</cdr:x>
      <cdr:y>0.16881</cdr:y>
    </cdr:from>
    <cdr:to>
      <cdr:x>0.38525</cdr:x>
      <cdr:y>0.83026</cdr:y>
    </cdr:to>
    <cdr:cxnSp macro="">
      <cdr:nvCxnSpPr>
        <cdr:cNvPr id="10" name="Conector recto 9">
          <a:extLst xmlns:a="http://schemas.openxmlformats.org/drawingml/2006/main">
            <a:ext uri="{FF2B5EF4-FFF2-40B4-BE49-F238E27FC236}">
              <a16:creationId xmlns:a16="http://schemas.microsoft.com/office/drawing/2014/main" id="{E2EDFDB2-A876-48C2-9583-398310FCAFB1}"/>
            </a:ext>
          </a:extLst>
        </cdr:cNvPr>
        <cdr:cNvCxnSpPr/>
      </cdr:nvCxnSpPr>
      <cdr:spPr>
        <a:xfrm xmlns:a="http://schemas.openxmlformats.org/drawingml/2006/main" flipH="1">
          <a:off x="3563137" y="1027066"/>
          <a:ext cx="23836" cy="402432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0.11636</cdr:x>
      <cdr:y>0.55773</cdr:y>
    </cdr:from>
    <cdr:to>
      <cdr:x>0.24552</cdr:x>
      <cdr:y>0.69276</cdr:y>
    </cdr:to>
    <cdr:sp macro="" textlink="">
      <cdr:nvSpPr>
        <cdr:cNvPr id="11" name="Elipse 10">
          <a:extLst xmlns:a="http://schemas.openxmlformats.org/drawingml/2006/main">
            <a:ext uri="{FF2B5EF4-FFF2-40B4-BE49-F238E27FC236}">
              <a16:creationId xmlns:a16="http://schemas.microsoft.com/office/drawing/2014/main" id="{2CE1FB8B-0B27-45CA-9B92-BA6BFFFE3B65}"/>
            </a:ext>
          </a:extLst>
        </cdr:cNvPr>
        <cdr:cNvSpPr/>
      </cdr:nvSpPr>
      <cdr:spPr>
        <a:xfrm xmlns:a="http://schemas.openxmlformats.org/drawingml/2006/main">
          <a:off x="1083409" y="3393295"/>
          <a:ext cx="1202568" cy="82153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0.1087</cdr:x>
      <cdr:y>0.31311</cdr:y>
    </cdr:from>
    <cdr:to>
      <cdr:x>0.21483</cdr:x>
      <cdr:y>0.31507</cdr:y>
    </cdr:to>
    <cdr:cxnSp macro="">
      <cdr:nvCxnSpPr>
        <cdr:cNvPr id="13" name="Conector recto de flecha 12">
          <a:extLst xmlns:a="http://schemas.openxmlformats.org/drawingml/2006/main">
            <a:ext uri="{FF2B5EF4-FFF2-40B4-BE49-F238E27FC236}">
              <a16:creationId xmlns:a16="http://schemas.microsoft.com/office/drawing/2014/main" id="{A35D75D5-20B2-4D42-8AAB-50A31F00E4AE}"/>
            </a:ext>
          </a:extLst>
        </cdr:cNvPr>
        <cdr:cNvCxnSpPr/>
      </cdr:nvCxnSpPr>
      <cdr:spPr>
        <a:xfrm xmlns:a="http://schemas.openxmlformats.org/drawingml/2006/main">
          <a:off x="1012072" y="1904992"/>
          <a:ext cx="988178" cy="11914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0.22251</cdr:x>
      <cdr:y>0.21331</cdr:y>
    </cdr:from>
    <cdr:to>
      <cdr:x>0.38235</cdr:x>
      <cdr:y>0.21526</cdr:y>
    </cdr:to>
    <cdr:cxnSp macro="">
      <cdr:nvCxnSpPr>
        <cdr:cNvPr id="14" name="Conector recto de flecha 13">
          <a:extLst xmlns:a="http://schemas.openxmlformats.org/drawingml/2006/main">
            <a:ext uri="{FF2B5EF4-FFF2-40B4-BE49-F238E27FC236}">
              <a16:creationId xmlns:a16="http://schemas.microsoft.com/office/drawing/2014/main" id="{D17F0C67-CD10-460A-806F-31A0B8DDE983}"/>
            </a:ext>
          </a:extLst>
        </cdr:cNvPr>
        <cdr:cNvCxnSpPr/>
      </cdr:nvCxnSpPr>
      <cdr:spPr>
        <a:xfrm xmlns:a="http://schemas.openxmlformats.org/drawingml/2006/main" flipV="1">
          <a:off x="2071688" y="1297781"/>
          <a:ext cx="1488281" cy="11906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0.26888</cdr:x>
      <cdr:y>0.16491</cdr:y>
    </cdr:from>
    <cdr:to>
      <cdr:x>0.37246</cdr:x>
      <cdr:y>0.21188</cdr:y>
    </cdr:to>
    <cdr:sp macro="" textlink="">
      <cdr:nvSpPr>
        <cdr:cNvPr id="16" name="CuadroTexto 1">
          <a:extLst xmlns:a="http://schemas.openxmlformats.org/drawingml/2006/main">
            <a:ext uri="{FF2B5EF4-FFF2-40B4-BE49-F238E27FC236}">
              <a16:creationId xmlns:a16="http://schemas.microsoft.com/office/drawing/2014/main" id="{83426C5F-8E4A-4ADD-9B8B-648E6F0F0DDC}"/>
            </a:ext>
          </a:extLst>
        </cdr:cNvPr>
        <cdr:cNvSpPr txBox="1"/>
      </cdr:nvSpPr>
      <cdr:spPr>
        <a:xfrm xmlns:a="http://schemas.openxmlformats.org/drawingml/2006/main">
          <a:off x="2503493" y="1003317"/>
          <a:ext cx="964401" cy="285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0,4vvd</a:t>
          </a:r>
        </a:p>
      </cdr:txBody>
    </cdr:sp>
  </cdr:relSizeAnchor>
  <cdr:relSizeAnchor xmlns:cdr="http://schemas.openxmlformats.org/drawingml/2006/chartDrawing">
    <cdr:from>
      <cdr:x>0.2711</cdr:x>
      <cdr:y>0.23483</cdr:y>
    </cdr:from>
    <cdr:to>
      <cdr:x>0.3977</cdr:x>
      <cdr:y>0.38552</cdr:y>
    </cdr:to>
    <cdr:sp macro="" textlink="">
      <cdr:nvSpPr>
        <cdr:cNvPr id="17" name="Elipse 16">
          <a:extLst xmlns:a="http://schemas.openxmlformats.org/drawingml/2006/main">
            <a:ext uri="{FF2B5EF4-FFF2-40B4-BE49-F238E27FC236}">
              <a16:creationId xmlns:a16="http://schemas.microsoft.com/office/drawing/2014/main" id="{F1E3887C-2B50-4EDE-8F30-7ADC68E33938}"/>
            </a:ext>
          </a:extLst>
        </cdr:cNvPr>
        <cdr:cNvSpPr/>
      </cdr:nvSpPr>
      <cdr:spPr>
        <a:xfrm xmlns:a="http://schemas.openxmlformats.org/drawingml/2006/main">
          <a:off x="2524093" y="1428749"/>
          <a:ext cx="1178752" cy="916767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0.38363</cdr:x>
      <cdr:y>0.22113</cdr:y>
    </cdr:from>
    <cdr:to>
      <cdr:x>0.56522</cdr:x>
      <cdr:y>0.22505</cdr:y>
    </cdr:to>
    <cdr:cxnSp macro="">
      <cdr:nvCxnSpPr>
        <cdr:cNvPr id="18" name="Conector recto de flecha 17">
          <a:extLst xmlns:a="http://schemas.openxmlformats.org/drawingml/2006/main">
            <a:ext uri="{FF2B5EF4-FFF2-40B4-BE49-F238E27FC236}">
              <a16:creationId xmlns:a16="http://schemas.microsoft.com/office/drawing/2014/main" id="{60CB3463-ABAF-45DD-B827-204EF525D686}"/>
            </a:ext>
          </a:extLst>
        </cdr:cNvPr>
        <cdr:cNvCxnSpPr/>
      </cdr:nvCxnSpPr>
      <cdr:spPr>
        <a:xfrm xmlns:a="http://schemas.openxmlformats.org/drawingml/2006/main">
          <a:off x="3571875" y="1345406"/>
          <a:ext cx="1690687" cy="23813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0.44151</cdr:x>
      <cdr:y>0.18057</cdr:y>
    </cdr:from>
    <cdr:to>
      <cdr:x>0.54509</cdr:x>
      <cdr:y>0.22753</cdr:y>
    </cdr:to>
    <cdr:sp macro="" textlink="">
      <cdr:nvSpPr>
        <cdr:cNvPr id="21" name="CuadroTexto 1">
          <a:extLst xmlns:a="http://schemas.openxmlformats.org/drawingml/2006/main">
            <a:ext uri="{FF2B5EF4-FFF2-40B4-BE49-F238E27FC236}">
              <a16:creationId xmlns:a16="http://schemas.microsoft.com/office/drawing/2014/main" id="{E1599201-184B-478A-B883-3260F1E6429B}"/>
            </a:ext>
          </a:extLst>
        </cdr:cNvPr>
        <cdr:cNvSpPr txBox="1"/>
      </cdr:nvSpPr>
      <cdr:spPr>
        <a:xfrm xmlns:a="http://schemas.openxmlformats.org/drawingml/2006/main">
          <a:off x="4110802" y="1098591"/>
          <a:ext cx="964401" cy="285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0,35vvd</a:t>
          </a:r>
        </a:p>
      </cdr:txBody>
    </cdr:sp>
  </cdr:relSizeAnchor>
  <cdr:relSizeAnchor xmlns:cdr="http://schemas.openxmlformats.org/drawingml/2006/chartDrawing">
    <cdr:from>
      <cdr:x>0.56905</cdr:x>
      <cdr:y>0.1409</cdr:y>
    </cdr:from>
    <cdr:to>
      <cdr:x>0.5694</cdr:x>
      <cdr:y>0.79896</cdr:y>
    </cdr:to>
    <cdr:cxnSp macro="">
      <cdr:nvCxnSpPr>
        <cdr:cNvPr id="19" name="Conector recto 18">
          <a:extLst xmlns:a="http://schemas.openxmlformats.org/drawingml/2006/main">
            <a:ext uri="{FF2B5EF4-FFF2-40B4-BE49-F238E27FC236}">
              <a16:creationId xmlns:a16="http://schemas.microsoft.com/office/drawing/2014/main" id="{6CDA0219-EE0D-4781-8C8F-4902EFEE5AA3}"/>
            </a:ext>
          </a:extLst>
        </cdr:cNvPr>
        <cdr:cNvCxnSpPr/>
      </cdr:nvCxnSpPr>
      <cdr:spPr>
        <a:xfrm xmlns:a="http://schemas.openxmlformats.org/drawingml/2006/main">
          <a:off x="5298281" y="857250"/>
          <a:ext cx="3212" cy="400368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0.62694</cdr:x>
      <cdr:y>0.11206</cdr:y>
    </cdr:from>
    <cdr:to>
      <cdr:x>0.73052</cdr:x>
      <cdr:y>0.15902</cdr:y>
    </cdr:to>
    <cdr:sp macro="" textlink="">
      <cdr:nvSpPr>
        <cdr:cNvPr id="23" name="CuadroTexto 1">
          <a:extLst xmlns:a="http://schemas.openxmlformats.org/drawingml/2006/main">
            <a:ext uri="{FF2B5EF4-FFF2-40B4-BE49-F238E27FC236}">
              <a16:creationId xmlns:a16="http://schemas.microsoft.com/office/drawing/2014/main" id="{F30E2D56-CE92-4188-BCBF-E8E50C88AAB4}"/>
            </a:ext>
          </a:extLst>
        </cdr:cNvPr>
        <cdr:cNvSpPr txBox="1"/>
      </cdr:nvSpPr>
      <cdr:spPr>
        <a:xfrm xmlns:a="http://schemas.openxmlformats.org/drawingml/2006/main">
          <a:off x="5837281" y="681811"/>
          <a:ext cx="964401" cy="2857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0,4vvd</a:t>
          </a:r>
        </a:p>
      </cdr:txBody>
    </cdr:sp>
  </cdr:relSizeAnchor>
  <cdr:relSizeAnchor xmlns:cdr="http://schemas.openxmlformats.org/drawingml/2006/chartDrawing">
    <cdr:from>
      <cdr:x>0.56777</cdr:x>
      <cdr:y>0.16243</cdr:y>
    </cdr:from>
    <cdr:to>
      <cdr:x>0.78261</cdr:x>
      <cdr:y>0.16438</cdr:y>
    </cdr:to>
    <cdr:cxnSp macro="">
      <cdr:nvCxnSpPr>
        <cdr:cNvPr id="24" name="Conector recto de flecha 23">
          <a:extLst xmlns:a="http://schemas.openxmlformats.org/drawingml/2006/main">
            <a:ext uri="{FF2B5EF4-FFF2-40B4-BE49-F238E27FC236}">
              <a16:creationId xmlns:a16="http://schemas.microsoft.com/office/drawing/2014/main" id="{6060DF74-B8AB-4D95-8849-10D2E52D3AA1}"/>
            </a:ext>
          </a:extLst>
        </cdr:cNvPr>
        <cdr:cNvCxnSpPr/>
      </cdr:nvCxnSpPr>
      <cdr:spPr>
        <a:xfrm xmlns:a="http://schemas.openxmlformats.org/drawingml/2006/main" flipV="1">
          <a:off x="5286329" y="988219"/>
          <a:ext cx="2000296" cy="11884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0.44024</cdr:x>
      <cdr:y>0.41539</cdr:y>
    </cdr:from>
    <cdr:to>
      <cdr:x>0.5694</cdr:x>
      <cdr:y>0.55042</cdr:y>
    </cdr:to>
    <cdr:sp macro="" textlink="">
      <cdr:nvSpPr>
        <cdr:cNvPr id="25" name="Elipse 24">
          <a:extLst xmlns:a="http://schemas.openxmlformats.org/drawingml/2006/main">
            <a:ext uri="{FF2B5EF4-FFF2-40B4-BE49-F238E27FC236}">
              <a16:creationId xmlns:a16="http://schemas.microsoft.com/office/drawing/2014/main" id="{30045A88-6810-41C9-96BE-8BCEC3B45720}"/>
            </a:ext>
          </a:extLst>
        </cdr:cNvPr>
        <cdr:cNvSpPr/>
      </cdr:nvSpPr>
      <cdr:spPr>
        <a:xfrm xmlns:a="http://schemas.openxmlformats.org/drawingml/2006/main">
          <a:off x="4098966" y="2527271"/>
          <a:ext cx="1202568" cy="82153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0.78423</cdr:x>
      <cdr:y>0.14338</cdr:y>
    </cdr:from>
    <cdr:to>
      <cdr:x>0.78457</cdr:x>
      <cdr:y>0.80144</cdr:y>
    </cdr:to>
    <cdr:cxnSp macro="">
      <cdr:nvCxnSpPr>
        <cdr:cNvPr id="28" name="Conector recto 27">
          <a:extLst xmlns:a="http://schemas.openxmlformats.org/drawingml/2006/main">
            <a:ext uri="{FF2B5EF4-FFF2-40B4-BE49-F238E27FC236}">
              <a16:creationId xmlns:a16="http://schemas.microsoft.com/office/drawing/2014/main" id="{70077B95-96E1-46DE-8B92-52755B81A48B}"/>
            </a:ext>
          </a:extLst>
        </cdr:cNvPr>
        <cdr:cNvCxnSpPr/>
      </cdr:nvCxnSpPr>
      <cdr:spPr>
        <a:xfrm xmlns:a="http://schemas.openxmlformats.org/drawingml/2006/main">
          <a:off x="7301717" y="872313"/>
          <a:ext cx="3165" cy="400369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0.78806</cdr:x>
      <cdr:y>0.10228</cdr:y>
    </cdr:from>
    <cdr:to>
      <cdr:x>0.89164</cdr:x>
      <cdr:y>0.14925</cdr:y>
    </cdr:to>
    <cdr:sp macro="" textlink="">
      <cdr:nvSpPr>
        <cdr:cNvPr id="31" name="CuadroTexto 1">
          <a:extLst xmlns:a="http://schemas.openxmlformats.org/drawingml/2006/main">
            <a:ext uri="{FF2B5EF4-FFF2-40B4-BE49-F238E27FC236}">
              <a16:creationId xmlns:a16="http://schemas.microsoft.com/office/drawing/2014/main" id="{ECD2E85E-0E49-40A3-8459-2BF01F0D653A}"/>
            </a:ext>
          </a:extLst>
        </cdr:cNvPr>
        <cdr:cNvSpPr txBox="1"/>
      </cdr:nvSpPr>
      <cdr:spPr>
        <a:xfrm xmlns:a="http://schemas.openxmlformats.org/drawingml/2006/main">
          <a:off x="7337389" y="622295"/>
          <a:ext cx="964401" cy="2857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0,45vvd</a:t>
          </a:r>
        </a:p>
      </cdr:txBody>
    </cdr:sp>
  </cdr:relSizeAnchor>
  <cdr:relSizeAnchor xmlns:cdr="http://schemas.openxmlformats.org/drawingml/2006/chartDrawing">
    <cdr:from>
      <cdr:x>0.78295</cdr:x>
      <cdr:y>0.14677</cdr:y>
    </cdr:from>
    <cdr:to>
      <cdr:x>0.87852</cdr:x>
      <cdr:y>0.14729</cdr:y>
    </cdr:to>
    <cdr:cxnSp macro="">
      <cdr:nvCxnSpPr>
        <cdr:cNvPr id="32" name="Conector recto de flecha 31">
          <a:extLst xmlns:a="http://schemas.openxmlformats.org/drawingml/2006/main">
            <a:ext uri="{FF2B5EF4-FFF2-40B4-BE49-F238E27FC236}">
              <a16:creationId xmlns:a16="http://schemas.microsoft.com/office/drawing/2014/main" id="{B1D71B36-1F96-4F1F-BC8F-DE1B33110FE1}"/>
            </a:ext>
          </a:extLst>
        </cdr:cNvPr>
        <cdr:cNvCxnSpPr/>
      </cdr:nvCxnSpPr>
      <cdr:spPr>
        <a:xfrm xmlns:a="http://schemas.openxmlformats.org/drawingml/2006/main" flipV="1">
          <a:off x="7289810" y="892969"/>
          <a:ext cx="889784" cy="3183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0.65763</cdr:x>
      <cdr:y>0.12772</cdr:y>
    </cdr:from>
    <cdr:to>
      <cdr:x>0.78679</cdr:x>
      <cdr:y>0.26275</cdr:y>
    </cdr:to>
    <cdr:sp macro="" textlink="">
      <cdr:nvSpPr>
        <cdr:cNvPr id="33" name="Elipse 32">
          <a:extLst xmlns:a="http://schemas.openxmlformats.org/drawingml/2006/main">
            <a:ext uri="{FF2B5EF4-FFF2-40B4-BE49-F238E27FC236}">
              <a16:creationId xmlns:a16="http://schemas.microsoft.com/office/drawing/2014/main" id="{11156F94-53B7-49C8-AB14-4F8A94AA45B9}"/>
            </a:ext>
          </a:extLst>
        </cdr:cNvPr>
        <cdr:cNvSpPr/>
      </cdr:nvSpPr>
      <cdr:spPr>
        <a:xfrm xmlns:a="http://schemas.openxmlformats.org/drawingml/2006/main">
          <a:off x="6122972" y="777066"/>
          <a:ext cx="1202568" cy="82153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0.79446</cdr:x>
      <cdr:y>0.15851</cdr:y>
    </cdr:from>
    <cdr:to>
      <cdr:x>0.87596</cdr:x>
      <cdr:y>0.24318</cdr:y>
    </cdr:to>
    <cdr:sp macro="" textlink="">
      <cdr:nvSpPr>
        <cdr:cNvPr id="26" name="Elipse 25">
          <a:extLst xmlns:a="http://schemas.openxmlformats.org/drawingml/2006/main">
            <a:ext uri="{FF2B5EF4-FFF2-40B4-BE49-F238E27FC236}">
              <a16:creationId xmlns:a16="http://schemas.microsoft.com/office/drawing/2014/main" id="{D3631233-DF2A-411D-8494-EAD4B1E24FCF}"/>
            </a:ext>
          </a:extLst>
        </cdr:cNvPr>
        <cdr:cNvSpPr/>
      </cdr:nvSpPr>
      <cdr:spPr>
        <a:xfrm xmlns:a="http://schemas.openxmlformats.org/drawingml/2006/main">
          <a:off x="7396956" y="964406"/>
          <a:ext cx="758826" cy="515148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0.11509</cdr:x>
      <cdr:y>0.27201</cdr:y>
    </cdr:from>
    <cdr:to>
      <cdr:x>0.21867</cdr:x>
      <cdr:y>0.31898</cdr:y>
    </cdr:to>
    <cdr:sp macro="" textlink="">
      <cdr:nvSpPr>
        <cdr:cNvPr id="6" name="CuadroTexto 5">
          <a:extLst xmlns:a="http://schemas.openxmlformats.org/drawingml/2006/main">
            <a:ext uri="{FF2B5EF4-FFF2-40B4-BE49-F238E27FC236}">
              <a16:creationId xmlns:a16="http://schemas.microsoft.com/office/drawing/2014/main" id="{D624E1D9-BB69-4FA6-BA00-AC9A43CCFADC}"/>
            </a:ext>
          </a:extLst>
        </cdr:cNvPr>
        <cdr:cNvSpPr txBox="1"/>
      </cdr:nvSpPr>
      <cdr:spPr>
        <a:xfrm xmlns:a="http://schemas.openxmlformats.org/drawingml/2006/main">
          <a:off x="1071599" y="1654934"/>
          <a:ext cx="964401" cy="285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0,45vvd</a:t>
          </a:r>
        </a:p>
      </cdr:txBody>
    </cdr:sp>
  </cdr:relSizeAnchor>
  <cdr:relSizeAnchor xmlns:cdr="http://schemas.openxmlformats.org/drawingml/2006/chartDrawing">
    <cdr:from>
      <cdr:x>0.2174</cdr:x>
      <cdr:y>0.15068</cdr:y>
    </cdr:from>
    <cdr:to>
      <cdr:x>0.21995</cdr:x>
      <cdr:y>0.81213</cdr:y>
    </cdr:to>
    <cdr:cxnSp macro="">
      <cdr:nvCxnSpPr>
        <cdr:cNvPr id="8" name="Conector recto 7">
          <a:extLst xmlns:a="http://schemas.openxmlformats.org/drawingml/2006/main">
            <a:ext uri="{FF2B5EF4-FFF2-40B4-BE49-F238E27FC236}">
              <a16:creationId xmlns:a16="http://schemas.microsoft.com/office/drawing/2014/main" id="{26751D29-7C1F-44B7-81B5-1CDA6BE0F527}"/>
            </a:ext>
          </a:extLst>
        </cdr:cNvPr>
        <cdr:cNvCxnSpPr/>
      </cdr:nvCxnSpPr>
      <cdr:spPr>
        <a:xfrm xmlns:a="http://schemas.openxmlformats.org/drawingml/2006/main" flipH="1">
          <a:off x="2024123" y="916770"/>
          <a:ext cx="23743" cy="402432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0.38269</cdr:x>
      <cdr:y>0.16881</cdr:y>
    </cdr:from>
    <cdr:to>
      <cdr:x>0.38525</cdr:x>
      <cdr:y>0.83026</cdr:y>
    </cdr:to>
    <cdr:cxnSp macro="">
      <cdr:nvCxnSpPr>
        <cdr:cNvPr id="10" name="Conector recto 9">
          <a:extLst xmlns:a="http://schemas.openxmlformats.org/drawingml/2006/main">
            <a:ext uri="{FF2B5EF4-FFF2-40B4-BE49-F238E27FC236}">
              <a16:creationId xmlns:a16="http://schemas.microsoft.com/office/drawing/2014/main" id="{E2EDFDB2-A876-48C2-9583-398310FCAFB1}"/>
            </a:ext>
          </a:extLst>
        </cdr:cNvPr>
        <cdr:cNvCxnSpPr/>
      </cdr:nvCxnSpPr>
      <cdr:spPr>
        <a:xfrm xmlns:a="http://schemas.openxmlformats.org/drawingml/2006/main" flipH="1">
          <a:off x="3563137" y="1027066"/>
          <a:ext cx="23836" cy="402432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0.11636</cdr:x>
      <cdr:y>0.55773</cdr:y>
    </cdr:from>
    <cdr:to>
      <cdr:x>0.24552</cdr:x>
      <cdr:y>0.69276</cdr:y>
    </cdr:to>
    <cdr:sp macro="" textlink="">
      <cdr:nvSpPr>
        <cdr:cNvPr id="11" name="Elipse 10">
          <a:extLst xmlns:a="http://schemas.openxmlformats.org/drawingml/2006/main">
            <a:ext uri="{FF2B5EF4-FFF2-40B4-BE49-F238E27FC236}">
              <a16:creationId xmlns:a16="http://schemas.microsoft.com/office/drawing/2014/main" id="{2CE1FB8B-0B27-45CA-9B92-BA6BFFFE3B65}"/>
            </a:ext>
          </a:extLst>
        </cdr:cNvPr>
        <cdr:cNvSpPr/>
      </cdr:nvSpPr>
      <cdr:spPr>
        <a:xfrm xmlns:a="http://schemas.openxmlformats.org/drawingml/2006/main">
          <a:off x="1083409" y="3393295"/>
          <a:ext cx="1202568" cy="82153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0.1087</cdr:x>
      <cdr:y>0.31311</cdr:y>
    </cdr:from>
    <cdr:to>
      <cdr:x>0.21483</cdr:x>
      <cdr:y>0.31507</cdr:y>
    </cdr:to>
    <cdr:cxnSp macro="">
      <cdr:nvCxnSpPr>
        <cdr:cNvPr id="13" name="Conector recto de flecha 12">
          <a:extLst xmlns:a="http://schemas.openxmlformats.org/drawingml/2006/main">
            <a:ext uri="{FF2B5EF4-FFF2-40B4-BE49-F238E27FC236}">
              <a16:creationId xmlns:a16="http://schemas.microsoft.com/office/drawing/2014/main" id="{A35D75D5-20B2-4D42-8AAB-50A31F00E4AE}"/>
            </a:ext>
          </a:extLst>
        </cdr:cNvPr>
        <cdr:cNvCxnSpPr/>
      </cdr:nvCxnSpPr>
      <cdr:spPr>
        <a:xfrm xmlns:a="http://schemas.openxmlformats.org/drawingml/2006/main">
          <a:off x="1012072" y="1904992"/>
          <a:ext cx="988178" cy="11914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0.22251</cdr:x>
      <cdr:y>0.21331</cdr:y>
    </cdr:from>
    <cdr:to>
      <cdr:x>0.38235</cdr:x>
      <cdr:y>0.21526</cdr:y>
    </cdr:to>
    <cdr:cxnSp macro="">
      <cdr:nvCxnSpPr>
        <cdr:cNvPr id="14" name="Conector recto de flecha 13">
          <a:extLst xmlns:a="http://schemas.openxmlformats.org/drawingml/2006/main">
            <a:ext uri="{FF2B5EF4-FFF2-40B4-BE49-F238E27FC236}">
              <a16:creationId xmlns:a16="http://schemas.microsoft.com/office/drawing/2014/main" id="{D17F0C67-CD10-460A-806F-31A0B8DDE983}"/>
            </a:ext>
          </a:extLst>
        </cdr:cNvPr>
        <cdr:cNvCxnSpPr/>
      </cdr:nvCxnSpPr>
      <cdr:spPr>
        <a:xfrm xmlns:a="http://schemas.openxmlformats.org/drawingml/2006/main" flipV="1">
          <a:off x="2071688" y="1297781"/>
          <a:ext cx="1488281" cy="11906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0.26888</cdr:x>
      <cdr:y>0.16491</cdr:y>
    </cdr:from>
    <cdr:to>
      <cdr:x>0.37246</cdr:x>
      <cdr:y>0.21188</cdr:y>
    </cdr:to>
    <cdr:sp macro="" textlink="">
      <cdr:nvSpPr>
        <cdr:cNvPr id="16" name="CuadroTexto 1">
          <a:extLst xmlns:a="http://schemas.openxmlformats.org/drawingml/2006/main">
            <a:ext uri="{FF2B5EF4-FFF2-40B4-BE49-F238E27FC236}">
              <a16:creationId xmlns:a16="http://schemas.microsoft.com/office/drawing/2014/main" id="{83426C5F-8E4A-4ADD-9B8B-648E6F0F0DDC}"/>
            </a:ext>
          </a:extLst>
        </cdr:cNvPr>
        <cdr:cNvSpPr txBox="1"/>
      </cdr:nvSpPr>
      <cdr:spPr>
        <a:xfrm xmlns:a="http://schemas.openxmlformats.org/drawingml/2006/main">
          <a:off x="2503493" y="1003317"/>
          <a:ext cx="964401" cy="285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0,4vvd</a:t>
          </a:r>
        </a:p>
      </cdr:txBody>
    </cdr:sp>
  </cdr:relSizeAnchor>
  <cdr:relSizeAnchor xmlns:cdr="http://schemas.openxmlformats.org/drawingml/2006/chartDrawing">
    <cdr:from>
      <cdr:x>0.2711</cdr:x>
      <cdr:y>0.23483</cdr:y>
    </cdr:from>
    <cdr:to>
      <cdr:x>0.3977</cdr:x>
      <cdr:y>0.38552</cdr:y>
    </cdr:to>
    <cdr:sp macro="" textlink="">
      <cdr:nvSpPr>
        <cdr:cNvPr id="17" name="Elipse 16">
          <a:extLst xmlns:a="http://schemas.openxmlformats.org/drawingml/2006/main">
            <a:ext uri="{FF2B5EF4-FFF2-40B4-BE49-F238E27FC236}">
              <a16:creationId xmlns:a16="http://schemas.microsoft.com/office/drawing/2014/main" id="{F1E3887C-2B50-4EDE-8F30-7ADC68E33938}"/>
            </a:ext>
          </a:extLst>
        </cdr:cNvPr>
        <cdr:cNvSpPr/>
      </cdr:nvSpPr>
      <cdr:spPr>
        <a:xfrm xmlns:a="http://schemas.openxmlformats.org/drawingml/2006/main">
          <a:off x="2524093" y="1428749"/>
          <a:ext cx="1178752" cy="916767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0.38363</cdr:x>
      <cdr:y>0.22113</cdr:y>
    </cdr:from>
    <cdr:to>
      <cdr:x>0.56522</cdr:x>
      <cdr:y>0.22505</cdr:y>
    </cdr:to>
    <cdr:cxnSp macro="">
      <cdr:nvCxnSpPr>
        <cdr:cNvPr id="18" name="Conector recto de flecha 17">
          <a:extLst xmlns:a="http://schemas.openxmlformats.org/drawingml/2006/main">
            <a:ext uri="{FF2B5EF4-FFF2-40B4-BE49-F238E27FC236}">
              <a16:creationId xmlns:a16="http://schemas.microsoft.com/office/drawing/2014/main" id="{60CB3463-ABAF-45DD-B827-204EF525D686}"/>
            </a:ext>
          </a:extLst>
        </cdr:cNvPr>
        <cdr:cNvCxnSpPr/>
      </cdr:nvCxnSpPr>
      <cdr:spPr>
        <a:xfrm xmlns:a="http://schemas.openxmlformats.org/drawingml/2006/main">
          <a:off x="3571875" y="1345406"/>
          <a:ext cx="1690687" cy="23813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0.44151</cdr:x>
      <cdr:y>0.18057</cdr:y>
    </cdr:from>
    <cdr:to>
      <cdr:x>0.54509</cdr:x>
      <cdr:y>0.22753</cdr:y>
    </cdr:to>
    <cdr:sp macro="" textlink="">
      <cdr:nvSpPr>
        <cdr:cNvPr id="21" name="CuadroTexto 1">
          <a:extLst xmlns:a="http://schemas.openxmlformats.org/drawingml/2006/main">
            <a:ext uri="{FF2B5EF4-FFF2-40B4-BE49-F238E27FC236}">
              <a16:creationId xmlns:a16="http://schemas.microsoft.com/office/drawing/2014/main" id="{E1599201-184B-478A-B883-3260F1E6429B}"/>
            </a:ext>
          </a:extLst>
        </cdr:cNvPr>
        <cdr:cNvSpPr txBox="1"/>
      </cdr:nvSpPr>
      <cdr:spPr>
        <a:xfrm xmlns:a="http://schemas.openxmlformats.org/drawingml/2006/main">
          <a:off x="4110802" y="1098591"/>
          <a:ext cx="964401" cy="285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0,35vvd</a:t>
          </a:r>
        </a:p>
      </cdr:txBody>
    </cdr:sp>
  </cdr:relSizeAnchor>
  <cdr:relSizeAnchor xmlns:cdr="http://schemas.openxmlformats.org/drawingml/2006/chartDrawing">
    <cdr:from>
      <cdr:x>0.56905</cdr:x>
      <cdr:y>0.1409</cdr:y>
    </cdr:from>
    <cdr:to>
      <cdr:x>0.5694</cdr:x>
      <cdr:y>0.79896</cdr:y>
    </cdr:to>
    <cdr:cxnSp macro="">
      <cdr:nvCxnSpPr>
        <cdr:cNvPr id="19" name="Conector recto 18">
          <a:extLst xmlns:a="http://schemas.openxmlformats.org/drawingml/2006/main">
            <a:ext uri="{FF2B5EF4-FFF2-40B4-BE49-F238E27FC236}">
              <a16:creationId xmlns:a16="http://schemas.microsoft.com/office/drawing/2014/main" id="{6CDA0219-EE0D-4781-8C8F-4902EFEE5AA3}"/>
            </a:ext>
          </a:extLst>
        </cdr:cNvPr>
        <cdr:cNvCxnSpPr/>
      </cdr:nvCxnSpPr>
      <cdr:spPr>
        <a:xfrm xmlns:a="http://schemas.openxmlformats.org/drawingml/2006/main">
          <a:off x="5298281" y="857250"/>
          <a:ext cx="3212" cy="400368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0.62694</cdr:x>
      <cdr:y>0.11206</cdr:y>
    </cdr:from>
    <cdr:to>
      <cdr:x>0.73052</cdr:x>
      <cdr:y>0.15902</cdr:y>
    </cdr:to>
    <cdr:sp macro="" textlink="">
      <cdr:nvSpPr>
        <cdr:cNvPr id="23" name="CuadroTexto 1">
          <a:extLst xmlns:a="http://schemas.openxmlformats.org/drawingml/2006/main">
            <a:ext uri="{FF2B5EF4-FFF2-40B4-BE49-F238E27FC236}">
              <a16:creationId xmlns:a16="http://schemas.microsoft.com/office/drawing/2014/main" id="{F30E2D56-CE92-4188-BCBF-E8E50C88AAB4}"/>
            </a:ext>
          </a:extLst>
        </cdr:cNvPr>
        <cdr:cNvSpPr txBox="1"/>
      </cdr:nvSpPr>
      <cdr:spPr>
        <a:xfrm xmlns:a="http://schemas.openxmlformats.org/drawingml/2006/main">
          <a:off x="5837281" y="681811"/>
          <a:ext cx="964401" cy="2857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0,4vvd</a:t>
          </a:r>
        </a:p>
      </cdr:txBody>
    </cdr:sp>
  </cdr:relSizeAnchor>
  <cdr:relSizeAnchor xmlns:cdr="http://schemas.openxmlformats.org/drawingml/2006/chartDrawing">
    <cdr:from>
      <cdr:x>0.56777</cdr:x>
      <cdr:y>0.16243</cdr:y>
    </cdr:from>
    <cdr:to>
      <cdr:x>0.78261</cdr:x>
      <cdr:y>0.16438</cdr:y>
    </cdr:to>
    <cdr:cxnSp macro="">
      <cdr:nvCxnSpPr>
        <cdr:cNvPr id="24" name="Conector recto de flecha 23">
          <a:extLst xmlns:a="http://schemas.openxmlformats.org/drawingml/2006/main">
            <a:ext uri="{FF2B5EF4-FFF2-40B4-BE49-F238E27FC236}">
              <a16:creationId xmlns:a16="http://schemas.microsoft.com/office/drawing/2014/main" id="{6060DF74-B8AB-4D95-8849-10D2E52D3AA1}"/>
            </a:ext>
          </a:extLst>
        </cdr:cNvPr>
        <cdr:cNvCxnSpPr/>
      </cdr:nvCxnSpPr>
      <cdr:spPr>
        <a:xfrm xmlns:a="http://schemas.openxmlformats.org/drawingml/2006/main" flipV="1">
          <a:off x="5286329" y="988219"/>
          <a:ext cx="2000296" cy="11884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0.44024</cdr:x>
      <cdr:y>0.41539</cdr:y>
    </cdr:from>
    <cdr:to>
      <cdr:x>0.5694</cdr:x>
      <cdr:y>0.55042</cdr:y>
    </cdr:to>
    <cdr:sp macro="" textlink="">
      <cdr:nvSpPr>
        <cdr:cNvPr id="25" name="Elipse 24">
          <a:extLst xmlns:a="http://schemas.openxmlformats.org/drawingml/2006/main">
            <a:ext uri="{FF2B5EF4-FFF2-40B4-BE49-F238E27FC236}">
              <a16:creationId xmlns:a16="http://schemas.microsoft.com/office/drawing/2014/main" id="{30045A88-6810-41C9-96BE-8BCEC3B45720}"/>
            </a:ext>
          </a:extLst>
        </cdr:cNvPr>
        <cdr:cNvSpPr/>
      </cdr:nvSpPr>
      <cdr:spPr>
        <a:xfrm xmlns:a="http://schemas.openxmlformats.org/drawingml/2006/main">
          <a:off x="4098966" y="2527271"/>
          <a:ext cx="1202568" cy="82153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0.78423</cdr:x>
      <cdr:y>0.14338</cdr:y>
    </cdr:from>
    <cdr:to>
      <cdr:x>0.78457</cdr:x>
      <cdr:y>0.80144</cdr:y>
    </cdr:to>
    <cdr:cxnSp macro="">
      <cdr:nvCxnSpPr>
        <cdr:cNvPr id="28" name="Conector recto 27">
          <a:extLst xmlns:a="http://schemas.openxmlformats.org/drawingml/2006/main">
            <a:ext uri="{FF2B5EF4-FFF2-40B4-BE49-F238E27FC236}">
              <a16:creationId xmlns:a16="http://schemas.microsoft.com/office/drawing/2014/main" id="{70077B95-96E1-46DE-8B92-52755B81A48B}"/>
            </a:ext>
          </a:extLst>
        </cdr:cNvPr>
        <cdr:cNvCxnSpPr/>
      </cdr:nvCxnSpPr>
      <cdr:spPr>
        <a:xfrm xmlns:a="http://schemas.openxmlformats.org/drawingml/2006/main">
          <a:off x="7301717" y="872313"/>
          <a:ext cx="3165" cy="400369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0.78806</cdr:x>
      <cdr:y>0.10228</cdr:y>
    </cdr:from>
    <cdr:to>
      <cdr:x>0.89164</cdr:x>
      <cdr:y>0.14925</cdr:y>
    </cdr:to>
    <cdr:sp macro="" textlink="">
      <cdr:nvSpPr>
        <cdr:cNvPr id="31" name="CuadroTexto 1">
          <a:extLst xmlns:a="http://schemas.openxmlformats.org/drawingml/2006/main">
            <a:ext uri="{FF2B5EF4-FFF2-40B4-BE49-F238E27FC236}">
              <a16:creationId xmlns:a16="http://schemas.microsoft.com/office/drawing/2014/main" id="{ECD2E85E-0E49-40A3-8459-2BF01F0D653A}"/>
            </a:ext>
          </a:extLst>
        </cdr:cNvPr>
        <cdr:cNvSpPr txBox="1"/>
      </cdr:nvSpPr>
      <cdr:spPr>
        <a:xfrm xmlns:a="http://schemas.openxmlformats.org/drawingml/2006/main">
          <a:off x="7337389" y="622295"/>
          <a:ext cx="964401" cy="2857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0,45vvd</a:t>
          </a:r>
        </a:p>
      </cdr:txBody>
    </cdr:sp>
  </cdr:relSizeAnchor>
  <cdr:relSizeAnchor xmlns:cdr="http://schemas.openxmlformats.org/drawingml/2006/chartDrawing">
    <cdr:from>
      <cdr:x>0.78295</cdr:x>
      <cdr:y>0.14677</cdr:y>
    </cdr:from>
    <cdr:to>
      <cdr:x>0.87852</cdr:x>
      <cdr:y>0.14729</cdr:y>
    </cdr:to>
    <cdr:cxnSp macro="">
      <cdr:nvCxnSpPr>
        <cdr:cNvPr id="32" name="Conector recto de flecha 31">
          <a:extLst xmlns:a="http://schemas.openxmlformats.org/drawingml/2006/main">
            <a:ext uri="{FF2B5EF4-FFF2-40B4-BE49-F238E27FC236}">
              <a16:creationId xmlns:a16="http://schemas.microsoft.com/office/drawing/2014/main" id="{B1D71B36-1F96-4F1F-BC8F-DE1B33110FE1}"/>
            </a:ext>
          </a:extLst>
        </cdr:cNvPr>
        <cdr:cNvCxnSpPr/>
      </cdr:nvCxnSpPr>
      <cdr:spPr>
        <a:xfrm xmlns:a="http://schemas.openxmlformats.org/drawingml/2006/main" flipV="1">
          <a:off x="7289810" y="892969"/>
          <a:ext cx="889784" cy="3183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0.65763</cdr:x>
      <cdr:y>0.12772</cdr:y>
    </cdr:from>
    <cdr:to>
      <cdr:x>0.78679</cdr:x>
      <cdr:y>0.26275</cdr:y>
    </cdr:to>
    <cdr:sp macro="" textlink="">
      <cdr:nvSpPr>
        <cdr:cNvPr id="33" name="Elipse 32">
          <a:extLst xmlns:a="http://schemas.openxmlformats.org/drawingml/2006/main">
            <a:ext uri="{FF2B5EF4-FFF2-40B4-BE49-F238E27FC236}">
              <a16:creationId xmlns:a16="http://schemas.microsoft.com/office/drawing/2014/main" id="{11156F94-53B7-49C8-AB14-4F8A94AA45B9}"/>
            </a:ext>
          </a:extLst>
        </cdr:cNvPr>
        <cdr:cNvSpPr/>
      </cdr:nvSpPr>
      <cdr:spPr>
        <a:xfrm xmlns:a="http://schemas.openxmlformats.org/drawingml/2006/main">
          <a:off x="6122972" y="777066"/>
          <a:ext cx="1202568" cy="82153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0.79446</cdr:x>
      <cdr:y>0.15851</cdr:y>
    </cdr:from>
    <cdr:to>
      <cdr:x>0.87596</cdr:x>
      <cdr:y>0.24318</cdr:y>
    </cdr:to>
    <cdr:sp macro="" textlink="">
      <cdr:nvSpPr>
        <cdr:cNvPr id="26" name="Elipse 25">
          <a:extLst xmlns:a="http://schemas.openxmlformats.org/drawingml/2006/main">
            <a:ext uri="{FF2B5EF4-FFF2-40B4-BE49-F238E27FC236}">
              <a16:creationId xmlns:a16="http://schemas.microsoft.com/office/drawing/2014/main" id="{D3631233-DF2A-411D-8494-EAD4B1E24FCF}"/>
            </a:ext>
          </a:extLst>
        </cdr:cNvPr>
        <cdr:cNvSpPr/>
      </cdr:nvSpPr>
      <cdr:spPr>
        <a:xfrm xmlns:a="http://schemas.openxmlformats.org/drawingml/2006/main">
          <a:off x="7396956" y="964406"/>
          <a:ext cx="758826" cy="515148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0.32131</cdr:x>
      <cdr:y>0.35108</cdr:y>
    </cdr:from>
    <cdr:to>
      <cdr:x>0.5065</cdr:x>
      <cdr:y>0.37423</cdr:y>
    </cdr:to>
    <cdr:sp macro="" textlink="">
      <cdr:nvSpPr>
        <cdr:cNvPr id="5" name="Flecha: hacia la izquierda 4">
          <a:extLst xmlns:a="http://schemas.openxmlformats.org/drawingml/2006/main">
            <a:ext uri="{FF2B5EF4-FFF2-40B4-BE49-F238E27FC236}">
              <a16:creationId xmlns:a16="http://schemas.microsoft.com/office/drawing/2014/main" id="{E00C248A-3CA6-4ED7-AC65-BA52A08DE605}"/>
            </a:ext>
          </a:extLst>
        </cdr:cNvPr>
        <cdr:cNvSpPr/>
      </cdr:nvSpPr>
      <cdr:spPr>
        <a:xfrm xmlns:a="http://schemas.openxmlformats.org/drawingml/2006/main">
          <a:off x="1489447" y="963086"/>
          <a:ext cx="858448" cy="63505"/>
        </a:xfrm>
        <a:prstGeom xmlns:a="http://schemas.openxmlformats.org/drawingml/2006/main" prst="left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0.326</cdr:x>
      <cdr:y>0.10803</cdr:y>
    </cdr:from>
    <cdr:to>
      <cdr:x>0.49498</cdr:x>
      <cdr:y>0.12469</cdr:y>
    </cdr:to>
    <cdr:sp macro="" textlink="">
      <cdr:nvSpPr>
        <cdr:cNvPr id="6" name="Flecha: a la derecha 5">
          <a:extLst xmlns:a="http://schemas.openxmlformats.org/drawingml/2006/main">
            <a:ext uri="{FF2B5EF4-FFF2-40B4-BE49-F238E27FC236}">
              <a16:creationId xmlns:a16="http://schemas.microsoft.com/office/drawing/2014/main" id="{48A52F9F-5CA8-49E6-AA68-8CCD615B2CCB}"/>
            </a:ext>
          </a:extLst>
        </cdr:cNvPr>
        <cdr:cNvSpPr/>
      </cdr:nvSpPr>
      <cdr:spPr>
        <a:xfrm xmlns:a="http://schemas.openxmlformats.org/drawingml/2006/main">
          <a:off x="1511191" y="296348"/>
          <a:ext cx="783307" cy="45702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0.32083</cdr:x>
      <cdr:y>0.53935</cdr:y>
    </cdr:from>
    <cdr:to>
      <cdr:x>0.50602</cdr:x>
      <cdr:y>0.55602</cdr:y>
    </cdr:to>
    <cdr:sp macro="" textlink="">
      <cdr:nvSpPr>
        <cdr:cNvPr id="4" name="Flecha: hacia la izquierda 3">
          <a:extLst xmlns:a="http://schemas.openxmlformats.org/drawingml/2006/main">
            <a:ext uri="{FF2B5EF4-FFF2-40B4-BE49-F238E27FC236}">
              <a16:creationId xmlns:a16="http://schemas.microsoft.com/office/drawing/2014/main" id="{BCC07948-6F30-46F5-9ABB-20CB02A515FE}"/>
            </a:ext>
          </a:extLst>
        </cdr:cNvPr>
        <cdr:cNvSpPr/>
      </cdr:nvSpPr>
      <cdr:spPr>
        <a:xfrm xmlns:a="http://schemas.openxmlformats.org/drawingml/2006/main">
          <a:off x="1487191" y="1479546"/>
          <a:ext cx="858448" cy="45729"/>
        </a:xfrm>
        <a:prstGeom xmlns:a="http://schemas.openxmlformats.org/drawingml/2006/main" prst="leftArrow">
          <a:avLst/>
        </a:prstGeom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0.33031</cdr:x>
      <cdr:y>0.7091</cdr:y>
    </cdr:from>
    <cdr:to>
      <cdr:x>0.49929</cdr:x>
      <cdr:y>0.72576</cdr:y>
    </cdr:to>
    <cdr:sp macro="" textlink="">
      <cdr:nvSpPr>
        <cdr:cNvPr id="7" name="Flecha: a la derecha 6">
          <a:extLst xmlns:a="http://schemas.openxmlformats.org/drawingml/2006/main">
            <a:ext uri="{FF2B5EF4-FFF2-40B4-BE49-F238E27FC236}">
              <a16:creationId xmlns:a16="http://schemas.microsoft.com/office/drawing/2014/main" id="{9AEF3DFD-BE3C-4E92-932C-569BE072CBDD}"/>
            </a:ext>
          </a:extLst>
        </cdr:cNvPr>
        <cdr:cNvSpPr/>
      </cdr:nvSpPr>
      <cdr:spPr>
        <a:xfrm xmlns:a="http://schemas.openxmlformats.org/drawingml/2006/main">
          <a:off x="1531149" y="1945209"/>
          <a:ext cx="783307" cy="45702"/>
        </a:xfrm>
        <a:prstGeom xmlns:a="http://schemas.openxmlformats.org/drawingml/2006/main" prst="rightArrow">
          <a:avLst/>
        </a:prstGeom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0.56608</cdr:x>
      <cdr:y>0.12731</cdr:y>
    </cdr:from>
    <cdr:to>
      <cdr:x>0.59912</cdr:x>
      <cdr:y>0.16204</cdr:y>
    </cdr:to>
    <cdr:sp macro="" textlink="">
      <cdr:nvSpPr>
        <cdr:cNvPr id="2" name="Flecha a la derecha con bandas 1"/>
        <cdr:cNvSpPr/>
      </cdr:nvSpPr>
      <cdr:spPr>
        <a:xfrm xmlns:a="http://schemas.openxmlformats.org/drawingml/2006/main">
          <a:off x="2719917" y="349250"/>
          <a:ext cx="158751" cy="95250"/>
        </a:xfrm>
        <a:prstGeom xmlns:a="http://schemas.openxmlformats.org/drawingml/2006/main" prst="stripedRight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0.55019</cdr:x>
      <cdr:y>0.45073</cdr:y>
    </cdr:from>
    <cdr:to>
      <cdr:x>0.58201</cdr:x>
      <cdr:y>0.47962</cdr:y>
    </cdr:to>
    <cdr:sp macro="" textlink="">
      <cdr:nvSpPr>
        <cdr:cNvPr id="3" name="Flecha a la derecha con bandas 2"/>
        <cdr:cNvSpPr/>
      </cdr:nvSpPr>
      <cdr:spPr>
        <a:xfrm xmlns:a="http://schemas.openxmlformats.org/drawingml/2006/main" rot="12285916">
          <a:off x="2643550" y="1236451"/>
          <a:ext cx="152914" cy="79248"/>
        </a:xfrm>
        <a:prstGeom xmlns:a="http://schemas.openxmlformats.org/drawingml/2006/main" prst="stripedRightArrow">
          <a:avLst/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0.56828</cdr:x>
      <cdr:y>0.32407</cdr:y>
    </cdr:from>
    <cdr:to>
      <cdr:x>0.59912</cdr:x>
      <cdr:y>0.35108</cdr:y>
    </cdr:to>
    <cdr:sp macro="" textlink="">
      <cdr:nvSpPr>
        <cdr:cNvPr id="9" name="Flecha a la derecha con bandas 8"/>
        <cdr:cNvSpPr/>
      </cdr:nvSpPr>
      <cdr:spPr>
        <a:xfrm xmlns:a="http://schemas.openxmlformats.org/drawingml/2006/main">
          <a:off x="2730500" y="889001"/>
          <a:ext cx="148168" cy="74084"/>
        </a:xfrm>
        <a:prstGeom xmlns:a="http://schemas.openxmlformats.org/drawingml/2006/main" prst="stripedRightArrow">
          <a:avLst/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ES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0.56608</cdr:x>
      <cdr:y>0.12731</cdr:y>
    </cdr:from>
    <cdr:to>
      <cdr:x>0.59912</cdr:x>
      <cdr:y>0.16204</cdr:y>
    </cdr:to>
    <cdr:sp macro="" textlink="">
      <cdr:nvSpPr>
        <cdr:cNvPr id="2" name="Flecha a la derecha con bandas 1"/>
        <cdr:cNvSpPr/>
      </cdr:nvSpPr>
      <cdr:spPr>
        <a:xfrm xmlns:a="http://schemas.openxmlformats.org/drawingml/2006/main">
          <a:off x="2719917" y="349250"/>
          <a:ext cx="158751" cy="95250"/>
        </a:xfrm>
        <a:prstGeom xmlns:a="http://schemas.openxmlformats.org/drawingml/2006/main" prst="stripedRight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0.49548</cdr:x>
      <cdr:y>0.49965</cdr:y>
    </cdr:from>
    <cdr:to>
      <cdr:x>0.52352</cdr:x>
      <cdr:y>0.53071</cdr:y>
    </cdr:to>
    <cdr:sp macro="" textlink="">
      <cdr:nvSpPr>
        <cdr:cNvPr id="3" name="Flecha a la derecha con bandas 2"/>
        <cdr:cNvSpPr/>
      </cdr:nvSpPr>
      <cdr:spPr>
        <a:xfrm xmlns:a="http://schemas.openxmlformats.org/drawingml/2006/main" rot="10505417">
          <a:off x="2380702" y="1370638"/>
          <a:ext cx="134733" cy="85200"/>
        </a:xfrm>
        <a:prstGeom xmlns:a="http://schemas.openxmlformats.org/drawingml/2006/main" prst="stripedRightArrow">
          <a:avLst/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0.48458</cdr:x>
      <cdr:y>0.33179</cdr:y>
    </cdr:from>
    <cdr:to>
      <cdr:x>0.51542</cdr:x>
      <cdr:y>0.3588</cdr:y>
    </cdr:to>
    <cdr:sp macro="" textlink="">
      <cdr:nvSpPr>
        <cdr:cNvPr id="9" name="Flecha a la derecha con bandas 8"/>
        <cdr:cNvSpPr/>
      </cdr:nvSpPr>
      <cdr:spPr>
        <a:xfrm xmlns:a="http://schemas.openxmlformats.org/drawingml/2006/main" rot="20598604">
          <a:off x="2328324" y="910157"/>
          <a:ext cx="148181" cy="74094"/>
        </a:xfrm>
        <a:prstGeom xmlns:a="http://schemas.openxmlformats.org/drawingml/2006/main" prst="stripedRightArrow">
          <a:avLst/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0.53921</cdr:x>
      <cdr:y>0.35417</cdr:y>
    </cdr:from>
    <cdr:to>
      <cdr:x>0.5738</cdr:x>
      <cdr:y>0.38468</cdr:y>
    </cdr:to>
    <cdr:sp macro="" textlink="">
      <cdr:nvSpPr>
        <cdr:cNvPr id="5" name="Flecha a la derecha con bandas 35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24000000}"/>
            </a:ext>
          </a:extLst>
        </cdr:cNvPr>
        <cdr:cNvSpPr/>
      </cdr:nvSpPr>
      <cdr:spPr>
        <a:xfrm xmlns:a="http://schemas.openxmlformats.org/drawingml/2006/main" rot="13258280">
          <a:off x="2590799" y="971550"/>
          <a:ext cx="166206" cy="83693"/>
        </a:xfrm>
        <a:prstGeom xmlns:a="http://schemas.openxmlformats.org/drawingml/2006/main" prst="stripedRight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0.78931</cdr:x>
      <cdr:y>0.11818</cdr:y>
    </cdr:from>
    <cdr:to>
      <cdr:x>0.78931</cdr:x>
      <cdr:y>0.85245</cdr:y>
    </cdr:to>
    <cdr:cxnSp macro="">
      <cdr:nvCxnSpPr>
        <cdr:cNvPr id="5" name="Conector recto 4">
          <a:extLst xmlns:a="http://schemas.openxmlformats.org/drawingml/2006/main">
            <a:ext uri="{FF2B5EF4-FFF2-40B4-BE49-F238E27FC236}">
              <a16:creationId xmlns:a16="http://schemas.microsoft.com/office/drawing/2014/main" id="{A71D6427-F22F-4FA7-8513-F839A9CF4416}"/>
            </a:ext>
          </a:extLst>
        </cdr:cNvPr>
        <cdr:cNvCxnSpPr/>
      </cdr:nvCxnSpPr>
      <cdr:spPr>
        <a:xfrm xmlns:a="http://schemas.openxmlformats.org/drawingml/2006/main" flipH="1">
          <a:off x="7344832" y="447146"/>
          <a:ext cx="1" cy="27781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0.21956</cdr:x>
      <cdr:y>0.11832</cdr:y>
    </cdr:from>
    <cdr:to>
      <cdr:x>0.21956</cdr:x>
      <cdr:y>0.85259</cdr:y>
    </cdr:to>
    <cdr:cxnSp macro="">
      <cdr:nvCxnSpPr>
        <cdr:cNvPr id="12" name="Conector recto 11">
          <a:extLst xmlns:a="http://schemas.openxmlformats.org/drawingml/2006/main">
            <a:ext uri="{FF2B5EF4-FFF2-40B4-BE49-F238E27FC236}">
              <a16:creationId xmlns:a16="http://schemas.microsoft.com/office/drawing/2014/main" id="{FC52AB5F-25FD-4BEA-AFB1-7DCF8B85A1A4}"/>
            </a:ext>
          </a:extLst>
        </cdr:cNvPr>
        <cdr:cNvCxnSpPr/>
      </cdr:nvCxnSpPr>
      <cdr:spPr>
        <a:xfrm xmlns:a="http://schemas.openxmlformats.org/drawingml/2006/main" flipH="1">
          <a:off x="2043112" y="447675"/>
          <a:ext cx="1" cy="27781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0.38846</cdr:x>
      <cdr:y>0.11622</cdr:y>
    </cdr:from>
    <cdr:to>
      <cdr:x>0.38846</cdr:x>
      <cdr:y>0.85049</cdr:y>
    </cdr:to>
    <cdr:cxnSp macro="">
      <cdr:nvCxnSpPr>
        <cdr:cNvPr id="13" name="Conector recto 12">
          <a:extLst xmlns:a="http://schemas.openxmlformats.org/drawingml/2006/main">
            <a:ext uri="{FF2B5EF4-FFF2-40B4-BE49-F238E27FC236}">
              <a16:creationId xmlns:a16="http://schemas.microsoft.com/office/drawing/2014/main" id="{FC52AB5F-25FD-4BEA-AFB1-7DCF8B85A1A4}"/>
            </a:ext>
          </a:extLst>
        </cdr:cNvPr>
        <cdr:cNvCxnSpPr/>
      </cdr:nvCxnSpPr>
      <cdr:spPr>
        <a:xfrm xmlns:a="http://schemas.openxmlformats.org/drawingml/2006/main" flipH="1">
          <a:off x="3614738" y="439738"/>
          <a:ext cx="1" cy="27781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0.57441</cdr:x>
      <cdr:y>0.11622</cdr:y>
    </cdr:from>
    <cdr:to>
      <cdr:x>0.57441</cdr:x>
      <cdr:y>0.85049</cdr:y>
    </cdr:to>
    <cdr:cxnSp macro="">
      <cdr:nvCxnSpPr>
        <cdr:cNvPr id="14" name="Conector recto 13">
          <a:extLst xmlns:a="http://schemas.openxmlformats.org/drawingml/2006/main">
            <a:ext uri="{FF2B5EF4-FFF2-40B4-BE49-F238E27FC236}">
              <a16:creationId xmlns:a16="http://schemas.microsoft.com/office/drawing/2014/main" id="{FC52AB5F-25FD-4BEA-AFB1-7DCF8B85A1A4}"/>
            </a:ext>
          </a:extLst>
        </cdr:cNvPr>
        <cdr:cNvCxnSpPr/>
      </cdr:nvCxnSpPr>
      <cdr:spPr>
        <a:xfrm xmlns:a="http://schemas.openxmlformats.org/drawingml/2006/main" flipH="1">
          <a:off x="5345113" y="439738"/>
          <a:ext cx="1" cy="27781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1204911</xdr:colOff>
      <xdr:row>14</xdr:row>
      <xdr:rowOff>104774</xdr:rowOff>
    </xdr:from>
    <xdr:to>
      <xdr:col>10</xdr:col>
      <xdr:colOff>542925</xdr:colOff>
      <xdr:row>33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94B360-C106-4ECF-B100-F1CDB6AEF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20</xdr:col>
      <xdr:colOff>119064</xdr:colOff>
      <xdr:row>32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DCDD4C-A404-40C2-A21F-7D63F075C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219075</xdr:colOff>
      <xdr:row>1</xdr:row>
      <xdr:rowOff>142875</xdr:rowOff>
    </xdr:from>
    <xdr:to>
      <xdr:col>32</xdr:col>
      <xdr:colOff>200025</xdr:colOff>
      <xdr:row>19</xdr:row>
      <xdr:rowOff>0</xdr:rowOff>
    </xdr:to>
    <xdr:graphicFrame macro="">
      <xdr:nvGraphicFramePr>
        <xdr:cNvPr id="3931221" name="Chart 4">
          <a:extLst>
            <a:ext uri="{FF2B5EF4-FFF2-40B4-BE49-F238E27FC236}">
              <a16:creationId xmlns:a16="http://schemas.microsoft.com/office/drawing/2014/main" id="{00000000-0008-0000-0300-000055FC3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243417</xdr:colOff>
      <xdr:row>19</xdr:row>
      <xdr:rowOff>105833</xdr:rowOff>
    </xdr:from>
    <xdr:to>
      <xdr:col>32</xdr:col>
      <xdr:colOff>371475</xdr:colOff>
      <xdr:row>47</xdr:row>
      <xdr:rowOff>142874</xdr:rowOff>
    </xdr:to>
    <xdr:graphicFrame macro="">
      <xdr:nvGraphicFramePr>
        <xdr:cNvPr id="6" name="Chart 47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63</xdr:col>
      <xdr:colOff>514350</xdr:colOff>
      <xdr:row>2</xdr:row>
      <xdr:rowOff>47625</xdr:rowOff>
    </xdr:from>
    <xdr:to>
      <xdr:col>70</xdr:col>
      <xdr:colOff>171450</xdr:colOff>
      <xdr:row>22</xdr:row>
      <xdr:rowOff>85725</xdr:rowOff>
    </xdr:to>
    <xdr:graphicFrame macro="">
      <xdr:nvGraphicFramePr>
        <xdr:cNvPr id="9" name="8 Gráfic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64</xdr:col>
      <xdr:colOff>0</xdr:colOff>
      <xdr:row>24</xdr:row>
      <xdr:rowOff>0</xdr:rowOff>
    </xdr:from>
    <xdr:to>
      <xdr:col>70</xdr:col>
      <xdr:colOff>419100</xdr:colOff>
      <xdr:row>44</xdr:row>
      <xdr:rowOff>66675</xdr:rowOff>
    </xdr:to>
    <xdr:graphicFrame macro="">
      <xdr:nvGraphicFramePr>
        <xdr:cNvPr id="10" name="9 Gráfico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529167</xdr:colOff>
      <xdr:row>47</xdr:row>
      <xdr:rowOff>83607</xdr:rowOff>
    </xdr:from>
    <xdr:to>
      <xdr:col>12</xdr:col>
      <xdr:colOff>603250</xdr:colOff>
      <xdr:row>72</xdr:row>
      <xdr:rowOff>74082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476250</xdr:colOff>
      <xdr:row>20</xdr:row>
      <xdr:rowOff>0</xdr:rowOff>
    </xdr:from>
    <xdr:to>
      <xdr:col>42</xdr:col>
      <xdr:colOff>85725</xdr:colOff>
      <xdr:row>48</xdr:row>
      <xdr:rowOff>37041</xdr:rowOff>
    </xdr:to>
    <xdr:graphicFrame macro="">
      <xdr:nvGraphicFramePr>
        <xdr:cNvPr id="7" name="Chart 4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1608665</xdr:colOff>
      <xdr:row>73</xdr:row>
      <xdr:rowOff>51856</xdr:rowOff>
    </xdr:from>
    <xdr:to>
      <xdr:col>22</xdr:col>
      <xdr:colOff>634998</xdr:colOff>
      <xdr:row>102</xdr:row>
      <xdr:rowOff>31749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772583</xdr:colOff>
      <xdr:row>49</xdr:row>
      <xdr:rowOff>74084</xdr:rowOff>
    </xdr:from>
    <xdr:to>
      <xdr:col>33</xdr:col>
      <xdr:colOff>138641</xdr:colOff>
      <xdr:row>77</xdr:row>
      <xdr:rowOff>100542</xdr:rowOff>
    </xdr:to>
    <xdr:graphicFrame macro="">
      <xdr:nvGraphicFramePr>
        <xdr:cNvPr id="11" name="Chart 47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0</xdr:colOff>
      <xdr:row>90</xdr:row>
      <xdr:rowOff>0</xdr:rowOff>
    </xdr:from>
    <xdr:to>
      <xdr:col>33</xdr:col>
      <xdr:colOff>117474</xdr:colOff>
      <xdr:row>118</xdr:row>
      <xdr:rowOff>15875</xdr:rowOff>
    </xdr:to>
    <xdr:graphicFrame macro="">
      <xdr:nvGraphicFramePr>
        <xdr:cNvPr id="12" name="Chart 47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116417</xdr:colOff>
      <xdr:row>100</xdr:row>
      <xdr:rowOff>31751</xdr:rowOff>
    </xdr:from>
    <xdr:to>
      <xdr:col>35</xdr:col>
      <xdr:colOff>116417</xdr:colOff>
      <xdr:row>107</xdr:row>
      <xdr:rowOff>63501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31210250" y="16721668"/>
          <a:ext cx="0" cy="1143000"/>
        </a:xfrm>
        <a:prstGeom prst="straightConnector1">
          <a:avLst/>
        </a:prstGeom>
        <a:ln w="412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412750</xdr:colOff>
      <xdr:row>0</xdr:row>
      <xdr:rowOff>116416</xdr:rowOff>
    </xdr:from>
    <xdr:to>
      <xdr:col>49</xdr:col>
      <xdr:colOff>22225</xdr:colOff>
      <xdr:row>23</xdr:row>
      <xdr:rowOff>89958</xdr:rowOff>
    </xdr:to>
    <xdr:graphicFrame macro="">
      <xdr:nvGraphicFramePr>
        <xdr:cNvPr id="13" name="Chart 47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0.81719</cdr:x>
      <cdr:y>0.03487</cdr:y>
    </cdr:from>
    <cdr:to>
      <cdr:x>0.95089</cdr:x>
      <cdr:y>0.16647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6339419" y="159810"/>
          <a:ext cx="1037166" cy="603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400" b="1"/>
            <a:t>Conc. IgG (mg/L)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10687" cy="60840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0.4428</cdr:x>
      <cdr:y>0.06513</cdr:y>
    </cdr:from>
    <cdr:to>
      <cdr:x>0.44436</cdr:x>
      <cdr:y>0.79328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8FC67F2C-CBD7-4C1D-BA6E-AAC97B224A4E}"/>
            </a:ext>
          </a:extLst>
        </cdr:cNvPr>
        <cdr:cNvCxnSpPr/>
      </cdr:nvCxnSpPr>
      <cdr:spPr>
        <a:xfrm xmlns:a="http://schemas.openxmlformats.org/drawingml/2006/main">
          <a:off x="3010958" y="170391"/>
          <a:ext cx="10584" cy="19050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0.11509</cdr:x>
      <cdr:y>0.27201</cdr:y>
    </cdr:from>
    <cdr:to>
      <cdr:x>0.21867</cdr:x>
      <cdr:y>0.31898</cdr:y>
    </cdr:to>
    <cdr:sp macro="" textlink="">
      <cdr:nvSpPr>
        <cdr:cNvPr id="6" name="CuadroTexto 5">
          <a:extLst xmlns:a="http://schemas.openxmlformats.org/drawingml/2006/main">
            <a:ext uri="{FF2B5EF4-FFF2-40B4-BE49-F238E27FC236}">
              <a16:creationId xmlns:a16="http://schemas.microsoft.com/office/drawing/2014/main" id="{D624E1D9-BB69-4FA6-BA00-AC9A43CCFADC}"/>
            </a:ext>
          </a:extLst>
        </cdr:cNvPr>
        <cdr:cNvSpPr txBox="1"/>
      </cdr:nvSpPr>
      <cdr:spPr>
        <a:xfrm xmlns:a="http://schemas.openxmlformats.org/drawingml/2006/main">
          <a:off x="1071599" y="1654934"/>
          <a:ext cx="964401" cy="285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0,45vvd</a:t>
          </a:r>
        </a:p>
      </cdr:txBody>
    </cdr:sp>
  </cdr:relSizeAnchor>
  <cdr:relSizeAnchor xmlns:cdr="http://schemas.openxmlformats.org/drawingml/2006/chartDrawing">
    <cdr:from>
      <cdr:x>0.2174</cdr:x>
      <cdr:y>0.15068</cdr:y>
    </cdr:from>
    <cdr:to>
      <cdr:x>0.21995</cdr:x>
      <cdr:y>0.81213</cdr:y>
    </cdr:to>
    <cdr:cxnSp macro="">
      <cdr:nvCxnSpPr>
        <cdr:cNvPr id="8" name="Conector recto 7">
          <a:extLst xmlns:a="http://schemas.openxmlformats.org/drawingml/2006/main">
            <a:ext uri="{FF2B5EF4-FFF2-40B4-BE49-F238E27FC236}">
              <a16:creationId xmlns:a16="http://schemas.microsoft.com/office/drawing/2014/main" id="{26751D29-7C1F-44B7-81B5-1CDA6BE0F527}"/>
            </a:ext>
          </a:extLst>
        </cdr:cNvPr>
        <cdr:cNvCxnSpPr/>
      </cdr:nvCxnSpPr>
      <cdr:spPr>
        <a:xfrm xmlns:a="http://schemas.openxmlformats.org/drawingml/2006/main" flipH="1">
          <a:off x="2024123" y="916770"/>
          <a:ext cx="23743" cy="402432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0.38269</cdr:x>
      <cdr:y>0.16881</cdr:y>
    </cdr:from>
    <cdr:to>
      <cdr:x>0.38525</cdr:x>
      <cdr:y>0.83026</cdr:y>
    </cdr:to>
    <cdr:cxnSp macro="">
      <cdr:nvCxnSpPr>
        <cdr:cNvPr id="10" name="Conector recto 9">
          <a:extLst xmlns:a="http://schemas.openxmlformats.org/drawingml/2006/main">
            <a:ext uri="{FF2B5EF4-FFF2-40B4-BE49-F238E27FC236}">
              <a16:creationId xmlns:a16="http://schemas.microsoft.com/office/drawing/2014/main" id="{E2EDFDB2-A876-48C2-9583-398310FCAFB1}"/>
            </a:ext>
          </a:extLst>
        </cdr:cNvPr>
        <cdr:cNvCxnSpPr/>
      </cdr:nvCxnSpPr>
      <cdr:spPr>
        <a:xfrm xmlns:a="http://schemas.openxmlformats.org/drawingml/2006/main" flipH="1">
          <a:off x="3563137" y="1027066"/>
          <a:ext cx="23836" cy="402432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0.11636</cdr:x>
      <cdr:y>0.55773</cdr:y>
    </cdr:from>
    <cdr:to>
      <cdr:x>0.24552</cdr:x>
      <cdr:y>0.69276</cdr:y>
    </cdr:to>
    <cdr:sp macro="" textlink="">
      <cdr:nvSpPr>
        <cdr:cNvPr id="11" name="Elipse 10">
          <a:extLst xmlns:a="http://schemas.openxmlformats.org/drawingml/2006/main">
            <a:ext uri="{FF2B5EF4-FFF2-40B4-BE49-F238E27FC236}">
              <a16:creationId xmlns:a16="http://schemas.microsoft.com/office/drawing/2014/main" id="{2CE1FB8B-0B27-45CA-9B92-BA6BFFFE3B65}"/>
            </a:ext>
          </a:extLst>
        </cdr:cNvPr>
        <cdr:cNvSpPr/>
      </cdr:nvSpPr>
      <cdr:spPr>
        <a:xfrm xmlns:a="http://schemas.openxmlformats.org/drawingml/2006/main">
          <a:off x="1083409" y="3393295"/>
          <a:ext cx="1202568" cy="82153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0.1087</cdr:x>
      <cdr:y>0.31311</cdr:y>
    </cdr:from>
    <cdr:to>
      <cdr:x>0.21483</cdr:x>
      <cdr:y>0.31507</cdr:y>
    </cdr:to>
    <cdr:cxnSp macro="">
      <cdr:nvCxnSpPr>
        <cdr:cNvPr id="13" name="Conector recto de flecha 12">
          <a:extLst xmlns:a="http://schemas.openxmlformats.org/drawingml/2006/main">
            <a:ext uri="{FF2B5EF4-FFF2-40B4-BE49-F238E27FC236}">
              <a16:creationId xmlns:a16="http://schemas.microsoft.com/office/drawing/2014/main" id="{A35D75D5-20B2-4D42-8AAB-50A31F00E4AE}"/>
            </a:ext>
          </a:extLst>
        </cdr:cNvPr>
        <cdr:cNvCxnSpPr/>
      </cdr:nvCxnSpPr>
      <cdr:spPr>
        <a:xfrm xmlns:a="http://schemas.openxmlformats.org/drawingml/2006/main">
          <a:off x="1012072" y="1904992"/>
          <a:ext cx="988178" cy="11914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0.22251</cdr:x>
      <cdr:y>0.21331</cdr:y>
    </cdr:from>
    <cdr:to>
      <cdr:x>0.38235</cdr:x>
      <cdr:y>0.21526</cdr:y>
    </cdr:to>
    <cdr:cxnSp macro="">
      <cdr:nvCxnSpPr>
        <cdr:cNvPr id="14" name="Conector recto de flecha 13">
          <a:extLst xmlns:a="http://schemas.openxmlformats.org/drawingml/2006/main">
            <a:ext uri="{FF2B5EF4-FFF2-40B4-BE49-F238E27FC236}">
              <a16:creationId xmlns:a16="http://schemas.microsoft.com/office/drawing/2014/main" id="{D17F0C67-CD10-460A-806F-31A0B8DDE983}"/>
            </a:ext>
          </a:extLst>
        </cdr:cNvPr>
        <cdr:cNvCxnSpPr/>
      </cdr:nvCxnSpPr>
      <cdr:spPr>
        <a:xfrm xmlns:a="http://schemas.openxmlformats.org/drawingml/2006/main" flipV="1">
          <a:off x="2071688" y="1297781"/>
          <a:ext cx="1488281" cy="11906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0.26888</cdr:x>
      <cdr:y>0.16491</cdr:y>
    </cdr:from>
    <cdr:to>
      <cdr:x>0.37246</cdr:x>
      <cdr:y>0.21188</cdr:y>
    </cdr:to>
    <cdr:sp macro="" textlink="">
      <cdr:nvSpPr>
        <cdr:cNvPr id="16" name="CuadroTexto 1">
          <a:extLst xmlns:a="http://schemas.openxmlformats.org/drawingml/2006/main">
            <a:ext uri="{FF2B5EF4-FFF2-40B4-BE49-F238E27FC236}">
              <a16:creationId xmlns:a16="http://schemas.microsoft.com/office/drawing/2014/main" id="{83426C5F-8E4A-4ADD-9B8B-648E6F0F0DDC}"/>
            </a:ext>
          </a:extLst>
        </cdr:cNvPr>
        <cdr:cNvSpPr txBox="1"/>
      </cdr:nvSpPr>
      <cdr:spPr>
        <a:xfrm xmlns:a="http://schemas.openxmlformats.org/drawingml/2006/main">
          <a:off x="2503493" y="1003317"/>
          <a:ext cx="964401" cy="285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0,4vvd</a:t>
          </a:r>
        </a:p>
      </cdr:txBody>
    </cdr:sp>
  </cdr:relSizeAnchor>
  <cdr:relSizeAnchor xmlns:cdr="http://schemas.openxmlformats.org/drawingml/2006/chartDrawing">
    <cdr:from>
      <cdr:x>0.2711</cdr:x>
      <cdr:y>0.23483</cdr:y>
    </cdr:from>
    <cdr:to>
      <cdr:x>0.3977</cdr:x>
      <cdr:y>0.38552</cdr:y>
    </cdr:to>
    <cdr:sp macro="" textlink="">
      <cdr:nvSpPr>
        <cdr:cNvPr id="17" name="Elipse 16">
          <a:extLst xmlns:a="http://schemas.openxmlformats.org/drawingml/2006/main">
            <a:ext uri="{FF2B5EF4-FFF2-40B4-BE49-F238E27FC236}">
              <a16:creationId xmlns:a16="http://schemas.microsoft.com/office/drawing/2014/main" id="{F1E3887C-2B50-4EDE-8F30-7ADC68E33938}"/>
            </a:ext>
          </a:extLst>
        </cdr:cNvPr>
        <cdr:cNvSpPr/>
      </cdr:nvSpPr>
      <cdr:spPr>
        <a:xfrm xmlns:a="http://schemas.openxmlformats.org/drawingml/2006/main">
          <a:off x="2524093" y="1428749"/>
          <a:ext cx="1178752" cy="916767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0.38363</cdr:x>
      <cdr:y>0.22113</cdr:y>
    </cdr:from>
    <cdr:to>
      <cdr:x>0.56522</cdr:x>
      <cdr:y>0.22505</cdr:y>
    </cdr:to>
    <cdr:cxnSp macro="">
      <cdr:nvCxnSpPr>
        <cdr:cNvPr id="18" name="Conector recto de flecha 17">
          <a:extLst xmlns:a="http://schemas.openxmlformats.org/drawingml/2006/main">
            <a:ext uri="{FF2B5EF4-FFF2-40B4-BE49-F238E27FC236}">
              <a16:creationId xmlns:a16="http://schemas.microsoft.com/office/drawing/2014/main" id="{60CB3463-ABAF-45DD-B827-204EF525D686}"/>
            </a:ext>
          </a:extLst>
        </cdr:cNvPr>
        <cdr:cNvCxnSpPr/>
      </cdr:nvCxnSpPr>
      <cdr:spPr>
        <a:xfrm xmlns:a="http://schemas.openxmlformats.org/drawingml/2006/main">
          <a:off x="3571875" y="1345406"/>
          <a:ext cx="1690687" cy="23813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0.44151</cdr:x>
      <cdr:y>0.18057</cdr:y>
    </cdr:from>
    <cdr:to>
      <cdr:x>0.54509</cdr:x>
      <cdr:y>0.22753</cdr:y>
    </cdr:to>
    <cdr:sp macro="" textlink="">
      <cdr:nvSpPr>
        <cdr:cNvPr id="21" name="CuadroTexto 1">
          <a:extLst xmlns:a="http://schemas.openxmlformats.org/drawingml/2006/main">
            <a:ext uri="{FF2B5EF4-FFF2-40B4-BE49-F238E27FC236}">
              <a16:creationId xmlns:a16="http://schemas.microsoft.com/office/drawing/2014/main" id="{E1599201-184B-478A-B883-3260F1E6429B}"/>
            </a:ext>
          </a:extLst>
        </cdr:cNvPr>
        <cdr:cNvSpPr txBox="1"/>
      </cdr:nvSpPr>
      <cdr:spPr>
        <a:xfrm xmlns:a="http://schemas.openxmlformats.org/drawingml/2006/main">
          <a:off x="4110802" y="1098591"/>
          <a:ext cx="964401" cy="285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0,35vvd</a:t>
          </a:r>
        </a:p>
      </cdr:txBody>
    </cdr:sp>
  </cdr:relSizeAnchor>
  <cdr:relSizeAnchor xmlns:cdr="http://schemas.openxmlformats.org/drawingml/2006/chartDrawing">
    <cdr:from>
      <cdr:x>0.56905</cdr:x>
      <cdr:y>0.1409</cdr:y>
    </cdr:from>
    <cdr:to>
      <cdr:x>0.5694</cdr:x>
      <cdr:y>0.79896</cdr:y>
    </cdr:to>
    <cdr:cxnSp macro="">
      <cdr:nvCxnSpPr>
        <cdr:cNvPr id="19" name="Conector recto 18">
          <a:extLst xmlns:a="http://schemas.openxmlformats.org/drawingml/2006/main">
            <a:ext uri="{FF2B5EF4-FFF2-40B4-BE49-F238E27FC236}">
              <a16:creationId xmlns:a16="http://schemas.microsoft.com/office/drawing/2014/main" id="{6CDA0219-EE0D-4781-8C8F-4902EFEE5AA3}"/>
            </a:ext>
          </a:extLst>
        </cdr:cNvPr>
        <cdr:cNvCxnSpPr/>
      </cdr:nvCxnSpPr>
      <cdr:spPr>
        <a:xfrm xmlns:a="http://schemas.openxmlformats.org/drawingml/2006/main">
          <a:off x="5298281" y="857250"/>
          <a:ext cx="3212" cy="400368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0.62694</cdr:x>
      <cdr:y>0.11206</cdr:y>
    </cdr:from>
    <cdr:to>
      <cdr:x>0.73052</cdr:x>
      <cdr:y>0.15902</cdr:y>
    </cdr:to>
    <cdr:sp macro="" textlink="">
      <cdr:nvSpPr>
        <cdr:cNvPr id="23" name="CuadroTexto 1">
          <a:extLst xmlns:a="http://schemas.openxmlformats.org/drawingml/2006/main">
            <a:ext uri="{FF2B5EF4-FFF2-40B4-BE49-F238E27FC236}">
              <a16:creationId xmlns:a16="http://schemas.microsoft.com/office/drawing/2014/main" id="{F30E2D56-CE92-4188-BCBF-E8E50C88AAB4}"/>
            </a:ext>
          </a:extLst>
        </cdr:cNvPr>
        <cdr:cNvSpPr txBox="1"/>
      </cdr:nvSpPr>
      <cdr:spPr>
        <a:xfrm xmlns:a="http://schemas.openxmlformats.org/drawingml/2006/main">
          <a:off x="5837281" y="681811"/>
          <a:ext cx="964401" cy="2857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0,4vvd</a:t>
          </a:r>
        </a:p>
      </cdr:txBody>
    </cdr:sp>
  </cdr:relSizeAnchor>
  <cdr:relSizeAnchor xmlns:cdr="http://schemas.openxmlformats.org/drawingml/2006/chartDrawing">
    <cdr:from>
      <cdr:x>0.56777</cdr:x>
      <cdr:y>0.16243</cdr:y>
    </cdr:from>
    <cdr:to>
      <cdr:x>0.78261</cdr:x>
      <cdr:y>0.16438</cdr:y>
    </cdr:to>
    <cdr:cxnSp macro="">
      <cdr:nvCxnSpPr>
        <cdr:cNvPr id="24" name="Conector recto de flecha 23">
          <a:extLst xmlns:a="http://schemas.openxmlformats.org/drawingml/2006/main">
            <a:ext uri="{FF2B5EF4-FFF2-40B4-BE49-F238E27FC236}">
              <a16:creationId xmlns:a16="http://schemas.microsoft.com/office/drawing/2014/main" id="{6060DF74-B8AB-4D95-8849-10D2E52D3AA1}"/>
            </a:ext>
          </a:extLst>
        </cdr:cNvPr>
        <cdr:cNvCxnSpPr/>
      </cdr:nvCxnSpPr>
      <cdr:spPr>
        <a:xfrm xmlns:a="http://schemas.openxmlformats.org/drawingml/2006/main" flipV="1">
          <a:off x="5286329" y="988219"/>
          <a:ext cx="2000296" cy="11884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0.44024</cdr:x>
      <cdr:y>0.41539</cdr:y>
    </cdr:from>
    <cdr:to>
      <cdr:x>0.5694</cdr:x>
      <cdr:y>0.55042</cdr:y>
    </cdr:to>
    <cdr:sp macro="" textlink="">
      <cdr:nvSpPr>
        <cdr:cNvPr id="25" name="Elipse 24">
          <a:extLst xmlns:a="http://schemas.openxmlformats.org/drawingml/2006/main">
            <a:ext uri="{FF2B5EF4-FFF2-40B4-BE49-F238E27FC236}">
              <a16:creationId xmlns:a16="http://schemas.microsoft.com/office/drawing/2014/main" id="{30045A88-6810-41C9-96BE-8BCEC3B45720}"/>
            </a:ext>
          </a:extLst>
        </cdr:cNvPr>
        <cdr:cNvSpPr/>
      </cdr:nvSpPr>
      <cdr:spPr>
        <a:xfrm xmlns:a="http://schemas.openxmlformats.org/drawingml/2006/main">
          <a:off x="4098966" y="2527271"/>
          <a:ext cx="1202568" cy="82153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0.78423</cdr:x>
      <cdr:y>0.14338</cdr:y>
    </cdr:from>
    <cdr:to>
      <cdr:x>0.78457</cdr:x>
      <cdr:y>0.80144</cdr:y>
    </cdr:to>
    <cdr:cxnSp macro="">
      <cdr:nvCxnSpPr>
        <cdr:cNvPr id="28" name="Conector recto 27">
          <a:extLst xmlns:a="http://schemas.openxmlformats.org/drawingml/2006/main">
            <a:ext uri="{FF2B5EF4-FFF2-40B4-BE49-F238E27FC236}">
              <a16:creationId xmlns:a16="http://schemas.microsoft.com/office/drawing/2014/main" id="{70077B95-96E1-46DE-8B92-52755B81A48B}"/>
            </a:ext>
          </a:extLst>
        </cdr:cNvPr>
        <cdr:cNvCxnSpPr/>
      </cdr:nvCxnSpPr>
      <cdr:spPr>
        <a:xfrm xmlns:a="http://schemas.openxmlformats.org/drawingml/2006/main">
          <a:off x="7301717" y="872313"/>
          <a:ext cx="3165" cy="400369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0.78806</cdr:x>
      <cdr:y>0.10228</cdr:y>
    </cdr:from>
    <cdr:to>
      <cdr:x>0.89164</cdr:x>
      <cdr:y>0.14925</cdr:y>
    </cdr:to>
    <cdr:sp macro="" textlink="">
      <cdr:nvSpPr>
        <cdr:cNvPr id="31" name="CuadroTexto 1">
          <a:extLst xmlns:a="http://schemas.openxmlformats.org/drawingml/2006/main">
            <a:ext uri="{FF2B5EF4-FFF2-40B4-BE49-F238E27FC236}">
              <a16:creationId xmlns:a16="http://schemas.microsoft.com/office/drawing/2014/main" id="{ECD2E85E-0E49-40A3-8459-2BF01F0D653A}"/>
            </a:ext>
          </a:extLst>
        </cdr:cNvPr>
        <cdr:cNvSpPr txBox="1"/>
      </cdr:nvSpPr>
      <cdr:spPr>
        <a:xfrm xmlns:a="http://schemas.openxmlformats.org/drawingml/2006/main">
          <a:off x="7337389" y="622295"/>
          <a:ext cx="964401" cy="2857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0,45vvd</a:t>
          </a:r>
        </a:p>
      </cdr:txBody>
    </cdr:sp>
  </cdr:relSizeAnchor>
  <cdr:relSizeAnchor xmlns:cdr="http://schemas.openxmlformats.org/drawingml/2006/chartDrawing">
    <cdr:from>
      <cdr:x>0.78295</cdr:x>
      <cdr:y>0.14677</cdr:y>
    </cdr:from>
    <cdr:to>
      <cdr:x>0.87852</cdr:x>
      <cdr:y>0.14729</cdr:y>
    </cdr:to>
    <cdr:cxnSp macro="">
      <cdr:nvCxnSpPr>
        <cdr:cNvPr id="32" name="Conector recto de flecha 31">
          <a:extLst xmlns:a="http://schemas.openxmlformats.org/drawingml/2006/main">
            <a:ext uri="{FF2B5EF4-FFF2-40B4-BE49-F238E27FC236}">
              <a16:creationId xmlns:a16="http://schemas.microsoft.com/office/drawing/2014/main" id="{B1D71B36-1F96-4F1F-BC8F-DE1B33110FE1}"/>
            </a:ext>
          </a:extLst>
        </cdr:cNvPr>
        <cdr:cNvCxnSpPr/>
      </cdr:nvCxnSpPr>
      <cdr:spPr>
        <a:xfrm xmlns:a="http://schemas.openxmlformats.org/drawingml/2006/main" flipV="1">
          <a:off x="7289810" y="892969"/>
          <a:ext cx="889784" cy="3183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0.65763</cdr:x>
      <cdr:y>0.12772</cdr:y>
    </cdr:from>
    <cdr:to>
      <cdr:x>0.78679</cdr:x>
      <cdr:y>0.26275</cdr:y>
    </cdr:to>
    <cdr:sp macro="" textlink="">
      <cdr:nvSpPr>
        <cdr:cNvPr id="33" name="Elipse 32">
          <a:extLst xmlns:a="http://schemas.openxmlformats.org/drawingml/2006/main">
            <a:ext uri="{FF2B5EF4-FFF2-40B4-BE49-F238E27FC236}">
              <a16:creationId xmlns:a16="http://schemas.microsoft.com/office/drawing/2014/main" id="{11156F94-53B7-49C8-AB14-4F8A94AA45B9}"/>
            </a:ext>
          </a:extLst>
        </cdr:cNvPr>
        <cdr:cNvSpPr/>
      </cdr:nvSpPr>
      <cdr:spPr>
        <a:xfrm xmlns:a="http://schemas.openxmlformats.org/drawingml/2006/main">
          <a:off x="6122972" y="777066"/>
          <a:ext cx="1202568" cy="82153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0.79446</cdr:x>
      <cdr:y>0.15851</cdr:y>
    </cdr:from>
    <cdr:to>
      <cdr:x>0.87596</cdr:x>
      <cdr:y>0.24318</cdr:y>
    </cdr:to>
    <cdr:sp macro="" textlink="">
      <cdr:nvSpPr>
        <cdr:cNvPr id="26" name="Elipse 25">
          <a:extLst xmlns:a="http://schemas.openxmlformats.org/drawingml/2006/main">
            <a:ext uri="{FF2B5EF4-FFF2-40B4-BE49-F238E27FC236}">
              <a16:creationId xmlns:a16="http://schemas.microsoft.com/office/drawing/2014/main" id="{D3631233-DF2A-411D-8494-EAD4B1E24FCF}"/>
            </a:ext>
          </a:extLst>
        </cdr:cNvPr>
        <cdr:cNvSpPr/>
      </cdr:nvSpPr>
      <cdr:spPr>
        <a:xfrm xmlns:a="http://schemas.openxmlformats.org/drawingml/2006/main">
          <a:off x="7396956" y="964406"/>
          <a:ext cx="758826" cy="515148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691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691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293679" cy="60687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293679" cy="60687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293679" cy="6014357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691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0.4428</cdr:x>
      <cdr:y>0.06513</cdr:y>
    </cdr:from>
    <cdr:to>
      <cdr:x>0.44436</cdr:x>
      <cdr:y>0.79328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8FC67F2C-CBD7-4C1D-BA6E-AAC97B224A4E}"/>
            </a:ext>
          </a:extLst>
        </cdr:cNvPr>
        <cdr:cNvCxnSpPr/>
      </cdr:nvCxnSpPr>
      <cdr:spPr>
        <a:xfrm xmlns:a="http://schemas.openxmlformats.org/drawingml/2006/main">
          <a:off x="3010958" y="170391"/>
          <a:ext cx="10584" cy="19050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815975" y="1027642"/>
    <xdr:ext cx="9310687" cy="60840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28726</xdr:colOff>
      <xdr:row>3</xdr:row>
      <xdr:rowOff>15572</xdr:rowOff>
    </xdr:from>
    <xdr:to>
      <xdr:col>30</xdr:col>
      <xdr:colOff>232833</xdr:colOff>
      <xdr:row>27</xdr:row>
      <xdr:rowOff>74083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absoluteAnchor>
    <xdr:pos x="16677218" y="9405409"/>
    <xdr:ext cx="9310687" cy="6084094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26123295" y="9377438"/>
    <xdr:ext cx="9310687" cy="6084094"/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twoCellAnchor>
    <xdr:from>
      <xdr:col>15</xdr:col>
      <xdr:colOff>539750</xdr:colOff>
      <xdr:row>43</xdr:row>
      <xdr:rowOff>52923</xdr:rowOff>
    </xdr:from>
    <xdr:to>
      <xdr:col>21</xdr:col>
      <xdr:colOff>423333</xdr:colOff>
      <xdr:row>60</xdr:row>
      <xdr:rowOff>97373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absoluteAnchor>
    <xdr:pos x="16726202" y="15713227"/>
    <xdr:ext cx="9310687" cy="6084094"/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  <xdr:absoluteAnchor>
    <xdr:pos x="27643667" y="12710583"/>
    <xdr:ext cx="9310687" cy="6084094"/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absoluteAnchor>
  <xdr:absoluteAnchor>
    <xdr:pos x="17822333" y="18478500"/>
    <xdr:ext cx="9310687" cy="6084094"/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absoluteAnchor>
  <xdr:twoCellAnchor>
    <xdr:from>
      <xdr:col>9</xdr:col>
      <xdr:colOff>296333</xdr:colOff>
      <xdr:row>43</xdr:row>
      <xdr:rowOff>63500</xdr:rowOff>
    </xdr:from>
    <xdr:to>
      <xdr:col>15</xdr:col>
      <xdr:colOff>497417</xdr:colOff>
      <xdr:row>60</xdr:row>
      <xdr:rowOff>107950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476250</xdr:colOff>
      <xdr:row>61</xdr:row>
      <xdr:rowOff>31750</xdr:rowOff>
    </xdr:from>
    <xdr:to>
      <xdr:col>15</xdr:col>
      <xdr:colOff>645584</xdr:colOff>
      <xdr:row>78</xdr:row>
      <xdr:rowOff>76200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227540</xdr:colOff>
      <xdr:row>108</xdr:row>
      <xdr:rowOff>94191</xdr:rowOff>
    </xdr:from>
    <xdr:to>
      <xdr:col>39</xdr:col>
      <xdr:colOff>153457</xdr:colOff>
      <xdr:row>125</xdr:row>
      <xdr:rowOff>138641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39</xdr:col>
      <xdr:colOff>696383</xdr:colOff>
      <xdr:row>18</xdr:row>
      <xdr:rowOff>154516</xdr:rowOff>
    </xdr:from>
    <xdr:to>
      <xdr:col>43</xdr:col>
      <xdr:colOff>895350</xdr:colOff>
      <xdr:row>36</xdr:row>
      <xdr:rowOff>59266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44</xdr:col>
      <xdr:colOff>441325</xdr:colOff>
      <xdr:row>11</xdr:row>
      <xdr:rowOff>219074</xdr:rowOff>
    </xdr:from>
    <xdr:to>
      <xdr:col>50</xdr:col>
      <xdr:colOff>377825</xdr:colOff>
      <xdr:row>25</xdr:row>
      <xdr:rowOff>130174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44</xdr:col>
      <xdr:colOff>442912</xdr:colOff>
      <xdr:row>0</xdr:row>
      <xdr:rowOff>0</xdr:rowOff>
    </xdr:from>
    <xdr:to>
      <xdr:col>50</xdr:col>
      <xdr:colOff>385762</xdr:colOff>
      <xdr:row>11</xdr:row>
      <xdr:rowOff>190500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457200</xdr:colOff>
      <xdr:row>26</xdr:row>
      <xdr:rowOff>66675</xdr:rowOff>
    </xdr:from>
    <xdr:to>
      <xdr:col>50</xdr:col>
      <xdr:colOff>400050</xdr:colOff>
      <xdr:row>40</xdr:row>
      <xdr:rowOff>142875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44</xdr:col>
      <xdr:colOff>466725</xdr:colOff>
      <xdr:row>41</xdr:row>
      <xdr:rowOff>47625</xdr:rowOff>
    </xdr:from>
    <xdr:to>
      <xdr:col>50</xdr:col>
      <xdr:colOff>409575</xdr:colOff>
      <xdr:row>58</xdr:row>
      <xdr:rowOff>38100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44</xdr:col>
      <xdr:colOff>514350</xdr:colOff>
      <xdr:row>59</xdr:row>
      <xdr:rowOff>76200</xdr:rowOff>
    </xdr:from>
    <xdr:to>
      <xdr:col>50</xdr:col>
      <xdr:colOff>457200</xdr:colOff>
      <xdr:row>76</xdr:row>
      <xdr:rowOff>66675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50</xdr:col>
      <xdr:colOff>466725</xdr:colOff>
      <xdr:row>59</xdr:row>
      <xdr:rowOff>76200</xdr:rowOff>
    </xdr:from>
    <xdr:to>
      <xdr:col>56</xdr:col>
      <xdr:colOff>409575</xdr:colOff>
      <xdr:row>76</xdr:row>
      <xdr:rowOff>66675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51</xdr:col>
      <xdr:colOff>0</xdr:colOff>
      <xdr:row>12</xdr:row>
      <xdr:rowOff>0</xdr:rowOff>
    </xdr:from>
    <xdr:to>
      <xdr:col>56</xdr:col>
      <xdr:colOff>708025</xdr:colOff>
      <xdr:row>26</xdr:row>
      <xdr:rowOff>25400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40</xdr:col>
      <xdr:colOff>1221317</xdr:colOff>
      <xdr:row>36</xdr:row>
      <xdr:rowOff>185207</xdr:rowOff>
    </xdr:from>
    <xdr:to>
      <xdr:col>43</xdr:col>
      <xdr:colOff>1048809</xdr:colOff>
      <xdr:row>52</xdr:row>
      <xdr:rowOff>75669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51</xdr:col>
      <xdr:colOff>0</xdr:colOff>
      <xdr:row>26</xdr:row>
      <xdr:rowOff>95250</xdr:rowOff>
    </xdr:from>
    <xdr:to>
      <xdr:col>56</xdr:col>
      <xdr:colOff>714375</xdr:colOff>
      <xdr:row>40</xdr:row>
      <xdr:rowOff>171450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50</xdr:col>
      <xdr:colOff>762000</xdr:colOff>
      <xdr:row>41</xdr:row>
      <xdr:rowOff>123825</xdr:rowOff>
    </xdr:from>
    <xdr:to>
      <xdr:col>56</xdr:col>
      <xdr:colOff>704850</xdr:colOff>
      <xdr:row>58</xdr:row>
      <xdr:rowOff>114300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45</xdr:col>
      <xdr:colOff>0</xdr:colOff>
      <xdr:row>78</xdr:row>
      <xdr:rowOff>0</xdr:rowOff>
    </xdr:from>
    <xdr:to>
      <xdr:col>50</xdr:col>
      <xdr:colOff>714375</xdr:colOff>
      <xdr:row>94</xdr:row>
      <xdr:rowOff>152400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51</xdr:col>
      <xdr:colOff>28575</xdr:colOff>
      <xdr:row>78</xdr:row>
      <xdr:rowOff>9525</xdr:rowOff>
    </xdr:from>
    <xdr:to>
      <xdr:col>56</xdr:col>
      <xdr:colOff>742950</xdr:colOff>
      <xdr:row>95</xdr:row>
      <xdr:rowOff>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44</xdr:col>
      <xdr:colOff>752475</xdr:colOff>
      <xdr:row>95</xdr:row>
      <xdr:rowOff>19050</xdr:rowOff>
    </xdr:from>
    <xdr:to>
      <xdr:col>50</xdr:col>
      <xdr:colOff>695325</xdr:colOff>
      <xdr:row>112</xdr:row>
      <xdr:rowOff>9525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51</xdr:col>
      <xdr:colOff>0</xdr:colOff>
      <xdr:row>96</xdr:row>
      <xdr:rowOff>0</xdr:rowOff>
    </xdr:from>
    <xdr:to>
      <xdr:col>56</xdr:col>
      <xdr:colOff>714375</xdr:colOff>
      <xdr:row>112</xdr:row>
      <xdr:rowOff>152400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51</xdr:col>
      <xdr:colOff>402165</xdr:colOff>
      <xdr:row>1</xdr:row>
      <xdr:rowOff>10583</xdr:rowOff>
    </xdr:from>
    <xdr:to>
      <xdr:col>57</xdr:col>
      <xdr:colOff>709082</xdr:colOff>
      <xdr:row>12</xdr:row>
      <xdr:rowOff>158750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57</xdr:col>
      <xdr:colOff>740833</xdr:colOff>
      <xdr:row>1</xdr:row>
      <xdr:rowOff>3174</xdr:rowOff>
    </xdr:from>
    <xdr:to>
      <xdr:col>64</xdr:col>
      <xdr:colOff>698500</xdr:colOff>
      <xdr:row>12</xdr:row>
      <xdr:rowOff>148167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58</xdr:col>
      <xdr:colOff>0</xdr:colOff>
      <xdr:row>14</xdr:row>
      <xdr:rowOff>0</xdr:rowOff>
    </xdr:from>
    <xdr:to>
      <xdr:col>63</xdr:col>
      <xdr:colOff>714375</xdr:colOff>
      <xdr:row>24</xdr:row>
      <xdr:rowOff>114300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65</xdr:col>
      <xdr:colOff>0</xdr:colOff>
      <xdr:row>1</xdr:row>
      <xdr:rowOff>0</xdr:rowOff>
    </xdr:from>
    <xdr:to>
      <xdr:col>70</xdr:col>
      <xdr:colOff>714375</xdr:colOff>
      <xdr:row>13</xdr:row>
      <xdr:rowOff>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72</xdr:col>
      <xdr:colOff>412750</xdr:colOff>
      <xdr:row>3</xdr:row>
      <xdr:rowOff>14815</xdr:rowOff>
    </xdr:from>
    <xdr:to>
      <xdr:col>80</xdr:col>
      <xdr:colOff>10584</xdr:colOff>
      <xdr:row>12</xdr:row>
      <xdr:rowOff>31748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80</xdr:col>
      <xdr:colOff>95249</xdr:colOff>
      <xdr:row>3</xdr:row>
      <xdr:rowOff>0</xdr:rowOff>
    </xdr:from>
    <xdr:to>
      <xdr:col>87</xdr:col>
      <xdr:colOff>42334</xdr:colOff>
      <xdr:row>12</xdr:row>
      <xdr:rowOff>16933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44</xdr:col>
      <xdr:colOff>767291</xdr:colOff>
      <xdr:row>112</xdr:row>
      <xdr:rowOff>120650</xdr:rowOff>
    </xdr:from>
    <xdr:to>
      <xdr:col>50</xdr:col>
      <xdr:colOff>703791</xdr:colOff>
      <xdr:row>130</xdr:row>
      <xdr:rowOff>6350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103840</xdr:colOff>
      <xdr:row>68</xdr:row>
      <xdr:rowOff>9652</xdr:rowOff>
    </xdr:from>
    <xdr:to>
      <xdr:col>13</xdr:col>
      <xdr:colOff>270046</xdr:colOff>
      <xdr:row>68</xdr:row>
      <xdr:rowOff>93345</xdr:rowOff>
    </xdr:to>
    <xdr:sp macro="" textlink="">
      <xdr:nvSpPr>
        <xdr:cNvPr id="36" name="Flecha a la derecha con bandas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 rot="13258280">
          <a:off x="10147423" y="15694152"/>
          <a:ext cx="166206" cy="83693"/>
        </a:xfrm>
        <a:prstGeom prst="strip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9</xdr:col>
      <xdr:colOff>656167</xdr:colOff>
      <xdr:row>80</xdr:row>
      <xdr:rowOff>63500</xdr:rowOff>
    </xdr:from>
    <xdr:to>
      <xdr:col>16</xdr:col>
      <xdr:colOff>52918</xdr:colOff>
      <xdr:row>97</xdr:row>
      <xdr:rowOff>107950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6A6B1C11-A433-4701-ADC4-7A993C3B1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724958</xdr:colOff>
      <xdr:row>99</xdr:row>
      <xdr:rowOff>25400</xdr:rowOff>
    </xdr:from>
    <xdr:to>
      <xdr:col>15</xdr:col>
      <xdr:colOff>661458</xdr:colOff>
      <xdr:row>116</xdr:row>
      <xdr:rowOff>69850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7CE7CF3A-12E2-4747-BB68-AFAC25571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51</xdr:col>
      <xdr:colOff>254001</xdr:colOff>
      <xdr:row>113</xdr:row>
      <xdr:rowOff>84666</xdr:rowOff>
    </xdr:from>
    <xdr:to>
      <xdr:col>57</xdr:col>
      <xdr:colOff>190501</xdr:colOff>
      <xdr:row>130</xdr:row>
      <xdr:rowOff>129116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FACF2D26-FF30-4727-92CC-C8D0DDD1B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37043</xdr:colOff>
      <xdr:row>23</xdr:row>
      <xdr:rowOff>132292</xdr:rowOff>
    </xdr:from>
    <xdr:to>
      <xdr:col>13</xdr:col>
      <xdr:colOff>103187</xdr:colOff>
      <xdr:row>39</xdr:row>
      <xdr:rowOff>89958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A0AB1C4E-7604-49B6-AB1E-4A2616FCB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0.11509</cdr:x>
      <cdr:y>0.27201</cdr:y>
    </cdr:from>
    <cdr:to>
      <cdr:x>0.21867</cdr:x>
      <cdr:y>0.31898</cdr:y>
    </cdr:to>
    <cdr:sp macro="" textlink="">
      <cdr:nvSpPr>
        <cdr:cNvPr id="6" name="CuadroTexto 5">
          <a:extLst xmlns:a="http://schemas.openxmlformats.org/drawingml/2006/main">
            <a:ext uri="{FF2B5EF4-FFF2-40B4-BE49-F238E27FC236}">
              <a16:creationId xmlns:a16="http://schemas.microsoft.com/office/drawing/2014/main" id="{D624E1D9-BB69-4FA6-BA00-AC9A43CCFADC}"/>
            </a:ext>
          </a:extLst>
        </cdr:cNvPr>
        <cdr:cNvSpPr txBox="1"/>
      </cdr:nvSpPr>
      <cdr:spPr>
        <a:xfrm xmlns:a="http://schemas.openxmlformats.org/drawingml/2006/main">
          <a:off x="1071599" y="1654934"/>
          <a:ext cx="964401" cy="285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0,45vvd</a:t>
          </a:r>
        </a:p>
      </cdr:txBody>
    </cdr:sp>
  </cdr:relSizeAnchor>
  <cdr:relSizeAnchor xmlns:cdr="http://schemas.openxmlformats.org/drawingml/2006/chartDrawing">
    <cdr:from>
      <cdr:x>0.2174</cdr:x>
      <cdr:y>0.15068</cdr:y>
    </cdr:from>
    <cdr:to>
      <cdr:x>0.21995</cdr:x>
      <cdr:y>0.81213</cdr:y>
    </cdr:to>
    <cdr:cxnSp macro="">
      <cdr:nvCxnSpPr>
        <cdr:cNvPr id="8" name="Conector recto 7">
          <a:extLst xmlns:a="http://schemas.openxmlformats.org/drawingml/2006/main">
            <a:ext uri="{FF2B5EF4-FFF2-40B4-BE49-F238E27FC236}">
              <a16:creationId xmlns:a16="http://schemas.microsoft.com/office/drawing/2014/main" id="{26751D29-7C1F-44B7-81B5-1CDA6BE0F527}"/>
            </a:ext>
          </a:extLst>
        </cdr:cNvPr>
        <cdr:cNvCxnSpPr/>
      </cdr:nvCxnSpPr>
      <cdr:spPr>
        <a:xfrm xmlns:a="http://schemas.openxmlformats.org/drawingml/2006/main" flipH="1">
          <a:off x="2024123" y="916770"/>
          <a:ext cx="23743" cy="402432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0.38269</cdr:x>
      <cdr:y>0.16881</cdr:y>
    </cdr:from>
    <cdr:to>
      <cdr:x>0.38525</cdr:x>
      <cdr:y>0.83026</cdr:y>
    </cdr:to>
    <cdr:cxnSp macro="">
      <cdr:nvCxnSpPr>
        <cdr:cNvPr id="10" name="Conector recto 9">
          <a:extLst xmlns:a="http://schemas.openxmlformats.org/drawingml/2006/main">
            <a:ext uri="{FF2B5EF4-FFF2-40B4-BE49-F238E27FC236}">
              <a16:creationId xmlns:a16="http://schemas.microsoft.com/office/drawing/2014/main" id="{E2EDFDB2-A876-48C2-9583-398310FCAFB1}"/>
            </a:ext>
          </a:extLst>
        </cdr:cNvPr>
        <cdr:cNvCxnSpPr/>
      </cdr:nvCxnSpPr>
      <cdr:spPr>
        <a:xfrm xmlns:a="http://schemas.openxmlformats.org/drawingml/2006/main" flipH="1">
          <a:off x="3563137" y="1027066"/>
          <a:ext cx="23836" cy="402432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0.11636</cdr:x>
      <cdr:y>0.55773</cdr:y>
    </cdr:from>
    <cdr:to>
      <cdr:x>0.24552</cdr:x>
      <cdr:y>0.69276</cdr:y>
    </cdr:to>
    <cdr:sp macro="" textlink="">
      <cdr:nvSpPr>
        <cdr:cNvPr id="11" name="Elipse 10">
          <a:extLst xmlns:a="http://schemas.openxmlformats.org/drawingml/2006/main">
            <a:ext uri="{FF2B5EF4-FFF2-40B4-BE49-F238E27FC236}">
              <a16:creationId xmlns:a16="http://schemas.microsoft.com/office/drawing/2014/main" id="{2CE1FB8B-0B27-45CA-9B92-BA6BFFFE3B65}"/>
            </a:ext>
          </a:extLst>
        </cdr:cNvPr>
        <cdr:cNvSpPr/>
      </cdr:nvSpPr>
      <cdr:spPr>
        <a:xfrm xmlns:a="http://schemas.openxmlformats.org/drawingml/2006/main">
          <a:off x="1083409" y="3393295"/>
          <a:ext cx="1202568" cy="82153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0.1087</cdr:x>
      <cdr:y>0.31311</cdr:y>
    </cdr:from>
    <cdr:to>
      <cdr:x>0.21483</cdr:x>
      <cdr:y>0.31507</cdr:y>
    </cdr:to>
    <cdr:cxnSp macro="">
      <cdr:nvCxnSpPr>
        <cdr:cNvPr id="13" name="Conector recto de flecha 12">
          <a:extLst xmlns:a="http://schemas.openxmlformats.org/drawingml/2006/main">
            <a:ext uri="{FF2B5EF4-FFF2-40B4-BE49-F238E27FC236}">
              <a16:creationId xmlns:a16="http://schemas.microsoft.com/office/drawing/2014/main" id="{A35D75D5-20B2-4D42-8AAB-50A31F00E4AE}"/>
            </a:ext>
          </a:extLst>
        </cdr:cNvPr>
        <cdr:cNvCxnSpPr/>
      </cdr:nvCxnSpPr>
      <cdr:spPr>
        <a:xfrm xmlns:a="http://schemas.openxmlformats.org/drawingml/2006/main">
          <a:off x="1012072" y="1904992"/>
          <a:ext cx="988178" cy="11914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0.22251</cdr:x>
      <cdr:y>0.21331</cdr:y>
    </cdr:from>
    <cdr:to>
      <cdr:x>0.38235</cdr:x>
      <cdr:y>0.21526</cdr:y>
    </cdr:to>
    <cdr:cxnSp macro="">
      <cdr:nvCxnSpPr>
        <cdr:cNvPr id="14" name="Conector recto de flecha 13">
          <a:extLst xmlns:a="http://schemas.openxmlformats.org/drawingml/2006/main">
            <a:ext uri="{FF2B5EF4-FFF2-40B4-BE49-F238E27FC236}">
              <a16:creationId xmlns:a16="http://schemas.microsoft.com/office/drawing/2014/main" id="{D17F0C67-CD10-460A-806F-31A0B8DDE983}"/>
            </a:ext>
          </a:extLst>
        </cdr:cNvPr>
        <cdr:cNvCxnSpPr/>
      </cdr:nvCxnSpPr>
      <cdr:spPr>
        <a:xfrm xmlns:a="http://schemas.openxmlformats.org/drawingml/2006/main" flipV="1">
          <a:off x="2071688" y="1297781"/>
          <a:ext cx="1488281" cy="11906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0.26888</cdr:x>
      <cdr:y>0.16491</cdr:y>
    </cdr:from>
    <cdr:to>
      <cdr:x>0.37246</cdr:x>
      <cdr:y>0.21188</cdr:y>
    </cdr:to>
    <cdr:sp macro="" textlink="">
      <cdr:nvSpPr>
        <cdr:cNvPr id="16" name="CuadroTexto 1">
          <a:extLst xmlns:a="http://schemas.openxmlformats.org/drawingml/2006/main">
            <a:ext uri="{FF2B5EF4-FFF2-40B4-BE49-F238E27FC236}">
              <a16:creationId xmlns:a16="http://schemas.microsoft.com/office/drawing/2014/main" id="{83426C5F-8E4A-4ADD-9B8B-648E6F0F0DDC}"/>
            </a:ext>
          </a:extLst>
        </cdr:cNvPr>
        <cdr:cNvSpPr txBox="1"/>
      </cdr:nvSpPr>
      <cdr:spPr>
        <a:xfrm xmlns:a="http://schemas.openxmlformats.org/drawingml/2006/main">
          <a:off x="2503493" y="1003317"/>
          <a:ext cx="964401" cy="285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0,4vvd</a:t>
          </a:r>
        </a:p>
      </cdr:txBody>
    </cdr:sp>
  </cdr:relSizeAnchor>
  <cdr:relSizeAnchor xmlns:cdr="http://schemas.openxmlformats.org/drawingml/2006/chartDrawing">
    <cdr:from>
      <cdr:x>0.2711</cdr:x>
      <cdr:y>0.23483</cdr:y>
    </cdr:from>
    <cdr:to>
      <cdr:x>0.3977</cdr:x>
      <cdr:y>0.38552</cdr:y>
    </cdr:to>
    <cdr:sp macro="" textlink="">
      <cdr:nvSpPr>
        <cdr:cNvPr id="17" name="Elipse 16">
          <a:extLst xmlns:a="http://schemas.openxmlformats.org/drawingml/2006/main">
            <a:ext uri="{FF2B5EF4-FFF2-40B4-BE49-F238E27FC236}">
              <a16:creationId xmlns:a16="http://schemas.microsoft.com/office/drawing/2014/main" id="{F1E3887C-2B50-4EDE-8F30-7ADC68E33938}"/>
            </a:ext>
          </a:extLst>
        </cdr:cNvPr>
        <cdr:cNvSpPr/>
      </cdr:nvSpPr>
      <cdr:spPr>
        <a:xfrm xmlns:a="http://schemas.openxmlformats.org/drawingml/2006/main">
          <a:off x="2524093" y="1428749"/>
          <a:ext cx="1178752" cy="916767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0.38363</cdr:x>
      <cdr:y>0.22113</cdr:y>
    </cdr:from>
    <cdr:to>
      <cdr:x>0.56522</cdr:x>
      <cdr:y>0.22505</cdr:y>
    </cdr:to>
    <cdr:cxnSp macro="">
      <cdr:nvCxnSpPr>
        <cdr:cNvPr id="18" name="Conector recto de flecha 17">
          <a:extLst xmlns:a="http://schemas.openxmlformats.org/drawingml/2006/main">
            <a:ext uri="{FF2B5EF4-FFF2-40B4-BE49-F238E27FC236}">
              <a16:creationId xmlns:a16="http://schemas.microsoft.com/office/drawing/2014/main" id="{60CB3463-ABAF-45DD-B827-204EF525D686}"/>
            </a:ext>
          </a:extLst>
        </cdr:cNvPr>
        <cdr:cNvCxnSpPr/>
      </cdr:nvCxnSpPr>
      <cdr:spPr>
        <a:xfrm xmlns:a="http://schemas.openxmlformats.org/drawingml/2006/main">
          <a:off x="3571875" y="1345406"/>
          <a:ext cx="1690687" cy="23813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0.44151</cdr:x>
      <cdr:y>0.18057</cdr:y>
    </cdr:from>
    <cdr:to>
      <cdr:x>0.54509</cdr:x>
      <cdr:y>0.22753</cdr:y>
    </cdr:to>
    <cdr:sp macro="" textlink="">
      <cdr:nvSpPr>
        <cdr:cNvPr id="21" name="CuadroTexto 1">
          <a:extLst xmlns:a="http://schemas.openxmlformats.org/drawingml/2006/main">
            <a:ext uri="{FF2B5EF4-FFF2-40B4-BE49-F238E27FC236}">
              <a16:creationId xmlns:a16="http://schemas.microsoft.com/office/drawing/2014/main" id="{E1599201-184B-478A-B883-3260F1E6429B}"/>
            </a:ext>
          </a:extLst>
        </cdr:cNvPr>
        <cdr:cNvSpPr txBox="1"/>
      </cdr:nvSpPr>
      <cdr:spPr>
        <a:xfrm xmlns:a="http://schemas.openxmlformats.org/drawingml/2006/main">
          <a:off x="4110802" y="1098591"/>
          <a:ext cx="964401" cy="285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0,35vvd</a:t>
          </a:r>
        </a:p>
      </cdr:txBody>
    </cdr:sp>
  </cdr:relSizeAnchor>
  <cdr:relSizeAnchor xmlns:cdr="http://schemas.openxmlformats.org/drawingml/2006/chartDrawing">
    <cdr:from>
      <cdr:x>0.56905</cdr:x>
      <cdr:y>0.1409</cdr:y>
    </cdr:from>
    <cdr:to>
      <cdr:x>0.5694</cdr:x>
      <cdr:y>0.79896</cdr:y>
    </cdr:to>
    <cdr:cxnSp macro="">
      <cdr:nvCxnSpPr>
        <cdr:cNvPr id="19" name="Conector recto 18">
          <a:extLst xmlns:a="http://schemas.openxmlformats.org/drawingml/2006/main">
            <a:ext uri="{FF2B5EF4-FFF2-40B4-BE49-F238E27FC236}">
              <a16:creationId xmlns:a16="http://schemas.microsoft.com/office/drawing/2014/main" id="{6CDA0219-EE0D-4781-8C8F-4902EFEE5AA3}"/>
            </a:ext>
          </a:extLst>
        </cdr:cNvPr>
        <cdr:cNvCxnSpPr/>
      </cdr:nvCxnSpPr>
      <cdr:spPr>
        <a:xfrm xmlns:a="http://schemas.openxmlformats.org/drawingml/2006/main">
          <a:off x="5298281" y="857250"/>
          <a:ext cx="3212" cy="400368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0.62694</cdr:x>
      <cdr:y>0.11206</cdr:y>
    </cdr:from>
    <cdr:to>
      <cdr:x>0.73052</cdr:x>
      <cdr:y>0.15902</cdr:y>
    </cdr:to>
    <cdr:sp macro="" textlink="">
      <cdr:nvSpPr>
        <cdr:cNvPr id="23" name="CuadroTexto 1">
          <a:extLst xmlns:a="http://schemas.openxmlformats.org/drawingml/2006/main">
            <a:ext uri="{FF2B5EF4-FFF2-40B4-BE49-F238E27FC236}">
              <a16:creationId xmlns:a16="http://schemas.microsoft.com/office/drawing/2014/main" id="{F30E2D56-CE92-4188-BCBF-E8E50C88AAB4}"/>
            </a:ext>
          </a:extLst>
        </cdr:cNvPr>
        <cdr:cNvSpPr txBox="1"/>
      </cdr:nvSpPr>
      <cdr:spPr>
        <a:xfrm xmlns:a="http://schemas.openxmlformats.org/drawingml/2006/main">
          <a:off x="5837281" y="681811"/>
          <a:ext cx="964401" cy="2857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0,4vvd</a:t>
          </a:r>
        </a:p>
      </cdr:txBody>
    </cdr:sp>
  </cdr:relSizeAnchor>
  <cdr:relSizeAnchor xmlns:cdr="http://schemas.openxmlformats.org/drawingml/2006/chartDrawing">
    <cdr:from>
      <cdr:x>0.56777</cdr:x>
      <cdr:y>0.16243</cdr:y>
    </cdr:from>
    <cdr:to>
      <cdr:x>0.78261</cdr:x>
      <cdr:y>0.16438</cdr:y>
    </cdr:to>
    <cdr:cxnSp macro="">
      <cdr:nvCxnSpPr>
        <cdr:cNvPr id="24" name="Conector recto de flecha 23">
          <a:extLst xmlns:a="http://schemas.openxmlformats.org/drawingml/2006/main">
            <a:ext uri="{FF2B5EF4-FFF2-40B4-BE49-F238E27FC236}">
              <a16:creationId xmlns:a16="http://schemas.microsoft.com/office/drawing/2014/main" id="{6060DF74-B8AB-4D95-8849-10D2E52D3AA1}"/>
            </a:ext>
          </a:extLst>
        </cdr:cNvPr>
        <cdr:cNvCxnSpPr/>
      </cdr:nvCxnSpPr>
      <cdr:spPr>
        <a:xfrm xmlns:a="http://schemas.openxmlformats.org/drawingml/2006/main" flipV="1">
          <a:off x="5286329" y="988219"/>
          <a:ext cx="2000296" cy="11884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0.44024</cdr:x>
      <cdr:y>0.41539</cdr:y>
    </cdr:from>
    <cdr:to>
      <cdr:x>0.5694</cdr:x>
      <cdr:y>0.55042</cdr:y>
    </cdr:to>
    <cdr:sp macro="" textlink="">
      <cdr:nvSpPr>
        <cdr:cNvPr id="25" name="Elipse 24">
          <a:extLst xmlns:a="http://schemas.openxmlformats.org/drawingml/2006/main">
            <a:ext uri="{FF2B5EF4-FFF2-40B4-BE49-F238E27FC236}">
              <a16:creationId xmlns:a16="http://schemas.microsoft.com/office/drawing/2014/main" id="{30045A88-6810-41C9-96BE-8BCEC3B45720}"/>
            </a:ext>
          </a:extLst>
        </cdr:cNvPr>
        <cdr:cNvSpPr/>
      </cdr:nvSpPr>
      <cdr:spPr>
        <a:xfrm xmlns:a="http://schemas.openxmlformats.org/drawingml/2006/main">
          <a:off x="4098966" y="2527271"/>
          <a:ext cx="1202568" cy="82153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0.78423</cdr:x>
      <cdr:y>0.14338</cdr:y>
    </cdr:from>
    <cdr:to>
      <cdr:x>0.78457</cdr:x>
      <cdr:y>0.80144</cdr:y>
    </cdr:to>
    <cdr:cxnSp macro="">
      <cdr:nvCxnSpPr>
        <cdr:cNvPr id="28" name="Conector recto 27">
          <a:extLst xmlns:a="http://schemas.openxmlformats.org/drawingml/2006/main">
            <a:ext uri="{FF2B5EF4-FFF2-40B4-BE49-F238E27FC236}">
              <a16:creationId xmlns:a16="http://schemas.microsoft.com/office/drawing/2014/main" id="{70077B95-96E1-46DE-8B92-52755B81A48B}"/>
            </a:ext>
          </a:extLst>
        </cdr:cNvPr>
        <cdr:cNvCxnSpPr/>
      </cdr:nvCxnSpPr>
      <cdr:spPr>
        <a:xfrm xmlns:a="http://schemas.openxmlformats.org/drawingml/2006/main">
          <a:off x="7301717" y="872313"/>
          <a:ext cx="3165" cy="400369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0.78806</cdr:x>
      <cdr:y>0.10228</cdr:y>
    </cdr:from>
    <cdr:to>
      <cdr:x>0.89164</cdr:x>
      <cdr:y>0.14925</cdr:y>
    </cdr:to>
    <cdr:sp macro="" textlink="">
      <cdr:nvSpPr>
        <cdr:cNvPr id="31" name="CuadroTexto 1">
          <a:extLst xmlns:a="http://schemas.openxmlformats.org/drawingml/2006/main">
            <a:ext uri="{FF2B5EF4-FFF2-40B4-BE49-F238E27FC236}">
              <a16:creationId xmlns:a16="http://schemas.microsoft.com/office/drawing/2014/main" id="{ECD2E85E-0E49-40A3-8459-2BF01F0D653A}"/>
            </a:ext>
          </a:extLst>
        </cdr:cNvPr>
        <cdr:cNvSpPr txBox="1"/>
      </cdr:nvSpPr>
      <cdr:spPr>
        <a:xfrm xmlns:a="http://schemas.openxmlformats.org/drawingml/2006/main">
          <a:off x="7337389" y="622295"/>
          <a:ext cx="964401" cy="2857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0,45vvd</a:t>
          </a:r>
        </a:p>
      </cdr:txBody>
    </cdr:sp>
  </cdr:relSizeAnchor>
  <cdr:relSizeAnchor xmlns:cdr="http://schemas.openxmlformats.org/drawingml/2006/chartDrawing">
    <cdr:from>
      <cdr:x>0.78295</cdr:x>
      <cdr:y>0.14677</cdr:y>
    </cdr:from>
    <cdr:to>
      <cdr:x>0.87852</cdr:x>
      <cdr:y>0.14729</cdr:y>
    </cdr:to>
    <cdr:cxnSp macro="">
      <cdr:nvCxnSpPr>
        <cdr:cNvPr id="32" name="Conector recto de flecha 31">
          <a:extLst xmlns:a="http://schemas.openxmlformats.org/drawingml/2006/main">
            <a:ext uri="{FF2B5EF4-FFF2-40B4-BE49-F238E27FC236}">
              <a16:creationId xmlns:a16="http://schemas.microsoft.com/office/drawing/2014/main" id="{B1D71B36-1F96-4F1F-BC8F-DE1B33110FE1}"/>
            </a:ext>
          </a:extLst>
        </cdr:cNvPr>
        <cdr:cNvCxnSpPr/>
      </cdr:nvCxnSpPr>
      <cdr:spPr>
        <a:xfrm xmlns:a="http://schemas.openxmlformats.org/drawingml/2006/main" flipV="1">
          <a:off x="7289810" y="892969"/>
          <a:ext cx="889784" cy="3183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0.65763</cdr:x>
      <cdr:y>0.12772</cdr:y>
    </cdr:from>
    <cdr:to>
      <cdr:x>0.78679</cdr:x>
      <cdr:y>0.26275</cdr:y>
    </cdr:to>
    <cdr:sp macro="" textlink="">
      <cdr:nvSpPr>
        <cdr:cNvPr id="33" name="Elipse 32">
          <a:extLst xmlns:a="http://schemas.openxmlformats.org/drawingml/2006/main">
            <a:ext uri="{FF2B5EF4-FFF2-40B4-BE49-F238E27FC236}">
              <a16:creationId xmlns:a16="http://schemas.microsoft.com/office/drawing/2014/main" id="{11156F94-53B7-49C8-AB14-4F8A94AA45B9}"/>
            </a:ext>
          </a:extLst>
        </cdr:cNvPr>
        <cdr:cNvSpPr/>
      </cdr:nvSpPr>
      <cdr:spPr>
        <a:xfrm xmlns:a="http://schemas.openxmlformats.org/drawingml/2006/main">
          <a:off x="6122972" y="777066"/>
          <a:ext cx="1202568" cy="82153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0.79446</cdr:x>
      <cdr:y>0.15851</cdr:y>
    </cdr:from>
    <cdr:to>
      <cdr:x>0.87596</cdr:x>
      <cdr:y>0.24318</cdr:y>
    </cdr:to>
    <cdr:sp macro="" textlink="">
      <cdr:nvSpPr>
        <cdr:cNvPr id="26" name="Elipse 25">
          <a:extLst xmlns:a="http://schemas.openxmlformats.org/drawingml/2006/main">
            <a:ext uri="{FF2B5EF4-FFF2-40B4-BE49-F238E27FC236}">
              <a16:creationId xmlns:a16="http://schemas.microsoft.com/office/drawing/2014/main" id="{D3631233-DF2A-411D-8494-EAD4B1E24FCF}"/>
            </a:ext>
          </a:extLst>
        </cdr:cNvPr>
        <cdr:cNvSpPr/>
      </cdr:nvSpPr>
      <cdr:spPr>
        <a:xfrm xmlns:a="http://schemas.openxmlformats.org/drawingml/2006/main">
          <a:off x="7396956" y="964406"/>
          <a:ext cx="758826" cy="515148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0.11509</cdr:x>
      <cdr:y>0.27201</cdr:y>
    </cdr:from>
    <cdr:to>
      <cdr:x>0.21867</cdr:x>
      <cdr:y>0.31898</cdr:y>
    </cdr:to>
    <cdr:sp macro="" textlink="">
      <cdr:nvSpPr>
        <cdr:cNvPr id="6" name="CuadroTexto 5">
          <a:extLst xmlns:a="http://schemas.openxmlformats.org/drawingml/2006/main">
            <a:ext uri="{FF2B5EF4-FFF2-40B4-BE49-F238E27FC236}">
              <a16:creationId xmlns:a16="http://schemas.microsoft.com/office/drawing/2014/main" id="{D624E1D9-BB69-4FA6-BA00-AC9A43CCFADC}"/>
            </a:ext>
          </a:extLst>
        </cdr:cNvPr>
        <cdr:cNvSpPr txBox="1"/>
      </cdr:nvSpPr>
      <cdr:spPr>
        <a:xfrm xmlns:a="http://schemas.openxmlformats.org/drawingml/2006/main">
          <a:off x="1071599" y="1654934"/>
          <a:ext cx="964401" cy="285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0,45vvd</a:t>
          </a:r>
        </a:p>
      </cdr:txBody>
    </cdr:sp>
  </cdr:relSizeAnchor>
  <cdr:relSizeAnchor xmlns:cdr="http://schemas.openxmlformats.org/drawingml/2006/chartDrawing">
    <cdr:from>
      <cdr:x>0.2174</cdr:x>
      <cdr:y>0.15068</cdr:y>
    </cdr:from>
    <cdr:to>
      <cdr:x>0.21995</cdr:x>
      <cdr:y>0.81213</cdr:y>
    </cdr:to>
    <cdr:cxnSp macro="">
      <cdr:nvCxnSpPr>
        <cdr:cNvPr id="8" name="Conector recto 7">
          <a:extLst xmlns:a="http://schemas.openxmlformats.org/drawingml/2006/main">
            <a:ext uri="{FF2B5EF4-FFF2-40B4-BE49-F238E27FC236}">
              <a16:creationId xmlns:a16="http://schemas.microsoft.com/office/drawing/2014/main" id="{26751D29-7C1F-44B7-81B5-1CDA6BE0F527}"/>
            </a:ext>
          </a:extLst>
        </cdr:cNvPr>
        <cdr:cNvCxnSpPr/>
      </cdr:nvCxnSpPr>
      <cdr:spPr>
        <a:xfrm xmlns:a="http://schemas.openxmlformats.org/drawingml/2006/main" flipH="1">
          <a:off x="2024123" y="916770"/>
          <a:ext cx="23743" cy="402432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0.38269</cdr:x>
      <cdr:y>0.16881</cdr:y>
    </cdr:from>
    <cdr:to>
      <cdr:x>0.38525</cdr:x>
      <cdr:y>0.83026</cdr:y>
    </cdr:to>
    <cdr:cxnSp macro="">
      <cdr:nvCxnSpPr>
        <cdr:cNvPr id="10" name="Conector recto 9">
          <a:extLst xmlns:a="http://schemas.openxmlformats.org/drawingml/2006/main">
            <a:ext uri="{FF2B5EF4-FFF2-40B4-BE49-F238E27FC236}">
              <a16:creationId xmlns:a16="http://schemas.microsoft.com/office/drawing/2014/main" id="{E2EDFDB2-A876-48C2-9583-398310FCAFB1}"/>
            </a:ext>
          </a:extLst>
        </cdr:cNvPr>
        <cdr:cNvCxnSpPr/>
      </cdr:nvCxnSpPr>
      <cdr:spPr>
        <a:xfrm xmlns:a="http://schemas.openxmlformats.org/drawingml/2006/main" flipH="1">
          <a:off x="3563137" y="1027066"/>
          <a:ext cx="23836" cy="402432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0.11636</cdr:x>
      <cdr:y>0.55773</cdr:y>
    </cdr:from>
    <cdr:to>
      <cdr:x>0.24552</cdr:x>
      <cdr:y>0.69276</cdr:y>
    </cdr:to>
    <cdr:sp macro="" textlink="">
      <cdr:nvSpPr>
        <cdr:cNvPr id="11" name="Elipse 10">
          <a:extLst xmlns:a="http://schemas.openxmlformats.org/drawingml/2006/main">
            <a:ext uri="{FF2B5EF4-FFF2-40B4-BE49-F238E27FC236}">
              <a16:creationId xmlns:a16="http://schemas.microsoft.com/office/drawing/2014/main" id="{2CE1FB8B-0B27-45CA-9B92-BA6BFFFE3B65}"/>
            </a:ext>
          </a:extLst>
        </cdr:cNvPr>
        <cdr:cNvSpPr/>
      </cdr:nvSpPr>
      <cdr:spPr>
        <a:xfrm xmlns:a="http://schemas.openxmlformats.org/drawingml/2006/main">
          <a:off x="1083409" y="3393295"/>
          <a:ext cx="1202568" cy="82153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0.1087</cdr:x>
      <cdr:y>0.31311</cdr:y>
    </cdr:from>
    <cdr:to>
      <cdr:x>0.21483</cdr:x>
      <cdr:y>0.31507</cdr:y>
    </cdr:to>
    <cdr:cxnSp macro="">
      <cdr:nvCxnSpPr>
        <cdr:cNvPr id="13" name="Conector recto de flecha 12">
          <a:extLst xmlns:a="http://schemas.openxmlformats.org/drawingml/2006/main">
            <a:ext uri="{FF2B5EF4-FFF2-40B4-BE49-F238E27FC236}">
              <a16:creationId xmlns:a16="http://schemas.microsoft.com/office/drawing/2014/main" id="{A35D75D5-20B2-4D42-8AAB-50A31F00E4AE}"/>
            </a:ext>
          </a:extLst>
        </cdr:cNvPr>
        <cdr:cNvCxnSpPr/>
      </cdr:nvCxnSpPr>
      <cdr:spPr>
        <a:xfrm xmlns:a="http://schemas.openxmlformats.org/drawingml/2006/main">
          <a:off x="1012072" y="1904992"/>
          <a:ext cx="988178" cy="11914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0.22251</cdr:x>
      <cdr:y>0.21331</cdr:y>
    </cdr:from>
    <cdr:to>
      <cdr:x>0.38235</cdr:x>
      <cdr:y>0.21526</cdr:y>
    </cdr:to>
    <cdr:cxnSp macro="">
      <cdr:nvCxnSpPr>
        <cdr:cNvPr id="14" name="Conector recto de flecha 13">
          <a:extLst xmlns:a="http://schemas.openxmlformats.org/drawingml/2006/main">
            <a:ext uri="{FF2B5EF4-FFF2-40B4-BE49-F238E27FC236}">
              <a16:creationId xmlns:a16="http://schemas.microsoft.com/office/drawing/2014/main" id="{D17F0C67-CD10-460A-806F-31A0B8DDE983}"/>
            </a:ext>
          </a:extLst>
        </cdr:cNvPr>
        <cdr:cNvCxnSpPr/>
      </cdr:nvCxnSpPr>
      <cdr:spPr>
        <a:xfrm xmlns:a="http://schemas.openxmlformats.org/drawingml/2006/main" flipV="1">
          <a:off x="2071688" y="1297781"/>
          <a:ext cx="1488281" cy="11906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0.26888</cdr:x>
      <cdr:y>0.16491</cdr:y>
    </cdr:from>
    <cdr:to>
      <cdr:x>0.37246</cdr:x>
      <cdr:y>0.21188</cdr:y>
    </cdr:to>
    <cdr:sp macro="" textlink="">
      <cdr:nvSpPr>
        <cdr:cNvPr id="16" name="CuadroTexto 1">
          <a:extLst xmlns:a="http://schemas.openxmlformats.org/drawingml/2006/main">
            <a:ext uri="{FF2B5EF4-FFF2-40B4-BE49-F238E27FC236}">
              <a16:creationId xmlns:a16="http://schemas.microsoft.com/office/drawing/2014/main" id="{83426C5F-8E4A-4ADD-9B8B-648E6F0F0DDC}"/>
            </a:ext>
          </a:extLst>
        </cdr:cNvPr>
        <cdr:cNvSpPr txBox="1"/>
      </cdr:nvSpPr>
      <cdr:spPr>
        <a:xfrm xmlns:a="http://schemas.openxmlformats.org/drawingml/2006/main">
          <a:off x="2503493" y="1003317"/>
          <a:ext cx="964401" cy="285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0,4vvd</a:t>
          </a:r>
        </a:p>
      </cdr:txBody>
    </cdr:sp>
  </cdr:relSizeAnchor>
  <cdr:relSizeAnchor xmlns:cdr="http://schemas.openxmlformats.org/drawingml/2006/chartDrawing">
    <cdr:from>
      <cdr:x>0.2711</cdr:x>
      <cdr:y>0.23483</cdr:y>
    </cdr:from>
    <cdr:to>
      <cdr:x>0.3977</cdr:x>
      <cdr:y>0.38552</cdr:y>
    </cdr:to>
    <cdr:sp macro="" textlink="">
      <cdr:nvSpPr>
        <cdr:cNvPr id="17" name="Elipse 16">
          <a:extLst xmlns:a="http://schemas.openxmlformats.org/drawingml/2006/main">
            <a:ext uri="{FF2B5EF4-FFF2-40B4-BE49-F238E27FC236}">
              <a16:creationId xmlns:a16="http://schemas.microsoft.com/office/drawing/2014/main" id="{F1E3887C-2B50-4EDE-8F30-7ADC68E33938}"/>
            </a:ext>
          </a:extLst>
        </cdr:cNvPr>
        <cdr:cNvSpPr/>
      </cdr:nvSpPr>
      <cdr:spPr>
        <a:xfrm xmlns:a="http://schemas.openxmlformats.org/drawingml/2006/main">
          <a:off x="2524093" y="1428749"/>
          <a:ext cx="1178752" cy="916767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0.38363</cdr:x>
      <cdr:y>0.22113</cdr:y>
    </cdr:from>
    <cdr:to>
      <cdr:x>0.56522</cdr:x>
      <cdr:y>0.22505</cdr:y>
    </cdr:to>
    <cdr:cxnSp macro="">
      <cdr:nvCxnSpPr>
        <cdr:cNvPr id="18" name="Conector recto de flecha 17">
          <a:extLst xmlns:a="http://schemas.openxmlformats.org/drawingml/2006/main">
            <a:ext uri="{FF2B5EF4-FFF2-40B4-BE49-F238E27FC236}">
              <a16:creationId xmlns:a16="http://schemas.microsoft.com/office/drawing/2014/main" id="{60CB3463-ABAF-45DD-B827-204EF525D686}"/>
            </a:ext>
          </a:extLst>
        </cdr:cNvPr>
        <cdr:cNvCxnSpPr/>
      </cdr:nvCxnSpPr>
      <cdr:spPr>
        <a:xfrm xmlns:a="http://schemas.openxmlformats.org/drawingml/2006/main">
          <a:off x="3571875" y="1345406"/>
          <a:ext cx="1690687" cy="23813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0.44151</cdr:x>
      <cdr:y>0.18057</cdr:y>
    </cdr:from>
    <cdr:to>
      <cdr:x>0.54509</cdr:x>
      <cdr:y>0.22753</cdr:y>
    </cdr:to>
    <cdr:sp macro="" textlink="">
      <cdr:nvSpPr>
        <cdr:cNvPr id="21" name="CuadroTexto 1">
          <a:extLst xmlns:a="http://schemas.openxmlformats.org/drawingml/2006/main">
            <a:ext uri="{FF2B5EF4-FFF2-40B4-BE49-F238E27FC236}">
              <a16:creationId xmlns:a16="http://schemas.microsoft.com/office/drawing/2014/main" id="{E1599201-184B-478A-B883-3260F1E6429B}"/>
            </a:ext>
          </a:extLst>
        </cdr:cNvPr>
        <cdr:cNvSpPr txBox="1"/>
      </cdr:nvSpPr>
      <cdr:spPr>
        <a:xfrm xmlns:a="http://schemas.openxmlformats.org/drawingml/2006/main">
          <a:off x="4110802" y="1098591"/>
          <a:ext cx="964401" cy="285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0,35vvd</a:t>
          </a:r>
        </a:p>
      </cdr:txBody>
    </cdr:sp>
  </cdr:relSizeAnchor>
  <cdr:relSizeAnchor xmlns:cdr="http://schemas.openxmlformats.org/drawingml/2006/chartDrawing">
    <cdr:from>
      <cdr:x>0.56905</cdr:x>
      <cdr:y>0.1409</cdr:y>
    </cdr:from>
    <cdr:to>
      <cdr:x>0.5694</cdr:x>
      <cdr:y>0.79896</cdr:y>
    </cdr:to>
    <cdr:cxnSp macro="">
      <cdr:nvCxnSpPr>
        <cdr:cNvPr id="19" name="Conector recto 18">
          <a:extLst xmlns:a="http://schemas.openxmlformats.org/drawingml/2006/main">
            <a:ext uri="{FF2B5EF4-FFF2-40B4-BE49-F238E27FC236}">
              <a16:creationId xmlns:a16="http://schemas.microsoft.com/office/drawing/2014/main" id="{6CDA0219-EE0D-4781-8C8F-4902EFEE5AA3}"/>
            </a:ext>
          </a:extLst>
        </cdr:cNvPr>
        <cdr:cNvCxnSpPr/>
      </cdr:nvCxnSpPr>
      <cdr:spPr>
        <a:xfrm xmlns:a="http://schemas.openxmlformats.org/drawingml/2006/main">
          <a:off x="5298281" y="857250"/>
          <a:ext cx="3212" cy="400368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0.62694</cdr:x>
      <cdr:y>0.11206</cdr:y>
    </cdr:from>
    <cdr:to>
      <cdr:x>0.73052</cdr:x>
      <cdr:y>0.15902</cdr:y>
    </cdr:to>
    <cdr:sp macro="" textlink="">
      <cdr:nvSpPr>
        <cdr:cNvPr id="23" name="CuadroTexto 1">
          <a:extLst xmlns:a="http://schemas.openxmlformats.org/drawingml/2006/main">
            <a:ext uri="{FF2B5EF4-FFF2-40B4-BE49-F238E27FC236}">
              <a16:creationId xmlns:a16="http://schemas.microsoft.com/office/drawing/2014/main" id="{F30E2D56-CE92-4188-BCBF-E8E50C88AAB4}"/>
            </a:ext>
          </a:extLst>
        </cdr:cNvPr>
        <cdr:cNvSpPr txBox="1"/>
      </cdr:nvSpPr>
      <cdr:spPr>
        <a:xfrm xmlns:a="http://schemas.openxmlformats.org/drawingml/2006/main">
          <a:off x="5837281" y="681811"/>
          <a:ext cx="964401" cy="2857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0,4vvd</a:t>
          </a:r>
        </a:p>
      </cdr:txBody>
    </cdr:sp>
  </cdr:relSizeAnchor>
  <cdr:relSizeAnchor xmlns:cdr="http://schemas.openxmlformats.org/drawingml/2006/chartDrawing">
    <cdr:from>
      <cdr:x>0.56777</cdr:x>
      <cdr:y>0.16243</cdr:y>
    </cdr:from>
    <cdr:to>
      <cdr:x>0.78261</cdr:x>
      <cdr:y>0.16438</cdr:y>
    </cdr:to>
    <cdr:cxnSp macro="">
      <cdr:nvCxnSpPr>
        <cdr:cNvPr id="24" name="Conector recto de flecha 23">
          <a:extLst xmlns:a="http://schemas.openxmlformats.org/drawingml/2006/main">
            <a:ext uri="{FF2B5EF4-FFF2-40B4-BE49-F238E27FC236}">
              <a16:creationId xmlns:a16="http://schemas.microsoft.com/office/drawing/2014/main" id="{6060DF74-B8AB-4D95-8849-10D2E52D3AA1}"/>
            </a:ext>
          </a:extLst>
        </cdr:cNvPr>
        <cdr:cNvCxnSpPr/>
      </cdr:nvCxnSpPr>
      <cdr:spPr>
        <a:xfrm xmlns:a="http://schemas.openxmlformats.org/drawingml/2006/main" flipV="1">
          <a:off x="5286329" y="988219"/>
          <a:ext cx="2000296" cy="11884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0.44024</cdr:x>
      <cdr:y>0.41539</cdr:y>
    </cdr:from>
    <cdr:to>
      <cdr:x>0.5694</cdr:x>
      <cdr:y>0.55042</cdr:y>
    </cdr:to>
    <cdr:sp macro="" textlink="">
      <cdr:nvSpPr>
        <cdr:cNvPr id="25" name="Elipse 24">
          <a:extLst xmlns:a="http://schemas.openxmlformats.org/drawingml/2006/main">
            <a:ext uri="{FF2B5EF4-FFF2-40B4-BE49-F238E27FC236}">
              <a16:creationId xmlns:a16="http://schemas.microsoft.com/office/drawing/2014/main" id="{30045A88-6810-41C9-96BE-8BCEC3B45720}"/>
            </a:ext>
          </a:extLst>
        </cdr:cNvPr>
        <cdr:cNvSpPr/>
      </cdr:nvSpPr>
      <cdr:spPr>
        <a:xfrm xmlns:a="http://schemas.openxmlformats.org/drawingml/2006/main">
          <a:off x="4098966" y="2527271"/>
          <a:ext cx="1202568" cy="82153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0.78423</cdr:x>
      <cdr:y>0.14338</cdr:y>
    </cdr:from>
    <cdr:to>
      <cdr:x>0.78457</cdr:x>
      <cdr:y>0.80144</cdr:y>
    </cdr:to>
    <cdr:cxnSp macro="">
      <cdr:nvCxnSpPr>
        <cdr:cNvPr id="28" name="Conector recto 27">
          <a:extLst xmlns:a="http://schemas.openxmlformats.org/drawingml/2006/main">
            <a:ext uri="{FF2B5EF4-FFF2-40B4-BE49-F238E27FC236}">
              <a16:creationId xmlns:a16="http://schemas.microsoft.com/office/drawing/2014/main" id="{70077B95-96E1-46DE-8B92-52755B81A48B}"/>
            </a:ext>
          </a:extLst>
        </cdr:cNvPr>
        <cdr:cNvCxnSpPr/>
      </cdr:nvCxnSpPr>
      <cdr:spPr>
        <a:xfrm xmlns:a="http://schemas.openxmlformats.org/drawingml/2006/main">
          <a:off x="7301717" y="872313"/>
          <a:ext cx="3165" cy="400369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0.78806</cdr:x>
      <cdr:y>0.10228</cdr:y>
    </cdr:from>
    <cdr:to>
      <cdr:x>0.89164</cdr:x>
      <cdr:y>0.14925</cdr:y>
    </cdr:to>
    <cdr:sp macro="" textlink="">
      <cdr:nvSpPr>
        <cdr:cNvPr id="31" name="CuadroTexto 1">
          <a:extLst xmlns:a="http://schemas.openxmlformats.org/drawingml/2006/main">
            <a:ext uri="{FF2B5EF4-FFF2-40B4-BE49-F238E27FC236}">
              <a16:creationId xmlns:a16="http://schemas.microsoft.com/office/drawing/2014/main" id="{ECD2E85E-0E49-40A3-8459-2BF01F0D653A}"/>
            </a:ext>
          </a:extLst>
        </cdr:cNvPr>
        <cdr:cNvSpPr txBox="1"/>
      </cdr:nvSpPr>
      <cdr:spPr>
        <a:xfrm xmlns:a="http://schemas.openxmlformats.org/drawingml/2006/main">
          <a:off x="7337389" y="622295"/>
          <a:ext cx="964401" cy="2857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0,45vvd</a:t>
          </a:r>
        </a:p>
      </cdr:txBody>
    </cdr:sp>
  </cdr:relSizeAnchor>
  <cdr:relSizeAnchor xmlns:cdr="http://schemas.openxmlformats.org/drawingml/2006/chartDrawing">
    <cdr:from>
      <cdr:x>0.78295</cdr:x>
      <cdr:y>0.14677</cdr:y>
    </cdr:from>
    <cdr:to>
      <cdr:x>0.87852</cdr:x>
      <cdr:y>0.14729</cdr:y>
    </cdr:to>
    <cdr:cxnSp macro="">
      <cdr:nvCxnSpPr>
        <cdr:cNvPr id="32" name="Conector recto de flecha 31">
          <a:extLst xmlns:a="http://schemas.openxmlformats.org/drawingml/2006/main">
            <a:ext uri="{FF2B5EF4-FFF2-40B4-BE49-F238E27FC236}">
              <a16:creationId xmlns:a16="http://schemas.microsoft.com/office/drawing/2014/main" id="{B1D71B36-1F96-4F1F-BC8F-DE1B33110FE1}"/>
            </a:ext>
          </a:extLst>
        </cdr:cNvPr>
        <cdr:cNvCxnSpPr/>
      </cdr:nvCxnSpPr>
      <cdr:spPr>
        <a:xfrm xmlns:a="http://schemas.openxmlformats.org/drawingml/2006/main" flipV="1">
          <a:off x="7289810" y="892969"/>
          <a:ext cx="889784" cy="3183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0.65763</cdr:x>
      <cdr:y>0.12772</cdr:y>
    </cdr:from>
    <cdr:to>
      <cdr:x>0.78679</cdr:x>
      <cdr:y>0.26275</cdr:y>
    </cdr:to>
    <cdr:sp macro="" textlink="">
      <cdr:nvSpPr>
        <cdr:cNvPr id="33" name="Elipse 32">
          <a:extLst xmlns:a="http://schemas.openxmlformats.org/drawingml/2006/main">
            <a:ext uri="{FF2B5EF4-FFF2-40B4-BE49-F238E27FC236}">
              <a16:creationId xmlns:a16="http://schemas.microsoft.com/office/drawing/2014/main" id="{11156F94-53B7-49C8-AB14-4F8A94AA45B9}"/>
            </a:ext>
          </a:extLst>
        </cdr:cNvPr>
        <cdr:cNvSpPr/>
      </cdr:nvSpPr>
      <cdr:spPr>
        <a:xfrm xmlns:a="http://schemas.openxmlformats.org/drawingml/2006/main">
          <a:off x="6122972" y="777066"/>
          <a:ext cx="1202568" cy="82153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0.79446</cdr:x>
      <cdr:y>0.15851</cdr:y>
    </cdr:from>
    <cdr:to>
      <cdr:x>0.87596</cdr:x>
      <cdr:y>0.24318</cdr:y>
    </cdr:to>
    <cdr:sp macro="" textlink="">
      <cdr:nvSpPr>
        <cdr:cNvPr id="26" name="Elipse 25">
          <a:extLst xmlns:a="http://schemas.openxmlformats.org/drawingml/2006/main">
            <a:ext uri="{FF2B5EF4-FFF2-40B4-BE49-F238E27FC236}">
              <a16:creationId xmlns:a16="http://schemas.microsoft.com/office/drawing/2014/main" id="{D3631233-DF2A-411D-8494-EAD4B1E24FCF}"/>
            </a:ext>
          </a:extLst>
        </cdr:cNvPr>
        <cdr:cNvSpPr/>
      </cdr:nvSpPr>
      <cdr:spPr>
        <a:xfrm xmlns:a="http://schemas.openxmlformats.org/drawingml/2006/main">
          <a:off x="7396956" y="964406"/>
          <a:ext cx="758826" cy="515148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0.11509</cdr:x>
      <cdr:y>0.27201</cdr:y>
    </cdr:from>
    <cdr:to>
      <cdr:x>0.21867</cdr:x>
      <cdr:y>0.31898</cdr:y>
    </cdr:to>
    <cdr:sp macro="" textlink="">
      <cdr:nvSpPr>
        <cdr:cNvPr id="6" name="CuadroTexto 5">
          <a:extLst xmlns:a="http://schemas.openxmlformats.org/drawingml/2006/main">
            <a:ext uri="{FF2B5EF4-FFF2-40B4-BE49-F238E27FC236}">
              <a16:creationId xmlns:a16="http://schemas.microsoft.com/office/drawing/2014/main" id="{D624E1D9-BB69-4FA6-BA00-AC9A43CCFADC}"/>
            </a:ext>
          </a:extLst>
        </cdr:cNvPr>
        <cdr:cNvSpPr txBox="1"/>
      </cdr:nvSpPr>
      <cdr:spPr>
        <a:xfrm xmlns:a="http://schemas.openxmlformats.org/drawingml/2006/main">
          <a:off x="1071599" y="1654934"/>
          <a:ext cx="964401" cy="285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0,45vvd</a:t>
          </a:r>
        </a:p>
      </cdr:txBody>
    </cdr:sp>
  </cdr:relSizeAnchor>
  <cdr:relSizeAnchor xmlns:cdr="http://schemas.openxmlformats.org/drawingml/2006/chartDrawing">
    <cdr:from>
      <cdr:x>0.2174</cdr:x>
      <cdr:y>0.15068</cdr:y>
    </cdr:from>
    <cdr:to>
      <cdr:x>0.21995</cdr:x>
      <cdr:y>0.81213</cdr:y>
    </cdr:to>
    <cdr:cxnSp macro="">
      <cdr:nvCxnSpPr>
        <cdr:cNvPr id="8" name="Conector recto 7">
          <a:extLst xmlns:a="http://schemas.openxmlformats.org/drawingml/2006/main">
            <a:ext uri="{FF2B5EF4-FFF2-40B4-BE49-F238E27FC236}">
              <a16:creationId xmlns:a16="http://schemas.microsoft.com/office/drawing/2014/main" id="{26751D29-7C1F-44B7-81B5-1CDA6BE0F527}"/>
            </a:ext>
          </a:extLst>
        </cdr:cNvPr>
        <cdr:cNvCxnSpPr/>
      </cdr:nvCxnSpPr>
      <cdr:spPr>
        <a:xfrm xmlns:a="http://schemas.openxmlformats.org/drawingml/2006/main" flipH="1">
          <a:off x="2024123" y="916770"/>
          <a:ext cx="23743" cy="402432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0.38269</cdr:x>
      <cdr:y>0.16881</cdr:y>
    </cdr:from>
    <cdr:to>
      <cdr:x>0.38525</cdr:x>
      <cdr:y>0.83026</cdr:y>
    </cdr:to>
    <cdr:cxnSp macro="">
      <cdr:nvCxnSpPr>
        <cdr:cNvPr id="10" name="Conector recto 9">
          <a:extLst xmlns:a="http://schemas.openxmlformats.org/drawingml/2006/main">
            <a:ext uri="{FF2B5EF4-FFF2-40B4-BE49-F238E27FC236}">
              <a16:creationId xmlns:a16="http://schemas.microsoft.com/office/drawing/2014/main" id="{E2EDFDB2-A876-48C2-9583-398310FCAFB1}"/>
            </a:ext>
          </a:extLst>
        </cdr:cNvPr>
        <cdr:cNvCxnSpPr/>
      </cdr:nvCxnSpPr>
      <cdr:spPr>
        <a:xfrm xmlns:a="http://schemas.openxmlformats.org/drawingml/2006/main" flipH="1">
          <a:off x="3563137" y="1027066"/>
          <a:ext cx="23836" cy="402432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0.11636</cdr:x>
      <cdr:y>0.55773</cdr:y>
    </cdr:from>
    <cdr:to>
      <cdr:x>0.24552</cdr:x>
      <cdr:y>0.69276</cdr:y>
    </cdr:to>
    <cdr:sp macro="" textlink="">
      <cdr:nvSpPr>
        <cdr:cNvPr id="11" name="Elipse 10">
          <a:extLst xmlns:a="http://schemas.openxmlformats.org/drawingml/2006/main">
            <a:ext uri="{FF2B5EF4-FFF2-40B4-BE49-F238E27FC236}">
              <a16:creationId xmlns:a16="http://schemas.microsoft.com/office/drawing/2014/main" id="{2CE1FB8B-0B27-45CA-9B92-BA6BFFFE3B65}"/>
            </a:ext>
          </a:extLst>
        </cdr:cNvPr>
        <cdr:cNvSpPr/>
      </cdr:nvSpPr>
      <cdr:spPr>
        <a:xfrm xmlns:a="http://schemas.openxmlformats.org/drawingml/2006/main">
          <a:off x="1083409" y="3393295"/>
          <a:ext cx="1202568" cy="82153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0.1087</cdr:x>
      <cdr:y>0.31311</cdr:y>
    </cdr:from>
    <cdr:to>
      <cdr:x>0.21483</cdr:x>
      <cdr:y>0.31507</cdr:y>
    </cdr:to>
    <cdr:cxnSp macro="">
      <cdr:nvCxnSpPr>
        <cdr:cNvPr id="13" name="Conector recto de flecha 12">
          <a:extLst xmlns:a="http://schemas.openxmlformats.org/drawingml/2006/main">
            <a:ext uri="{FF2B5EF4-FFF2-40B4-BE49-F238E27FC236}">
              <a16:creationId xmlns:a16="http://schemas.microsoft.com/office/drawing/2014/main" id="{A35D75D5-20B2-4D42-8AAB-50A31F00E4AE}"/>
            </a:ext>
          </a:extLst>
        </cdr:cNvPr>
        <cdr:cNvCxnSpPr/>
      </cdr:nvCxnSpPr>
      <cdr:spPr>
        <a:xfrm xmlns:a="http://schemas.openxmlformats.org/drawingml/2006/main">
          <a:off x="1012072" y="1904992"/>
          <a:ext cx="988178" cy="11914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0.22251</cdr:x>
      <cdr:y>0.21331</cdr:y>
    </cdr:from>
    <cdr:to>
      <cdr:x>0.38235</cdr:x>
      <cdr:y>0.21526</cdr:y>
    </cdr:to>
    <cdr:cxnSp macro="">
      <cdr:nvCxnSpPr>
        <cdr:cNvPr id="14" name="Conector recto de flecha 13">
          <a:extLst xmlns:a="http://schemas.openxmlformats.org/drawingml/2006/main">
            <a:ext uri="{FF2B5EF4-FFF2-40B4-BE49-F238E27FC236}">
              <a16:creationId xmlns:a16="http://schemas.microsoft.com/office/drawing/2014/main" id="{D17F0C67-CD10-460A-806F-31A0B8DDE983}"/>
            </a:ext>
          </a:extLst>
        </cdr:cNvPr>
        <cdr:cNvCxnSpPr/>
      </cdr:nvCxnSpPr>
      <cdr:spPr>
        <a:xfrm xmlns:a="http://schemas.openxmlformats.org/drawingml/2006/main" flipV="1">
          <a:off x="2071688" y="1297781"/>
          <a:ext cx="1488281" cy="11906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0.26888</cdr:x>
      <cdr:y>0.16491</cdr:y>
    </cdr:from>
    <cdr:to>
      <cdr:x>0.37246</cdr:x>
      <cdr:y>0.21188</cdr:y>
    </cdr:to>
    <cdr:sp macro="" textlink="">
      <cdr:nvSpPr>
        <cdr:cNvPr id="16" name="CuadroTexto 1">
          <a:extLst xmlns:a="http://schemas.openxmlformats.org/drawingml/2006/main">
            <a:ext uri="{FF2B5EF4-FFF2-40B4-BE49-F238E27FC236}">
              <a16:creationId xmlns:a16="http://schemas.microsoft.com/office/drawing/2014/main" id="{83426C5F-8E4A-4ADD-9B8B-648E6F0F0DDC}"/>
            </a:ext>
          </a:extLst>
        </cdr:cNvPr>
        <cdr:cNvSpPr txBox="1"/>
      </cdr:nvSpPr>
      <cdr:spPr>
        <a:xfrm xmlns:a="http://schemas.openxmlformats.org/drawingml/2006/main">
          <a:off x="2503493" y="1003317"/>
          <a:ext cx="964401" cy="285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0,4vvd</a:t>
          </a:r>
        </a:p>
      </cdr:txBody>
    </cdr:sp>
  </cdr:relSizeAnchor>
  <cdr:relSizeAnchor xmlns:cdr="http://schemas.openxmlformats.org/drawingml/2006/chartDrawing">
    <cdr:from>
      <cdr:x>0.2711</cdr:x>
      <cdr:y>0.23483</cdr:y>
    </cdr:from>
    <cdr:to>
      <cdr:x>0.3977</cdr:x>
      <cdr:y>0.38552</cdr:y>
    </cdr:to>
    <cdr:sp macro="" textlink="">
      <cdr:nvSpPr>
        <cdr:cNvPr id="17" name="Elipse 16">
          <a:extLst xmlns:a="http://schemas.openxmlformats.org/drawingml/2006/main">
            <a:ext uri="{FF2B5EF4-FFF2-40B4-BE49-F238E27FC236}">
              <a16:creationId xmlns:a16="http://schemas.microsoft.com/office/drawing/2014/main" id="{F1E3887C-2B50-4EDE-8F30-7ADC68E33938}"/>
            </a:ext>
          </a:extLst>
        </cdr:cNvPr>
        <cdr:cNvSpPr/>
      </cdr:nvSpPr>
      <cdr:spPr>
        <a:xfrm xmlns:a="http://schemas.openxmlformats.org/drawingml/2006/main">
          <a:off x="2524093" y="1428749"/>
          <a:ext cx="1178752" cy="916767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0.38363</cdr:x>
      <cdr:y>0.22113</cdr:y>
    </cdr:from>
    <cdr:to>
      <cdr:x>0.56522</cdr:x>
      <cdr:y>0.22505</cdr:y>
    </cdr:to>
    <cdr:cxnSp macro="">
      <cdr:nvCxnSpPr>
        <cdr:cNvPr id="18" name="Conector recto de flecha 17">
          <a:extLst xmlns:a="http://schemas.openxmlformats.org/drawingml/2006/main">
            <a:ext uri="{FF2B5EF4-FFF2-40B4-BE49-F238E27FC236}">
              <a16:creationId xmlns:a16="http://schemas.microsoft.com/office/drawing/2014/main" id="{60CB3463-ABAF-45DD-B827-204EF525D686}"/>
            </a:ext>
          </a:extLst>
        </cdr:cNvPr>
        <cdr:cNvCxnSpPr/>
      </cdr:nvCxnSpPr>
      <cdr:spPr>
        <a:xfrm xmlns:a="http://schemas.openxmlformats.org/drawingml/2006/main">
          <a:off x="3571875" y="1345406"/>
          <a:ext cx="1690687" cy="23813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0.44151</cdr:x>
      <cdr:y>0.18057</cdr:y>
    </cdr:from>
    <cdr:to>
      <cdr:x>0.54509</cdr:x>
      <cdr:y>0.22753</cdr:y>
    </cdr:to>
    <cdr:sp macro="" textlink="">
      <cdr:nvSpPr>
        <cdr:cNvPr id="21" name="CuadroTexto 1">
          <a:extLst xmlns:a="http://schemas.openxmlformats.org/drawingml/2006/main">
            <a:ext uri="{FF2B5EF4-FFF2-40B4-BE49-F238E27FC236}">
              <a16:creationId xmlns:a16="http://schemas.microsoft.com/office/drawing/2014/main" id="{E1599201-184B-478A-B883-3260F1E6429B}"/>
            </a:ext>
          </a:extLst>
        </cdr:cNvPr>
        <cdr:cNvSpPr txBox="1"/>
      </cdr:nvSpPr>
      <cdr:spPr>
        <a:xfrm xmlns:a="http://schemas.openxmlformats.org/drawingml/2006/main">
          <a:off x="4110802" y="1098591"/>
          <a:ext cx="964401" cy="285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0,35vvd</a:t>
          </a:r>
        </a:p>
      </cdr:txBody>
    </cdr:sp>
  </cdr:relSizeAnchor>
  <cdr:relSizeAnchor xmlns:cdr="http://schemas.openxmlformats.org/drawingml/2006/chartDrawing">
    <cdr:from>
      <cdr:x>0.56905</cdr:x>
      <cdr:y>0.1409</cdr:y>
    </cdr:from>
    <cdr:to>
      <cdr:x>0.5694</cdr:x>
      <cdr:y>0.79896</cdr:y>
    </cdr:to>
    <cdr:cxnSp macro="">
      <cdr:nvCxnSpPr>
        <cdr:cNvPr id="19" name="Conector recto 18">
          <a:extLst xmlns:a="http://schemas.openxmlformats.org/drawingml/2006/main">
            <a:ext uri="{FF2B5EF4-FFF2-40B4-BE49-F238E27FC236}">
              <a16:creationId xmlns:a16="http://schemas.microsoft.com/office/drawing/2014/main" id="{6CDA0219-EE0D-4781-8C8F-4902EFEE5AA3}"/>
            </a:ext>
          </a:extLst>
        </cdr:cNvPr>
        <cdr:cNvCxnSpPr/>
      </cdr:nvCxnSpPr>
      <cdr:spPr>
        <a:xfrm xmlns:a="http://schemas.openxmlformats.org/drawingml/2006/main">
          <a:off x="5298281" y="857250"/>
          <a:ext cx="3212" cy="400368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0.62694</cdr:x>
      <cdr:y>0.11206</cdr:y>
    </cdr:from>
    <cdr:to>
      <cdr:x>0.73052</cdr:x>
      <cdr:y>0.15902</cdr:y>
    </cdr:to>
    <cdr:sp macro="" textlink="">
      <cdr:nvSpPr>
        <cdr:cNvPr id="23" name="CuadroTexto 1">
          <a:extLst xmlns:a="http://schemas.openxmlformats.org/drawingml/2006/main">
            <a:ext uri="{FF2B5EF4-FFF2-40B4-BE49-F238E27FC236}">
              <a16:creationId xmlns:a16="http://schemas.microsoft.com/office/drawing/2014/main" id="{F30E2D56-CE92-4188-BCBF-E8E50C88AAB4}"/>
            </a:ext>
          </a:extLst>
        </cdr:cNvPr>
        <cdr:cNvSpPr txBox="1"/>
      </cdr:nvSpPr>
      <cdr:spPr>
        <a:xfrm xmlns:a="http://schemas.openxmlformats.org/drawingml/2006/main">
          <a:off x="5837281" y="681811"/>
          <a:ext cx="964401" cy="2857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0,4vvd</a:t>
          </a:r>
        </a:p>
      </cdr:txBody>
    </cdr:sp>
  </cdr:relSizeAnchor>
  <cdr:relSizeAnchor xmlns:cdr="http://schemas.openxmlformats.org/drawingml/2006/chartDrawing">
    <cdr:from>
      <cdr:x>0.56777</cdr:x>
      <cdr:y>0.16243</cdr:y>
    </cdr:from>
    <cdr:to>
      <cdr:x>0.78261</cdr:x>
      <cdr:y>0.16438</cdr:y>
    </cdr:to>
    <cdr:cxnSp macro="">
      <cdr:nvCxnSpPr>
        <cdr:cNvPr id="24" name="Conector recto de flecha 23">
          <a:extLst xmlns:a="http://schemas.openxmlformats.org/drawingml/2006/main">
            <a:ext uri="{FF2B5EF4-FFF2-40B4-BE49-F238E27FC236}">
              <a16:creationId xmlns:a16="http://schemas.microsoft.com/office/drawing/2014/main" id="{6060DF74-B8AB-4D95-8849-10D2E52D3AA1}"/>
            </a:ext>
          </a:extLst>
        </cdr:cNvPr>
        <cdr:cNvCxnSpPr/>
      </cdr:nvCxnSpPr>
      <cdr:spPr>
        <a:xfrm xmlns:a="http://schemas.openxmlformats.org/drawingml/2006/main" flipV="1">
          <a:off x="5286329" y="988219"/>
          <a:ext cx="2000296" cy="11884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0.44024</cdr:x>
      <cdr:y>0.41539</cdr:y>
    </cdr:from>
    <cdr:to>
      <cdr:x>0.5694</cdr:x>
      <cdr:y>0.55042</cdr:y>
    </cdr:to>
    <cdr:sp macro="" textlink="">
      <cdr:nvSpPr>
        <cdr:cNvPr id="25" name="Elipse 24">
          <a:extLst xmlns:a="http://schemas.openxmlformats.org/drawingml/2006/main">
            <a:ext uri="{FF2B5EF4-FFF2-40B4-BE49-F238E27FC236}">
              <a16:creationId xmlns:a16="http://schemas.microsoft.com/office/drawing/2014/main" id="{30045A88-6810-41C9-96BE-8BCEC3B45720}"/>
            </a:ext>
          </a:extLst>
        </cdr:cNvPr>
        <cdr:cNvSpPr/>
      </cdr:nvSpPr>
      <cdr:spPr>
        <a:xfrm xmlns:a="http://schemas.openxmlformats.org/drawingml/2006/main">
          <a:off x="4098966" y="2527271"/>
          <a:ext cx="1202568" cy="82153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0.78423</cdr:x>
      <cdr:y>0.14338</cdr:y>
    </cdr:from>
    <cdr:to>
      <cdr:x>0.78457</cdr:x>
      <cdr:y>0.80144</cdr:y>
    </cdr:to>
    <cdr:cxnSp macro="">
      <cdr:nvCxnSpPr>
        <cdr:cNvPr id="28" name="Conector recto 27">
          <a:extLst xmlns:a="http://schemas.openxmlformats.org/drawingml/2006/main">
            <a:ext uri="{FF2B5EF4-FFF2-40B4-BE49-F238E27FC236}">
              <a16:creationId xmlns:a16="http://schemas.microsoft.com/office/drawing/2014/main" id="{70077B95-96E1-46DE-8B92-52755B81A48B}"/>
            </a:ext>
          </a:extLst>
        </cdr:cNvPr>
        <cdr:cNvCxnSpPr/>
      </cdr:nvCxnSpPr>
      <cdr:spPr>
        <a:xfrm xmlns:a="http://schemas.openxmlformats.org/drawingml/2006/main">
          <a:off x="7301717" y="872313"/>
          <a:ext cx="3165" cy="400369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0.78806</cdr:x>
      <cdr:y>0.10228</cdr:y>
    </cdr:from>
    <cdr:to>
      <cdr:x>0.89164</cdr:x>
      <cdr:y>0.14925</cdr:y>
    </cdr:to>
    <cdr:sp macro="" textlink="">
      <cdr:nvSpPr>
        <cdr:cNvPr id="31" name="CuadroTexto 1">
          <a:extLst xmlns:a="http://schemas.openxmlformats.org/drawingml/2006/main">
            <a:ext uri="{FF2B5EF4-FFF2-40B4-BE49-F238E27FC236}">
              <a16:creationId xmlns:a16="http://schemas.microsoft.com/office/drawing/2014/main" id="{ECD2E85E-0E49-40A3-8459-2BF01F0D653A}"/>
            </a:ext>
          </a:extLst>
        </cdr:cNvPr>
        <cdr:cNvSpPr txBox="1"/>
      </cdr:nvSpPr>
      <cdr:spPr>
        <a:xfrm xmlns:a="http://schemas.openxmlformats.org/drawingml/2006/main">
          <a:off x="7337389" y="622295"/>
          <a:ext cx="964401" cy="2857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0,45vvd</a:t>
          </a:r>
        </a:p>
      </cdr:txBody>
    </cdr:sp>
  </cdr:relSizeAnchor>
  <cdr:relSizeAnchor xmlns:cdr="http://schemas.openxmlformats.org/drawingml/2006/chartDrawing">
    <cdr:from>
      <cdr:x>0.78295</cdr:x>
      <cdr:y>0.14677</cdr:y>
    </cdr:from>
    <cdr:to>
      <cdr:x>0.87852</cdr:x>
      <cdr:y>0.14729</cdr:y>
    </cdr:to>
    <cdr:cxnSp macro="">
      <cdr:nvCxnSpPr>
        <cdr:cNvPr id="32" name="Conector recto de flecha 31">
          <a:extLst xmlns:a="http://schemas.openxmlformats.org/drawingml/2006/main">
            <a:ext uri="{FF2B5EF4-FFF2-40B4-BE49-F238E27FC236}">
              <a16:creationId xmlns:a16="http://schemas.microsoft.com/office/drawing/2014/main" id="{B1D71B36-1F96-4F1F-BC8F-DE1B33110FE1}"/>
            </a:ext>
          </a:extLst>
        </cdr:cNvPr>
        <cdr:cNvCxnSpPr/>
      </cdr:nvCxnSpPr>
      <cdr:spPr>
        <a:xfrm xmlns:a="http://schemas.openxmlformats.org/drawingml/2006/main" flipV="1">
          <a:off x="7289810" y="892969"/>
          <a:ext cx="889784" cy="3183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0.65763</cdr:x>
      <cdr:y>0.12772</cdr:y>
    </cdr:from>
    <cdr:to>
      <cdr:x>0.78679</cdr:x>
      <cdr:y>0.26275</cdr:y>
    </cdr:to>
    <cdr:sp macro="" textlink="">
      <cdr:nvSpPr>
        <cdr:cNvPr id="33" name="Elipse 32">
          <a:extLst xmlns:a="http://schemas.openxmlformats.org/drawingml/2006/main">
            <a:ext uri="{FF2B5EF4-FFF2-40B4-BE49-F238E27FC236}">
              <a16:creationId xmlns:a16="http://schemas.microsoft.com/office/drawing/2014/main" id="{11156F94-53B7-49C8-AB14-4F8A94AA45B9}"/>
            </a:ext>
          </a:extLst>
        </cdr:cNvPr>
        <cdr:cNvSpPr/>
      </cdr:nvSpPr>
      <cdr:spPr>
        <a:xfrm xmlns:a="http://schemas.openxmlformats.org/drawingml/2006/main">
          <a:off x="6122972" y="777066"/>
          <a:ext cx="1202568" cy="82153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0.79446</cdr:x>
      <cdr:y>0.15851</cdr:y>
    </cdr:from>
    <cdr:to>
      <cdr:x>0.87596</cdr:x>
      <cdr:y>0.24318</cdr:y>
    </cdr:to>
    <cdr:sp macro="" textlink="">
      <cdr:nvSpPr>
        <cdr:cNvPr id="26" name="Elipse 25">
          <a:extLst xmlns:a="http://schemas.openxmlformats.org/drawingml/2006/main">
            <a:ext uri="{FF2B5EF4-FFF2-40B4-BE49-F238E27FC236}">
              <a16:creationId xmlns:a16="http://schemas.microsoft.com/office/drawing/2014/main" id="{D3631233-DF2A-411D-8494-EAD4B1E24FCF}"/>
            </a:ext>
          </a:extLst>
        </cdr:cNvPr>
        <cdr:cNvSpPr/>
      </cdr:nvSpPr>
      <cdr:spPr>
        <a:xfrm xmlns:a="http://schemas.openxmlformats.org/drawingml/2006/main">
          <a:off x="7396956" y="964406"/>
          <a:ext cx="758826" cy="515148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0.46759</cdr:x>
      <cdr:y>0.67901</cdr:y>
    </cdr:from>
    <cdr:to>
      <cdr:x>0.65278</cdr:x>
      <cdr:y>0.69568</cdr:y>
    </cdr:to>
    <cdr:sp macro="" textlink="">
      <cdr:nvSpPr>
        <cdr:cNvPr id="5" name="Flecha: hacia la izquierda 4">
          <a:extLst xmlns:a="http://schemas.openxmlformats.org/drawingml/2006/main">
            <a:ext uri="{FF2B5EF4-FFF2-40B4-BE49-F238E27FC236}">
              <a16:creationId xmlns:a16="http://schemas.microsoft.com/office/drawing/2014/main" id="{E00C248A-3CA6-4ED7-AC65-BA52A08DE605}"/>
            </a:ext>
          </a:extLst>
        </cdr:cNvPr>
        <cdr:cNvSpPr/>
      </cdr:nvSpPr>
      <cdr:spPr>
        <a:xfrm xmlns:a="http://schemas.openxmlformats.org/drawingml/2006/main">
          <a:off x="2137833" y="1862661"/>
          <a:ext cx="846668" cy="45719"/>
        </a:xfrm>
        <a:prstGeom xmlns:a="http://schemas.openxmlformats.org/drawingml/2006/main" prst="left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0.47685</cdr:x>
      <cdr:y>0.08102</cdr:y>
    </cdr:from>
    <cdr:to>
      <cdr:x>0.64583</cdr:x>
      <cdr:y>0.09768</cdr:y>
    </cdr:to>
    <cdr:sp macro="" textlink="">
      <cdr:nvSpPr>
        <cdr:cNvPr id="6" name="Flecha: a la derecha 5">
          <a:extLst xmlns:a="http://schemas.openxmlformats.org/drawingml/2006/main">
            <a:ext uri="{FF2B5EF4-FFF2-40B4-BE49-F238E27FC236}">
              <a16:creationId xmlns:a16="http://schemas.microsoft.com/office/drawing/2014/main" id="{48A52F9F-5CA8-49E6-AA68-8CCD615B2CCB}"/>
            </a:ext>
          </a:extLst>
        </cdr:cNvPr>
        <cdr:cNvSpPr/>
      </cdr:nvSpPr>
      <cdr:spPr>
        <a:xfrm xmlns:a="http://schemas.openxmlformats.org/drawingml/2006/main">
          <a:off x="2180173" y="222252"/>
          <a:ext cx="772577" cy="45702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0.11509</cdr:x>
      <cdr:y>0.27201</cdr:y>
    </cdr:from>
    <cdr:to>
      <cdr:x>0.21867</cdr:x>
      <cdr:y>0.31898</cdr:y>
    </cdr:to>
    <cdr:sp macro="" textlink="">
      <cdr:nvSpPr>
        <cdr:cNvPr id="6" name="CuadroTexto 5">
          <a:extLst xmlns:a="http://schemas.openxmlformats.org/drawingml/2006/main">
            <a:ext uri="{FF2B5EF4-FFF2-40B4-BE49-F238E27FC236}">
              <a16:creationId xmlns:a16="http://schemas.microsoft.com/office/drawing/2014/main" id="{D624E1D9-BB69-4FA6-BA00-AC9A43CCFADC}"/>
            </a:ext>
          </a:extLst>
        </cdr:cNvPr>
        <cdr:cNvSpPr txBox="1"/>
      </cdr:nvSpPr>
      <cdr:spPr>
        <a:xfrm xmlns:a="http://schemas.openxmlformats.org/drawingml/2006/main">
          <a:off x="1071599" y="1654934"/>
          <a:ext cx="964401" cy="285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0,45vvd</a:t>
          </a:r>
        </a:p>
      </cdr:txBody>
    </cdr:sp>
  </cdr:relSizeAnchor>
  <cdr:relSizeAnchor xmlns:cdr="http://schemas.openxmlformats.org/drawingml/2006/chartDrawing">
    <cdr:from>
      <cdr:x>0.2174</cdr:x>
      <cdr:y>0.15068</cdr:y>
    </cdr:from>
    <cdr:to>
      <cdr:x>0.21995</cdr:x>
      <cdr:y>0.81213</cdr:y>
    </cdr:to>
    <cdr:cxnSp macro="">
      <cdr:nvCxnSpPr>
        <cdr:cNvPr id="8" name="Conector recto 7">
          <a:extLst xmlns:a="http://schemas.openxmlformats.org/drawingml/2006/main">
            <a:ext uri="{FF2B5EF4-FFF2-40B4-BE49-F238E27FC236}">
              <a16:creationId xmlns:a16="http://schemas.microsoft.com/office/drawing/2014/main" id="{26751D29-7C1F-44B7-81B5-1CDA6BE0F527}"/>
            </a:ext>
          </a:extLst>
        </cdr:cNvPr>
        <cdr:cNvCxnSpPr/>
      </cdr:nvCxnSpPr>
      <cdr:spPr>
        <a:xfrm xmlns:a="http://schemas.openxmlformats.org/drawingml/2006/main" flipH="1">
          <a:off x="2024123" y="916770"/>
          <a:ext cx="23743" cy="402432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0.38269</cdr:x>
      <cdr:y>0.16881</cdr:y>
    </cdr:from>
    <cdr:to>
      <cdr:x>0.38525</cdr:x>
      <cdr:y>0.83026</cdr:y>
    </cdr:to>
    <cdr:cxnSp macro="">
      <cdr:nvCxnSpPr>
        <cdr:cNvPr id="10" name="Conector recto 9">
          <a:extLst xmlns:a="http://schemas.openxmlformats.org/drawingml/2006/main">
            <a:ext uri="{FF2B5EF4-FFF2-40B4-BE49-F238E27FC236}">
              <a16:creationId xmlns:a16="http://schemas.microsoft.com/office/drawing/2014/main" id="{E2EDFDB2-A876-48C2-9583-398310FCAFB1}"/>
            </a:ext>
          </a:extLst>
        </cdr:cNvPr>
        <cdr:cNvCxnSpPr/>
      </cdr:nvCxnSpPr>
      <cdr:spPr>
        <a:xfrm xmlns:a="http://schemas.openxmlformats.org/drawingml/2006/main" flipH="1">
          <a:off x="3563137" y="1027066"/>
          <a:ext cx="23836" cy="402432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0.11636</cdr:x>
      <cdr:y>0.55773</cdr:y>
    </cdr:from>
    <cdr:to>
      <cdr:x>0.24552</cdr:x>
      <cdr:y>0.69276</cdr:y>
    </cdr:to>
    <cdr:sp macro="" textlink="">
      <cdr:nvSpPr>
        <cdr:cNvPr id="11" name="Elipse 10">
          <a:extLst xmlns:a="http://schemas.openxmlformats.org/drawingml/2006/main">
            <a:ext uri="{FF2B5EF4-FFF2-40B4-BE49-F238E27FC236}">
              <a16:creationId xmlns:a16="http://schemas.microsoft.com/office/drawing/2014/main" id="{2CE1FB8B-0B27-45CA-9B92-BA6BFFFE3B65}"/>
            </a:ext>
          </a:extLst>
        </cdr:cNvPr>
        <cdr:cNvSpPr/>
      </cdr:nvSpPr>
      <cdr:spPr>
        <a:xfrm xmlns:a="http://schemas.openxmlformats.org/drawingml/2006/main">
          <a:off x="1083409" y="3393295"/>
          <a:ext cx="1202568" cy="82153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0.1087</cdr:x>
      <cdr:y>0.31311</cdr:y>
    </cdr:from>
    <cdr:to>
      <cdr:x>0.21483</cdr:x>
      <cdr:y>0.31507</cdr:y>
    </cdr:to>
    <cdr:cxnSp macro="">
      <cdr:nvCxnSpPr>
        <cdr:cNvPr id="13" name="Conector recto de flecha 12">
          <a:extLst xmlns:a="http://schemas.openxmlformats.org/drawingml/2006/main">
            <a:ext uri="{FF2B5EF4-FFF2-40B4-BE49-F238E27FC236}">
              <a16:creationId xmlns:a16="http://schemas.microsoft.com/office/drawing/2014/main" id="{A35D75D5-20B2-4D42-8AAB-50A31F00E4AE}"/>
            </a:ext>
          </a:extLst>
        </cdr:cNvPr>
        <cdr:cNvCxnSpPr/>
      </cdr:nvCxnSpPr>
      <cdr:spPr>
        <a:xfrm xmlns:a="http://schemas.openxmlformats.org/drawingml/2006/main">
          <a:off x="1012072" y="1904992"/>
          <a:ext cx="988178" cy="11914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0.22251</cdr:x>
      <cdr:y>0.21331</cdr:y>
    </cdr:from>
    <cdr:to>
      <cdr:x>0.38235</cdr:x>
      <cdr:y>0.21526</cdr:y>
    </cdr:to>
    <cdr:cxnSp macro="">
      <cdr:nvCxnSpPr>
        <cdr:cNvPr id="14" name="Conector recto de flecha 13">
          <a:extLst xmlns:a="http://schemas.openxmlformats.org/drawingml/2006/main">
            <a:ext uri="{FF2B5EF4-FFF2-40B4-BE49-F238E27FC236}">
              <a16:creationId xmlns:a16="http://schemas.microsoft.com/office/drawing/2014/main" id="{D17F0C67-CD10-460A-806F-31A0B8DDE983}"/>
            </a:ext>
          </a:extLst>
        </cdr:cNvPr>
        <cdr:cNvCxnSpPr/>
      </cdr:nvCxnSpPr>
      <cdr:spPr>
        <a:xfrm xmlns:a="http://schemas.openxmlformats.org/drawingml/2006/main" flipV="1">
          <a:off x="2071688" y="1297781"/>
          <a:ext cx="1488281" cy="11906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0.26888</cdr:x>
      <cdr:y>0.16491</cdr:y>
    </cdr:from>
    <cdr:to>
      <cdr:x>0.37246</cdr:x>
      <cdr:y>0.21188</cdr:y>
    </cdr:to>
    <cdr:sp macro="" textlink="">
      <cdr:nvSpPr>
        <cdr:cNvPr id="16" name="CuadroTexto 1">
          <a:extLst xmlns:a="http://schemas.openxmlformats.org/drawingml/2006/main">
            <a:ext uri="{FF2B5EF4-FFF2-40B4-BE49-F238E27FC236}">
              <a16:creationId xmlns:a16="http://schemas.microsoft.com/office/drawing/2014/main" id="{83426C5F-8E4A-4ADD-9B8B-648E6F0F0DDC}"/>
            </a:ext>
          </a:extLst>
        </cdr:cNvPr>
        <cdr:cNvSpPr txBox="1"/>
      </cdr:nvSpPr>
      <cdr:spPr>
        <a:xfrm xmlns:a="http://schemas.openxmlformats.org/drawingml/2006/main">
          <a:off x="2503493" y="1003317"/>
          <a:ext cx="964401" cy="285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0,4vvd</a:t>
          </a:r>
        </a:p>
      </cdr:txBody>
    </cdr:sp>
  </cdr:relSizeAnchor>
  <cdr:relSizeAnchor xmlns:cdr="http://schemas.openxmlformats.org/drawingml/2006/chartDrawing">
    <cdr:from>
      <cdr:x>0.2711</cdr:x>
      <cdr:y>0.23483</cdr:y>
    </cdr:from>
    <cdr:to>
      <cdr:x>0.3977</cdr:x>
      <cdr:y>0.38552</cdr:y>
    </cdr:to>
    <cdr:sp macro="" textlink="">
      <cdr:nvSpPr>
        <cdr:cNvPr id="17" name="Elipse 16">
          <a:extLst xmlns:a="http://schemas.openxmlformats.org/drawingml/2006/main">
            <a:ext uri="{FF2B5EF4-FFF2-40B4-BE49-F238E27FC236}">
              <a16:creationId xmlns:a16="http://schemas.microsoft.com/office/drawing/2014/main" id="{F1E3887C-2B50-4EDE-8F30-7ADC68E33938}"/>
            </a:ext>
          </a:extLst>
        </cdr:cNvPr>
        <cdr:cNvSpPr/>
      </cdr:nvSpPr>
      <cdr:spPr>
        <a:xfrm xmlns:a="http://schemas.openxmlformats.org/drawingml/2006/main">
          <a:off x="2524093" y="1428749"/>
          <a:ext cx="1178752" cy="916767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0.38363</cdr:x>
      <cdr:y>0.22113</cdr:y>
    </cdr:from>
    <cdr:to>
      <cdr:x>0.56522</cdr:x>
      <cdr:y>0.22505</cdr:y>
    </cdr:to>
    <cdr:cxnSp macro="">
      <cdr:nvCxnSpPr>
        <cdr:cNvPr id="18" name="Conector recto de flecha 17">
          <a:extLst xmlns:a="http://schemas.openxmlformats.org/drawingml/2006/main">
            <a:ext uri="{FF2B5EF4-FFF2-40B4-BE49-F238E27FC236}">
              <a16:creationId xmlns:a16="http://schemas.microsoft.com/office/drawing/2014/main" id="{60CB3463-ABAF-45DD-B827-204EF525D686}"/>
            </a:ext>
          </a:extLst>
        </cdr:cNvPr>
        <cdr:cNvCxnSpPr/>
      </cdr:nvCxnSpPr>
      <cdr:spPr>
        <a:xfrm xmlns:a="http://schemas.openxmlformats.org/drawingml/2006/main">
          <a:off x="3571875" y="1345406"/>
          <a:ext cx="1690687" cy="23813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0.44151</cdr:x>
      <cdr:y>0.18057</cdr:y>
    </cdr:from>
    <cdr:to>
      <cdr:x>0.54509</cdr:x>
      <cdr:y>0.22753</cdr:y>
    </cdr:to>
    <cdr:sp macro="" textlink="">
      <cdr:nvSpPr>
        <cdr:cNvPr id="21" name="CuadroTexto 1">
          <a:extLst xmlns:a="http://schemas.openxmlformats.org/drawingml/2006/main">
            <a:ext uri="{FF2B5EF4-FFF2-40B4-BE49-F238E27FC236}">
              <a16:creationId xmlns:a16="http://schemas.microsoft.com/office/drawing/2014/main" id="{E1599201-184B-478A-B883-3260F1E6429B}"/>
            </a:ext>
          </a:extLst>
        </cdr:cNvPr>
        <cdr:cNvSpPr txBox="1"/>
      </cdr:nvSpPr>
      <cdr:spPr>
        <a:xfrm xmlns:a="http://schemas.openxmlformats.org/drawingml/2006/main">
          <a:off x="4110802" y="1098591"/>
          <a:ext cx="964401" cy="285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0,35vvd</a:t>
          </a:r>
        </a:p>
      </cdr:txBody>
    </cdr:sp>
  </cdr:relSizeAnchor>
  <cdr:relSizeAnchor xmlns:cdr="http://schemas.openxmlformats.org/drawingml/2006/chartDrawing">
    <cdr:from>
      <cdr:x>0.56905</cdr:x>
      <cdr:y>0.1409</cdr:y>
    </cdr:from>
    <cdr:to>
      <cdr:x>0.5694</cdr:x>
      <cdr:y>0.79896</cdr:y>
    </cdr:to>
    <cdr:cxnSp macro="">
      <cdr:nvCxnSpPr>
        <cdr:cNvPr id="19" name="Conector recto 18">
          <a:extLst xmlns:a="http://schemas.openxmlformats.org/drawingml/2006/main">
            <a:ext uri="{FF2B5EF4-FFF2-40B4-BE49-F238E27FC236}">
              <a16:creationId xmlns:a16="http://schemas.microsoft.com/office/drawing/2014/main" id="{6CDA0219-EE0D-4781-8C8F-4902EFEE5AA3}"/>
            </a:ext>
          </a:extLst>
        </cdr:cNvPr>
        <cdr:cNvCxnSpPr/>
      </cdr:nvCxnSpPr>
      <cdr:spPr>
        <a:xfrm xmlns:a="http://schemas.openxmlformats.org/drawingml/2006/main">
          <a:off x="5298281" y="857250"/>
          <a:ext cx="3212" cy="400368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0.62694</cdr:x>
      <cdr:y>0.11206</cdr:y>
    </cdr:from>
    <cdr:to>
      <cdr:x>0.73052</cdr:x>
      <cdr:y>0.15902</cdr:y>
    </cdr:to>
    <cdr:sp macro="" textlink="">
      <cdr:nvSpPr>
        <cdr:cNvPr id="23" name="CuadroTexto 1">
          <a:extLst xmlns:a="http://schemas.openxmlformats.org/drawingml/2006/main">
            <a:ext uri="{FF2B5EF4-FFF2-40B4-BE49-F238E27FC236}">
              <a16:creationId xmlns:a16="http://schemas.microsoft.com/office/drawing/2014/main" id="{F30E2D56-CE92-4188-BCBF-E8E50C88AAB4}"/>
            </a:ext>
          </a:extLst>
        </cdr:cNvPr>
        <cdr:cNvSpPr txBox="1"/>
      </cdr:nvSpPr>
      <cdr:spPr>
        <a:xfrm xmlns:a="http://schemas.openxmlformats.org/drawingml/2006/main">
          <a:off x="5837281" y="681811"/>
          <a:ext cx="964401" cy="2857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0,4vvd</a:t>
          </a:r>
        </a:p>
      </cdr:txBody>
    </cdr:sp>
  </cdr:relSizeAnchor>
  <cdr:relSizeAnchor xmlns:cdr="http://schemas.openxmlformats.org/drawingml/2006/chartDrawing">
    <cdr:from>
      <cdr:x>0.56777</cdr:x>
      <cdr:y>0.16243</cdr:y>
    </cdr:from>
    <cdr:to>
      <cdr:x>0.78261</cdr:x>
      <cdr:y>0.16438</cdr:y>
    </cdr:to>
    <cdr:cxnSp macro="">
      <cdr:nvCxnSpPr>
        <cdr:cNvPr id="24" name="Conector recto de flecha 23">
          <a:extLst xmlns:a="http://schemas.openxmlformats.org/drawingml/2006/main">
            <a:ext uri="{FF2B5EF4-FFF2-40B4-BE49-F238E27FC236}">
              <a16:creationId xmlns:a16="http://schemas.microsoft.com/office/drawing/2014/main" id="{6060DF74-B8AB-4D95-8849-10D2E52D3AA1}"/>
            </a:ext>
          </a:extLst>
        </cdr:cNvPr>
        <cdr:cNvCxnSpPr/>
      </cdr:nvCxnSpPr>
      <cdr:spPr>
        <a:xfrm xmlns:a="http://schemas.openxmlformats.org/drawingml/2006/main" flipV="1">
          <a:off x="5286329" y="988219"/>
          <a:ext cx="2000296" cy="11884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0.44024</cdr:x>
      <cdr:y>0.41539</cdr:y>
    </cdr:from>
    <cdr:to>
      <cdr:x>0.5694</cdr:x>
      <cdr:y>0.55042</cdr:y>
    </cdr:to>
    <cdr:sp macro="" textlink="">
      <cdr:nvSpPr>
        <cdr:cNvPr id="25" name="Elipse 24">
          <a:extLst xmlns:a="http://schemas.openxmlformats.org/drawingml/2006/main">
            <a:ext uri="{FF2B5EF4-FFF2-40B4-BE49-F238E27FC236}">
              <a16:creationId xmlns:a16="http://schemas.microsoft.com/office/drawing/2014/main" id="{30045A88-6810-41C9-96BE-8BCEC3B45720}"/>
            </a:ext>
          </a:extLst>
        </cdr:cNvPr>
        <cdr:cNvSpPr/>
      </cdr:nvSpPr>
      <cdr:spPr>
        <a:xfrm xmlns:a="http://schemas.openxmlformats.org/drawingml/2006/main">
          <a:off x="4098966" y="2527271"/>
          <a:ext cx="1202568" cy="82153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0.78423</cdr:x>
      <cdr:y>0.14338</cdr:y>
    </cdr:from>
    <cdr:to>
      <cdr:x>0.78457</cdr:x>
      <cdr:y>0.80144</cdr:y>
    </cdr:to>
    <cdr:cxnSp macro="">
      <cdr:nvCxnSpPr>
        <cdr:cNvPr id="28" name="Conector recto 27">
          <a:extLst xmlns:a="http://schemas.openxmlformats.org/drawingml/2006/main">
            <a:ext uri="{FF2B5EF4-FFF2-40B4-BE49-F238E27FC236}">
              <a16:creationId xmlns:a16="http://schemas.microsoft.com/office/drawing/2014/main" id="{70077B95-96E1-46DE-8B92-52755B81A48B}"/>
            </a:ext>
          </a:extLst>
        </cdr:cNvPr>
        <cdr:cNvCxnSpPr/>
      </cdr:nvCxnSpPr>
      <cdr:spPr>
        <a:xfrm xmlns:a="http://schemas.openxmlformats.org/drawingml/2006/main">
          <a:off x="7301717" y="872313"/>
          <a:ext cx="3165" cy="400369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0.78806</cdr:x>
      <cdr:y>0.10228</cdr:y>
    </cdr:from>
    <cdr:to>
      <cdr:x>0.89164</cdr:x>
      <cdr:y>0.14925</cdr:y>
    </cdr:to>
    <cdr:sp macro="" textlink="">
      <cdr:nvSpPr>
        <cdr:cNvPr id="31" name="CuadroTexto 1">
          <a:extLst xmlns:a="http://schemas.openxmlformats.org/drawingml/2006/main">
            <a:ext uri="{FF2B5EF4-FFF2-40B4-BE49-F238E27FC236}">
              <a16:creationId xmlns:a16="http://schemas.microsoft.com/office/drawing/2014/main" id="{ECD2E85E-0E49-40A3-8459-2BF01F0D653A}"/>
            </a:ext>
          </a:extLst>
        </cdr:cNvPr>
        <cdr:cNvSpPr txBox="1"/>
      </cdr:nvSpPr>
      <cdr:spPr>
        <a:xfrm xmlns:a="http://schemas.openxmlformats.org/drawingml/2006/main">
          <a:off x="7337389" y="622295"/>
          <a:ext cx="964401" cy="2857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0,45vvd</a:t>
          </a:r>
        </a:p>
      </cdr:txBody>
    </cdr:sp>
  </cdr:relSizeAnchor>
  <cdr:relSizeAnchor xmlns:cdr="http://schemas.openxmlformats.org/drawingml/2006/chartDrawing">
    <cdr:from>
      <cdr:x>0.78295</cdr:x>
      <cdr:y>0.14677</cdr:y>
    </cdr:from>
    <cdr:to>
      <cdr:x>0.87852</cdr:x>
      <cdr:y>0.14729</cdr:y>
    </cdr:to>
    <cdr:cxnSp macro="">
      <cdr:nvCxnSpPr>
        <cdr:cNvPr id="32" name="Conector recto de flecha 31">
          <a:extLst xmlns:a="http://schemas.openxmlformats.org/drawingml/2006/main">
            <a:ext uri="{FF2B5EF4-FFF2-40B4-BE49-F238E27FC236}">
              <a16:creationId xmlns:a16="http://schemas.microsoft.com/office/drawing/2014/main" id="{B1D71B36-1F96-4F1F-BC8F-DE1B33110FE1}"/>
            </a:ext>
          </a:extLst>
        </cdr:cNvPr>
        <cdr:cNvCxnSpPr/>
      </cdr:nvCxnSpPr>
      <cdr:spPr>
        <a:xfrm xmlns:a="http://schemas.openxmlformats.org/drawingml/2006/main" flipV="1">
          <a:off x="7289810" y="892969"/>
          <a:ext cx="889784" cy="3183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0.65763</cdr:x>
      <cdr:y>0.12772</cdr:y>
    </cdr:from>
    <cdr:to>
      <cdr:x>0.78679</cdr:x>
      <cdr:y>0.26275</cdr:y>
    </cdr:to>
    <cdr:sp macro="" textlink="">
      <cdr:nvSpPr>
        <cdr:cNvPr id="33" name="Elipse 32">
          <a:extLst xmlns:a="http://schemas.openxmlformats.org/drawingml/2006/main">
            <a:ext uri="{FF2B5EF4-FFF2-40B4-BE49-F238E27FC236}">
              <a16:creationId xmlns:a16="http://schemas.microsoft.com/office/drawing/2014/main" id="{11156F94-53B7-49C8-AB14-4F8A94AA45B9}"/>
            </a:ext>
          </a:extLst>
        </cdr:cNvPr>
        <cdr:cNvSpPr/>
      </cdr:nvSpPr>
      <cdr:spPr>
        <a:xfrm xmlns:a="http://schemas.openxmlformats.org/drawingml/2006/main">
          <a:off x="6122972" y="777066"/>
          <a:ext cx="1202568" cy="82153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0.79446</cdr:x>
      <cdr:y>0.15851</cdr:y>
    </cdr:from>
    <cdr:to>
      <cdr:x>0.87596</cdr:x>
      <cdr:y>0.24318</cdr:y>
    </cdr:to>
    <cdr:sp macro="" textlink="">
      <cdr:nvSpPr>
        <cdr:cNvPr id="26" name="Elipse 25">
          <a:extLst xmlns:a="http://schemas.openxmlformats.org/drawingml/2006/main">
            <a:ext uri="{FF2B5EF4-FFF2-40B4-BE49-F238E27FC236}">
              <a16:creationId xmlns:a16="http://schemas.microsoft.com/office/drawing/2014/main" id="{D3631233-DF2A-411D-8494-EAD4B1E24FCF}"/>
            </a:ext>
          </a:extLst>
        </cdr:cNvPr>
        <cdr:cNvSpPr/>
      </cdr:nvSpPr>
      <cdr:spPr>
        <a:xfrm xmlns:a="http://schemas.openxmlformats.org/drawingml/2006/main">
          <a:off x="7396956" y="964406"/>
          <a:ext cx="758826" cy="515148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imsp/infoprod/Fermentacion%20EPO/EPO-TA%202007/1000%20L/3222/3222TA07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fosalvas\Lisandra\2018\tesis%20maestria\Documento%20de%20tesis\experimentacion\Fermentador%202L-batch\resumen%20batch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o%20de%20tesis\experimentacion\Fermentador%202L-CC\Metabolitos\Matriz%20para%20cuantificacion-estados%20estacionar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rment."/>
      <sheetName val="Medio de cultivo"/>
      <sheetName val="vel.esp."/>
      <sheetName val="Hoja1"/>
      <sheetName val="Xv, Xd,  Viab vs t"/>
      <sheetName val="Xv y vvd "/>
      <sheetName val="bbxL y vvd"/>
      <sheetName val="Che y Sdex y vvd "/>
      <sheetName val="Xv vs CSPR"/>
      <sheetName val="Xv vs masa Che"/>
      <sheetName val="Xv vs masa Sdx"/>
      <sheetName val="Xv y bbxL"/>
      <sheetName val="Xv y medio consumido"/>
      <sheetName val="Medio consumido"/>
      <sheetName val="Metabolitos "/>
      <sheetName val="Xv vs EPO filtrada"/>
      <sheetName val="Xv vs EPO filtrada (2)"/>
      <sheetName val="Xv vs EPO filtrada (3)"/>
      <sheetName val="Xv vs EPO"/>
      <sheetName val="EPO acumulativo"/>
      <sheetName val="Metabolitos"/>
    </sheetNames>
    <sheetDataSet>
      <sheetData sheetId="0">
        <row r="8">
          <cell r="P8">
            <v>0</v>
          </cell>
        </row>
        <row r="9">
          <cell r="P9">
            <v>15147321.428571429</v>
          </cell>
        </row>
        <row r="10">
          <cell r="P10">
            <v>71603715.773693413</v>
          </cell>
        </row>
        <row r="11">
          <cell r="P11">
            <v>128058840.77360636</v>
          </cell>
        </row>
        <row r="12">
          <cell r="P12">
            <v>396060403.2736609</v>
          </cell>
        </row>
        <row r="13">
          <cell r="P13">
            <v>677161028.27404499</v>
          </cell>
        </row>
        <row r="14">
          <cell r="P14">
            <v>936617694.94049358</v>
          </cell>
        </row>
        <row r="15">
          <cell r="P15">
            <v>1149984361.6069305</v>
          </cell>
        </row>
        <row r="16">
          <cell r="P16">
            <v>1351189861.607017</v>
          </cell>
        </row>
      </sheetData>
      <sheetData sheetId="1" refreshError="1"/>
      <sheetData sheetId="2">
        <row r="61">
          <cell r="D61">
            <v>8.8229166666642413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Aminoacidos esenciales"/>
      <sheetName val="AA no esenc y cond"/>
      <sheetName val="Literatura"/>
    </sheetNames>
    <sheetDataSet>
      <sheetData sheetId="0">
        <row r="43">
          <cell r="Y43">
            <v>84.377635238640508</v>
          </cell>
          <cell r="AA43">
            <v>85.423690237900885</v>
          </cell>
          <cell r="AD43">
            <v>20.967611633767049</v>
          </cell>
          <cell r="AF43">
            <v>1.0742475763456756</v>
          </cell>
        </row>
        <row r="44">
          <cell r="Y44">
            <v>12.028462628624753</v>
          </cell>
          <cell r="AA44">
            <v>19.717837416314172</v>
          </cell>
          <cell r="AD44">
            <v>5.2458820498085492</v>
          </cell>
        </row>
        <row r="48">
          <cell r="BH48">
            <v>2.8844410203711919E-3</v>
          </cell>
          <cell r="BJ48">
            <v>0.32058239499097491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CA"/>
      <sheetName val="Referencias"/>
      <sheetName val="Metabolitos cuantificables"/>
    </sheetNames>
    <sheetDataSet>
      <sheetData sheetId="0" refreshError="1"/>
      <sheetData sheetId="1" refreshError="1"/>
      <sheetData sheetId="2">
        <row r="4">
          <cell r="T4">
            <v>-18.139970441660051</v>
          </cell>
        </row>
        <row r="5">
          <cell r="Z5">
            <v>-87.301673578570401</v>
          </cell>
        </row>
        <row r="6">
          <cell r="T6">
            <v>-20.36961157715448</v>
          </cell>
        </row>
        <row r="7">
          <cell r="T7">
            <v>-23.015284990324925</v>
          </cell>
          <cell r="Z7">
            <v>-59.717143252085137</v>
          </cell>
        </row>
        <row r="8">
          <cell r="T8">
            <v>-19.897365777925227</v>
          </cell>
          <cell r="Z8">
            <v>-97.827808281010704</v>
          </cell>
        </row>
        <row r="9">
          <cell r="Z9">
            <v>-87.391641281195362</v>
          </cell>
        </row>
        <row r="10">
          <cell r="T10">
            <v>-20.103431186381879</v>
          </cell>
          <cell r="Z10">
            <v>-95.746075545582499</v>
          </cell>
        </row>
        <row r="11">
          <cell r="T11">
            <v>-11.001370940667785</v>
          </cell>
          <cell r="Z11">
            <v>-62.788844905551457</v>
          </cell>
        </row>
        <row r="12">
          <cell r="T12">
            <v>-8.9377858537316435</v>
          </cell>
          <cell r="Z12">
            <v>-48.787187098208442</v>
          </cell>
        </row>
        <row r="13">
          <cell r="T13">
            <v>-10.171592324682214</v>
          </cell>
          <cell r="Z13">
            <v>-50.581422012485959</v>
          </cell>
        </row>
        <row r="14">
          <cell r="T14">
            <v>-7.827185149165059</v>
          </cell>
          <cell r="Z14">
            <v>-45.153897999757</v>
          </cell>
        </row>
        <row r="15">
          <cell r="T15">
            <v>-10.20160246794442</v>
          </cell>
          <cell r="Z15">
            <v>-43.923728065893329</v>
          </cell>
        </row>
        <row r="16">
          <cell r="T16">
            <v>-10.357882940512843</v>
          </cell>
          <cell r="Z16">
            <v>-43.861184995087619</v>
          </cell>
        </row>
        <row r="17">
          <cell r="T17">
            <v>-8.7469186361396005</v>
          </cell>
          <cell r="Z17">
            <v>-43.897686052777132</v>
          </cell>
        </row>
        <row r="18">
          <cell r="T18">
            <v>-8.4278448051756278</v>
          </cell>
          <cell r="Z18">
            <v>-46.76590412202853</v>
          </cell>
        </row>
        <row r="19">
          <cell r="T19">
            <v>-9.4677118644722214</v>
          </cell>
          <cell r="Z19">
            <v>-63.357702794899708</v>
          </cell>
        </row>
        <row r="20">
          <cell r="Z20">
            <v>-59.170395962816364</v>
          </cell>
        </row>
        <row r="21">
          <cell r="T21">
            <v>-8.5170649708404387</v>
          </cell>
          <cell r="Z21">
            <v>-64.127527179880815</v>
          </cell>
        </row>
        <row r="22">
          <cell r="Z22">
            <v>-57.501988241606448</v>
          </cell>
        </row>
        <row r="23">
          <cell r="T23">
            <v>-9.203946279416682</v>
          </cell>
          <cell r="Z23">
            <v>-51.444184023971651</v>
          </cell>
        </row>
        <row r="24">
          <cell r="T24">
            <v>-7.8404419220161641</v>
          </cell>
          <cell r="Z24">
            <v>-38.646888410692512</v>
          </cell>
        </row>
        <row r="25">
          <cell r="T25">
            <v>-7.373721509539207</v>
          </cell>
          <cell r="Z25">
            <v>-36.393334384317349</v>
          </cell>
        </row>
        <row r="26">
          <cell r="T26">
            <v>-8.4455220759949796</v>
          </cell>
          <cell r="Z26">
            <v>-41.083208452522349</v>
          </cell>
        </row>
        <row r="27">
          <cell r="T27">
            <v>-6.5934947218812869</v>
          </cell>
          <cell r="Z27">
            <v>-41.988676651375584</v>
          </cell>
        </row>
        <row r="28">
          <cell r="T28">
            <v>-7.1967945624464331</v>
          </cell>
          <cell r="Z28">
            <v>-40.059887509950734</v>
          </cell>
        </row>
        <row r="29">
          <cell r="T29">
            <v>-8.9055695745573011</v>
          </cell>
          <cell r="Z29">
            <v>-40.592994021205513</v>
          </cell>
        </row>
        <row r="30">
          <cell r="T30">
            <v>-8.1905420516809002</v>
          </cell>
          <cell r="Z30">
            <v>-38.933280532944323</v>
          </cell>
        </row>
        <row r="31">
          <cell r="T31">
            <v>-7.1555286824108579</v>
          </cell>
          <cell r="Z31">
            <v>-36.383830257735802</v>
          </cell>
        </row>
        <row r="32">
          <cell r="T32">
            <v>-7.0950287281393827</v>
          </cell>
          <cell r="Z32">
            <v>-35.76351830917708</v>
          </cell>
        </row>
        <row r="33">
          <cell r="T33">
            <v>-8.2769513730816016</v>
          </cell>
          <cell r="Z33">
            <v>-40.720071343934848</v>
          </cell>
        </row>
        <row r="34">
          <cell r="T34">
            <v>-8.8699090401155729</v>
          </cell>
          <cell r="Z34">
            <v>-42.339447828920527</v>
          </cell>
        </row>
        <row r="35">
          <cell r="T35">
            <v>-7.6464799740537055</v>
          </cell>
          <cell r="Z35">
            <v>-43.717468311346678</v>
          </cell>
        </row>
        <row r="36">
          <cell r="T36">
            <v>-7.8051270224303044</v>
          </cell>
          <cell r="Z36">
            <v>-41.447454432717585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GA172"/>
  <sheetViews>
    <sheetView zoomScale="90" zoomScaleNormal="90" workbookViewId="0">
      <pane xSplit="6450" topLeftCell="CO1"/>
      <selection activeCell="C15" sqref="C15"/>
      <selection pane="topRight" activeCell="DB59" sqref="DB59"/>
    </sheetView>
  </sheetViews>
  <sheetFormatPr baseColWidth="10" defaultColWidth="9.140625" defaultRowHeight="12.75" x14ac:dyDescent="0.2"/>
  <cols>
    <col min="1" max="1" width="18" style="24" bestFit="1" customWidth="1"/>
    <col min="2" max="2" width="12.7109375" style="7" customWidth="1"/>
    <col min="3" max="3" width="14.28515625" style="7" bestFit="1" customWidth="1"/>
    <col min="4" max="4" width="17.5703125" style="7" bestFit="1" customWidth="1"/>
    <col min="5" max="5" width="16.85546875" style="7" bestFit="1" customWidth="1"/>
    <col min="6" max="6" width="15" style="7" bestFit="1" customWidth="1"/>
    <col min="7" max="9" width="15" style="7" customWidth="1"/>
    <col min="10" max="12" width="12.28515625" style="7" customWidth="1"/>
    <col min="13" max="13" width="13.5703125" style="7" bestFit="1" customWidth="1"/>
    <col min="14" max="14" width="12" style="7" bestFit="1" customWidth="1"/>
    <col min="15" max="17" width="12" style="7" customWidth="1"/>
    <col min="18" max="21" width="12.85546875" style="7" customWidth="1"/>
    <col min="22" max="22" width="11.7109375" style="7" bestFit="1" customWidth="1"/>
    <col min="23" max="23" width="16.85546875" style="7" bestFit="1" customWidth="1"/>
    <col min="24" max="24" width="14.5703125" style="7" bestFit="1" customWidth="1"/>
    <col min="25" max="25" width="10.85546875" style="7" bestFit="1" customWidth="1"/>
    <col min="26" max="26" width="10.140625" style="7" customWidth="1"/>
    <col min="27" max="27" width="13.42578125" style="7" customWidth="1"/>
    <col min="28" max="28" width="13.140625" style="7" customWidth="1"/>
    <col min="29" max="31" width="12.7109375" style="7" customWidth="1"/>
    <col min="32" max="32" width="14.7109375" style="7" customWidth="1"/>
    <col min="33" max="33" width="15.42578125" style="7" customWidth="1"/>
    <col min="34" max="34" width="14.28515625" style="7" customWidth="1"/>
    <col min="35" max="37" width="12.7109375" style="7" customWidth="1"/>
    <col min="38" max="38" width="15.140625" style="7" customWidth="1"/>
    <col min="39" max="39" width="15.28515625" style="7" customWidth="1"/>
    <col min="40" max="40" width="15.5703125" style="7" customWidth="1"/>
    <col min="41" max="41" width="12.7109375" style="7" customWidth="1"/>
    <col min="42" max="42" width="14.140625" style="7" customWidth="1"/>
    <col min="43" max="43" width="13.85546875" style="7" customWidth="1"/>
    <col min="44" max="44" width="16.7109375" style="7" customWidth="1"/>
    <col min="45" max="45" width="14.140625" style="7" customWidth="1"/>
    <col min="46" max="47" width="12.7109375" style="7" customWidth="1"/>
    <col min="48" max="48" width="13" style="7" customWidth="1"/>
    <col min="49" max="54" width="12.7109375" style="7" customWidth="1"/>
    <col min="55" max="55" width="18.5703125" style="7" bestFit="1" customWidth="1"/>
    <col min="56" max="59" width="12.7109375" style="7" customWidth="1"/>
    <col min="60" max="60" width="17.42578125" style="7" bestFit="1" customWidth="1"/>
    <col min="61" max="65" width="17.42578125" style="7" customWidth="1"/>
    <col min="66" max="66" width="14.5703125" style="7" bestFit="1" customWidth="1"/>
    <col min="67" max="68" width="14.5703125" style="7" customWidth="1"/>
    <col min="69" max="69" width="12.7109375" style="7" customWidth="1"/>
    <col min="70" max="70" width="17.7109375" style="7" bestFit="1" customWidth="1"/>
    <col min="71" max="71" width="17.7109375" style="7" customWidth="1"/>
    <col min="72" max="72" width="14.140625" style="7" customWidth="1"/>
    <col min="73" max="75" width="17.7109375" style="7" customWidth="1"/>
    <col min="76" max="76" width="11" style="7" bestFit="1" customWidth="1"/>
    <col min="77" max="77" width="9.140625" style="7" customWidth="1"/>
    <col min="78" max="78" width="14.85546875" style="7" bestFit="1" customWidth="1"/>
    <col min="79" max="79" width="11" style="7" bestFit="1" customWidth="1"/>
    <col min="80" max="80" width="12.42578125" customWidth="1"/>
    <col min="81" max="81" width="12" customWidth="1"/>
    <col min="82" max="82" width="11.42578125" style="7" customWidth="1"/>
    <col min="83" max="83" width="12.85546875" style="7" customWidth="1"/>
    <col min="84" max="84" width="12.7109375" style="7" bestFit="1" customWidth="1"/>
    <col min="85" max="85" width="11.42578125" style="7" customWidth="1"/>
    <col min="86" max="86" width="12.140625" style="7" bestFit="1" customWidth="1"/>
    <col min="87" max="87" width="13.28515625" style="7" bestFit="1" customWidth="1"/>
    <col min="88" max="92" width="8.85546875" style="7" customWidth="1"/>
    <col min="93" max="93" width="14.5703125" style="7" bestFit="1" customWidth="1"/>
    <col min="94" max="95" width="14.5703125" style="7" customWidth="1"/>
    <col min="96" max="96" width="9" style="7" bestFit="1" customWidth="1"/>
    <col min="97" max="97" width="9.5703125" style="7" bestFit="1" customWidth="1"/>
    <col min="98" max="100" width="9.5703125" style="7" customWidth="1"/>
    <col min="101" max="101" width="11.140625" style="7" bestFit="1" customWidth="1"/>
    <col min="102" max="116" width="11.140625" style="7" customWidth="1"/>
    <col min="117" max="117" width="11.7109375" style="7" bestFit="1" customWidth="1"/>
    <col min="118" max="124" width="11.140625" style="7" customWidth="1"/>
    <col min="125" max="125" width="9.28515625" style="7" customWidth="1"/>
    <col min="126" max="126" width="10.7109375" style="7" customWidth="1"/>
    <col min="127" max="127" width="6.5703125" style="7" customWidth="1"/>
    <col min="128" max="128" width="9.140625" style="25" customWidth="1"/>
    <col min="129" max="158" width="9.140625" style="7" customWidth="1"/>
    <col min="159" max="159" width="5.28515625" style="7" customWidth="1"/>
    <col min="160" max="160" width="9.28515625" style="7" customWidth="1"/>
    <col min="161" max="162" width="9.140625" style="7" customWidth="1"/>
    <col min="163" max="164" width="11.42578125" style="7" customWidth="1"/>
    <col min="165" max="166" width="9.140625" style="7" customWidth="1"/>
    <col min="167" max="167" width="11.140625" style="7" customWidth="1"/>
    <col min="168" max="168" width="1.85546875" style="7" customWidth="1"/>
    <col min="169" max="169" width="11.140625" style="7" customWidth="1"/>
    <col min="170" max="170" width="1.7109375" style="7" customWidth="1"/>
    <col min="171" max="171" width="12.28515625" style="7" customWidth="1"/>
    <col min="172" max="172" width="2.7109375" style="7" customWidth="1"/>
    <col min="173" max="173" width="11.85546875" style="7" customWidth="1"/>
    <col min="174" max="174" width="1.7109375" style="7" customWidth="1"/>
    <col min="175" max="175" width="8" style="7" customWidth="1"/>
    <col min="176" max="176" width="2.85546875" style="7" customWidth="1"/>
    <col min="177" max="177" width="8.140625" style="7" customWidth="1"/>
    <col min="178" max="178" width="2.140625" style="7" customWidth="1"/>
    <col min="179" max="179" width="8.140625" style="7" bestFit="1" customWidth="1"/>
    <col min="180" max="180" width="7" style="7" customWidth="1"/>
    <col min="181" max="181" width="11.7109375" style="7" customWidth="1"/>
    <col min="182" max="182" width="2.140625" style="7" customWidth="1"/>
    <col min="183" max="183" width="12.5703125" style="7" customWidth="1"/>
    <col min="184" max="184" width="1.85546875" style="7" customWidth="1"/>
    <col min="185" max="16384" width="9.140625" style="7"/>
  </cols>
  <sheetData>
    <row r="1" spans="1:183" ht="22.5" customHeight="1" thickBot="1" x14ac:dyDescent="0.4">
      <c r="A1" s="65" t="s">
        <v>0</v>
      </c>
      <c r="B1" s="66" t="s">
        <v>214</v>
      </c>
      <c r="C1" s="67" t="s">
        <v>211</v>
      </c>
      <c r="D1" s="67" t="s">
        <v>227</v>
      </c>
      <c r="E1" s="68"/>
      <c r="F1" s="68"/>
      <c r="G1" s="68"/>
      <c r="H1" s="68"/>
      <c r="I1" s="68"/>
      <c r="J1" s="68"/>
      <c r="K1" s="68"/>
      <c r="L1" s="68"/>
      <c r="M1" s="69"/>
      <c r="N1" s="67"/>
      <c r="O1" s="186"/>
      <c r="P1" s="186"/>
      <c r="Q1" s="186"/>
      <c r="R1" s="226"/>
      <c r="S1" s="226"/>
      <c r="T1" s="226"/>
      <c r="U1" s="187"/>
      <c r="V1" s="67"/>
      <c r="W1" s="67"/>
      <c r="X1" s="67"/>
      <c r="Y1" s="70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Z1" s="52"/>
      <c r="CA1" s="52"/>
      <c r="CD1" s="52"/>
      <c r="CE1" s="52"/>
      <c r="CF1" s="52"/>
      <c r="CG1" s="52"/>
      <c r="CH1" s="52"/>
      <c r="FK1" s="28"/>
      <c r="FO1" s="28"/>
    </row>
    <row r="2" spans="1:183" ht="13.5" thickBot="1" x14ac:dyDescent="0.25">
      <c r="C2" s="7" t="s">
        <v>68</v>
      </c>
      <c r="D2" s="7" t="s">
        <v>228</v>
      </c>
      <c r="F2" s="7" t="s">
        <v>3</v>
      </c>
      <c r="M2" s="119" t="s">
        <v>224</v>
      </c>
      <c r="O2" s="7" t="s">
        <v>217</v>
      </c>
      <c r="R2" s="28" t="s">
        <v>226</v>
      </c>
      <c r="S2" s="28"/>
      <c r="T2" s="28"/>
      <c r="U2" s="28"/>
      <c r="W2" s="29"/>
      <c r="AA2" s="25"/>
      <c r="BR2" s="7" t="s">
        <v>10</v>
      </c>
      <c r="BX2" s="7">
        <v>17.5</v>
      </c>
    </row>
    <row r="3" spans="1:183" ht="16.5" thickBot="1" x14ac:dyDescent="0.3">
      <c r="A3" s="19"/>
      <c r="B3" s="5" t="s">
        <v>4</v>
      </c>
      <c r="C3" s="6" t="s">
        <v>5</v>
      </c>
      <c r="F3" s="7" t="s">
        <v>6</v>
      </c>
      <c r="J3"/>
      <c r="K3"/>
      <c r="L3"/>
      <c r="M3" s="119" t="s">
        <v>225</v>
      </c>
      <c r="R3" s="28" t="s">
        <v>21</v>
      </c>
      <c r="S3" s="28"/>
      <c r="T3" s="28"/>
      <c r="U3" s="28"/>
      <c r="W3" s="98">
        <v>2</v>
      </c>
      <c r="AA3" s="25"/>
      <c r="BE3" s="95"/>
      <c r="BO3" s="7" t="s">
        <v>111</v>
      </c>
      <c r="BR3" s="95"/>
      <c r="BS3" s="95"/>
      <c r="BT3" s="95"/>
      <c r="BU3" s="95"/>
      <c r="BV3" s="95"/>
      <c r="BW3" s="95"/>
      <c r="BX3" s="95"/>
      <c r="BZ3" s="53"/>
    </row>
    <row r="4" spans="1:183" ht="13.5" thickBot="1" x14ac:dyDescent="0.25">
      <c r="A4" s="20" t="s">
        <v>8</v>
      </c>
      <c r="B4" s="71">
        <v>43621</v>
      </c>
      <c r="C4" s="72">
        <v>0.4375</v>
      </c>
      <c r="F4" s="37" t="s">
        <v>9</v>
      </c>
      <c r="G4" s="37"/>
      <c r="H4" s="37"/>
      <c r="I4" s="37"/>
      <c r="J4" s="372" t="s">
        <v>232</v>
      </c>
      <c r="K4" s="372"/>
      <c r="L4" s="372"/>
      <c r="M4" s="372"/>
      <c r="N4" s="372"/>
      <c r="AA4" s="25"/>
      <c r="BH4" s="154" t="s">
        <v>212</v>
      </c>
      <c r="BI4" s="163"/>
      <c r="BJ4" s="163"/>
      <c r="BK4" s="163"/>
      <c r="BL4" s="163"/>
      <c r="BM4" s="163"/>
      <c r="BO4" s="7" t="s">
        <v>96</v>
      </c>
      <c r="BZ4" s="53"/>
    </row>
    <row r="5" spans="1:183" ht="13.5" thickBot="1" x14ac:dyDescent="0.25">
      <c r="B5" s="71"/>
      <c r="C5" s="72"/>
      <c r="F5" s="30"/>
      <c r="G5" s="30"/>
      <c r="H5" s="30"/>
      <c r="I5" s="30"/>
      <c r="M5" s="34"/>
      <c r="W5" s="54"/>
      <c r="AA5" s="25"/>
      <c r="BE5" s="7" t="s">
        <v>95</v>
      </c>
      <c r="BZ5" s="53"/>
      <c r="CO5" s="7" t="s">
        <v>250</v>
      </c>
      <c r="CP5" s="7">
        <v>24</v>
      </c>
      <c r="CQ5" s="7" t="s">
        <v>251</v>
      </c>
    </row>
    <row r="6" spans="1:183" ht="13.5" customHeight="1" thickBot="1" x14ac:dyDescent="0.2">
      <c r="A6" s="157" t="s">
        <v>12</v>
      </c>
      <c r="B6" s="158" t="s">
        <v>4</v>
      </c>
      <c r="C6" s="159" t="s">
        <v>5</v>
      </c>
      <c r="D6" s="12" t="s">
        <v>2</v>
      </c>
      <c r="E6" s="73" t="s">
        <v>2</v>
      </c>
      <c r="F6" s="12" t="s">
        <v>88</v>
      </c>
      <c r="G6" s="368" t="s">
        <v>221</v>
      </c>
      <c r="H6" s="368" t="s">
        <v>222</v>
      </c>
      <c r="I6" s="368" t="s">
        <v>223</v>
      </c>
      <c r="J6" s="162" t="s">
        <v>218</v>
      </c>
      <c r="K6" s="370" t="s">
        <v>219</v>
      </c>
      <c r="L6" s="255"/>
      <c r="M6" s="12" t="s">
        <v>86</v>
      </c>
      <c r="N6" s="162" t="s">
        <v>30</v>
      </c>
      <c r="O6" s="12" t="s">
        <v>89</v>
      </c>
      <c r="P6" s="162" t="s">
        <v>163</v>
      </c>
      <c r="Q6" s="162"/>
      <c r="R6" s="227" t="s">
        <v>244</v>
      </c>
      <c r="S6" s="227" t="s">
        <v>243</v>
      </c>
      <c r="T6" s="5" t="s">
        <v>248</v>
      </c>
      <c r="U6" s="73" t="s">
        <v>140</v>
      </c>
      <c r="V6" s="73" t="s">
        <v>7</v>
      </c>
      <c r="W6" s="12" t="s">
        <v>90</v>
      </c>
      <c r="X6" s="73" t="s">
        <v>11</v>
      </c>
      <c r="Y6" s="12" t="s">
        <v>13</v>
      </c>
      <c r="Z6" s="12" t="s">
        <v>66</v>
      </c>
      <c r="AA6" s="154" t="s">
        <v>59</v>
      </c>
      <c r="AB6" s="154" t="s">
        <v>59</v>
      </c>
      <c r="AC6" s="154"/>
      <c r="AD6" s="154"/>
      <c r="AE6" s="12"/>
      <c r="AF6" s="12"/>
      <c r="AG6" s="12"/>
      <c r="AH6" s="12"/>
      <c r="AI6" s="12"/>
      <c r="AJ6" s="12"/>
      <c r="AK6" s="12"/>
      <c r="AL6" s="364" t="s">
        <v>77</v>
      </c>
      <c r="AM6" s="364" t="s">
        <v>78</v>
      </c>
      <c r="AN6" s="364" t="s">
        <v>79</v>
      </c>
      <c r="AO6" s="364" t="s">
        <v>93</v>
      </c>
      <c r="AP6" s="364" t="s">
        <v>94</v>
      </c>
      <c r="AQ6" s="364" t="s">
        <v>80</v>
      </c>
      <c r="AR6" s="364" t="s">
        <v>81</v>
      </c>
      <c r="AS6" s="364" t="s">
        <v>82</v>
      </c>
      <c r="AT6" s="12"/>
      <c r="AU6" s="12"/>
      <c r="AV6" s="241"/>
      <c r="AW6" s="12" t="s">
        <v>45</v>
      </c>
      <c r="AX6" s="12"/>
      <c r="AY6" s="12"/>
      <c r="AZ6" s="12" t="s">
        <v>46</v>
      </c>
      <c r="BA6" s="12"/>
      <c r="BB6" s="12"/>
      <c r="BC6" s="12"/>
      <c r="BD6" s="12"/>
      <c r="BE6" s="12" t="s">
        <v>27</v>
      </c>
      <c r="BF6" s="12" t="s">
        <v>27</v>
      </c>
      <c r="BG6" s="12" t="s">
        <v>27</v>
      </c>
      <c r="BH6" s="192" t="s">
        <v>162</v>
      </c>
      <c r="BI6" s="192"/>
      <c r="BJ6" s="192"/>
      <c r="BK6" s="192"/>
      <c r="BL6" s="192"/>
      <c r="BM6" s="192"/>
      <c r="BN6" s="12" t="s">
        <v>91</v>
      </c>
      <c r="BO6" s="12"/>
      <c r="BP6" s="12"/>
      <c r="BQ6" s="12"/>
      <c r="BR6" s="154" t="s">
        <v>230</v>
      </c>
      <c r="BS6" s="366" t="s">
        <v>304</v>
      </c>
      <c r="BT6" s="343"/>
      <c r="BU6" s="366" t="s">
        <v>305</v>
      </c>
      <c r="BV6" s="162"/>
      <c r="BW6" s="162"/>
      <c r="BX6" s="73" t="s">
        <v>134</v>
      </c>
      <c r="BY6" s="73"/>
      <c r="BZ6" s="243"/>
      <c r="CA6" s="373" t="s">
        <v>113</v>
      </c>
      <c r="CB6" s="12"/>
      <c r="CC6" s="362" t="s">
        <v>110</v>
      </c>
      <c r="CD6" s="12" t="s">
        <v>213</v>
      </c>
      <c r="CE6" s="73"/>
      <c r="CF6" s="12" t="s">
        <v>28</v>
      </c>
      <c r="CG6" s="74" t="s">
        <v>28</v>
      </c>
      <c r="DI6" s="7" t="s">
        <v>316</v>
      </c>
      <c r="DV6" s="100"/>
      <c r="DW6" s="100"/>
      <c r="DX6" s="25" t="s">
        <v>319</v>
      </c>
      <c r="DY6" s="7">
        <v>5.55</v>
      </c>
      <c r="FK6" s="55"/>
      <c r="FM6" s="55"/>
      <c r="FS6" s="55"/>
    </row>
    <row r="7" spans="1:183" ht="25.5" customHeight="1" thickBot="1" x14ac:dyDescent="0.3">
      <c r="A7" s="160" t="s">
        <v>14</v>
      </c>
      <c r="B7" s="240" t="s">
        <v>15</v>
      </c>
      <c r="C7" s="161" t="s">
        <v>16</v>
      </c>
      <c r="D7" s="39" t="s">
        <v>17</v>
      </c>
      <c r="E7" s="52" t="s">
        <v>22</v>
      </c>
      <c r="F7" s="151" t="s">
        <v>87</v>
      </c>
      <c r="G7" s="369"/>
      <c r="H7" s="369"/>
      <c r="I7" s="369"/>
      <c r="J7" s="163" t="s">
        <v>19</v>
      </c>
      <c r="K7" s="371"/>
      <c r="L7" s="256" t="s">
        <v>220</v>
      </c>
      <c r="M7" s="39" t="s">
        <v>26</v>
      </c>
      <c r="N7" s="163" t="str">
        <f>$J$7</f>
        <v>cel/mL</v>
      </c>
      <c r="O7" s="76" t="str">
        <f>$J$7</f>
        <v>cel/mL</v>
      </c>
      <c r="P7" s="163"/>
      <c r="Q7" s="163" t="s">
        <v>229</v>
      </c>
      <c r="R7" s="228"/>
      <c r="U7" s="52"/>
      <c r="V7" s="52" t="str">
        <f>$J$7</f>
        <v>cel/mL</v>
      </c>
      <c r="W7" s="39" t="s">
        <v>26</v>
      </c>
      <c r="X7" s="52" t="s">
        <v>20</v>
      </c>
      <c r="Y7" s="76" t="str">
        <f>J7&amp;D7</f>
        <v>cel/mL h</v>
      </c>
      <c r="Z7" s="76" t="str">
        <f>M7&amp;E7</f>
        <v>vel.esp.d</v>
      </c>
      <c r="AA7" s="155" t="s">
        <v>69</v>
      </c>
      <c r="AB7" s="155" t="s">
        <v>70</v>
      </c>
      <c r="AC7" s="155" t="s">
        <v>71</v>
      </c>
      <c r="AD7" s="155" t="s">
        <v>72</v>
      </c>
      <c r="AE7" s="151" t="s">
        <v>92</v>
      </c>
      <c r="AF7" s="151" t="s">
        <v>75</v>
      </c>
      <c r="AG7" s="151" t="s">
        <v>76</v>
      </c>
      <c r="AH7" s="151" t="s">
        <v>73</v>
      </c>
      <c r="AI7" s="12" t="s">
        <v>74</v>
      </c>
      <c r="AJ7" s="12" t="s">
        <v>109</v>
      </c>
      <c r="AK7" s="39" t="s">
        <v>58</v>
      </c>
      <c r="AL7" s="365"/>
      <c r="AM7" s="365"/>
      <c r="AN7" s="365"/>
      <c r="AO7" s="365"/>
      <c r="AP7" s="365"/>
      <c r="AQ7" s="365"/>
      <c r="AR7" s="365"/>
      <c r="AS7" s="365"/>
      <c r="AT7" s="12" t="s">
        <v>83</v>
      </c>
      <c r="AU7" s="12" t="s">
        <v>1</v>
      </c>
      <c r="AV7" s="242" t="s">
        <v>210</v>
      </c>
      <c r="AW7" s="12" t="s">
        <v>25</v>
      </c>
      <c r="AX7" s="12" t="s">
        <v>43</v>
      </c>
      <c r="AY7" s="12" t="s">
        <v>44</v>
      </c>
      <c r="AZ7" s="12" t="s">
        <v>25</v>
      </c>
      <c r="BA7" s="12" t="s">
        <v>47</v>
      </c>
      <c r="BB7" s="12" t="s">
        <v>48</v>
      </c>
      <c r="BC7" s="12" t="s">
        <v>49</v>
      </c>
      <c r="BD7" s="12" t="s">
        <v>13</v>
      </c>
      <c r="BE7" s="39" t="s">
        <v>84</v>
      </c>
      <c r="BF7" s="39" t="s">
        <v>51</v>
      </c>
      <c r="BG7" s="39" t="s">
        <v>85</v>
      </c>
      <c r="BH7" s="156" t="s">
        <v>24</v>
      </c>
      <c r="BI7" s="156"/>
      <c r="BJ7" s="156" t="s">
        <v>315</v>
      </c>
      <c r="BK7" s="156"/>
      <c r="BL7" s="156" t="s">
        <v>333</v>
      </c>
      <c r="BM7" s="156"/>
      <c r="BN7" s="76" t="s">
        <v>24</v>
      </c>
      <c r="BO7" s="76" t="s">
        <v>113</v>
      </c>
      <c r="BP7" s="76" t="s">
        <v>112</v>
      </c>
      <c r="BQ7" s="76" t="s">
        <v>110</v>
      </c>
      <c r="BR7" s="156" t="s">
        <v>24</v>
      </c>
      <c r="BS7" s="367"/>
      <c r="BT7" s="344"/>
      <c r="BU7" s="367"/>
      <c r="BV7" s="340"/>
      <c r="BW7" s="340"/>
      <c r="BX7" s="75" t="s">
        <v>135</v>
      </c>
      <c r="BY7" s="75" t="s">
        <v>31</v>
      </c>
      <c r="BZ7" s="244"/>
      <c r="CA7" s="363"/>
      <c r="CB7" s="76" t="s">
        <v>112</v>
      </c>
      <c r="CC7" s="363"/>
      <c r="CD7" s="76" t="s">
        <v>24</v>
      </c>
      <c r="CE7" s="75"/>
      <c r="CF7" s="39" t="s">
        <v>29</v>
      </c>
      <c r="CG7" s="86" t="s">
        <v>29</v>
      </c>
      <c r="CH7" s="75" t="s">
        <v>31</v>
      </c>
      <c r="CI7" s="79" t="s">
        <v>32</v>
      </c>
      <c r="CJ7" s="100" t="s">
        <v>65</v>
      </c>
      <c r="CK7" s="100" t="s">
        <v>249</v>
      </c>
      <c r="CL7" s="100" t="s">
        <v>255</v>
      </c>
      <c r="CM7" s="100" t="s">
        <v>256</v>
      </c>
      <c r="CN7" s="100" t="s">
        <v>257</v>
      </c>
      <c r="CO7" s="100" t="s">
        <v>252</v>
      </c>
      <c r="CP7" s="100" t="s">
        <v>258</v>
      </c>
      <c r="CQ7" s="100" t="s">
        <v>256</v>
      </c>
      <c r="CR7" s="100" t="s">
        <v>257</v>
      </c>
      <c r="CS7" s="100" t="s">
        <v>300</v>
      </c>
      <c r="CT7" s="100" t="s">
        <v>258</v>
      </c>
      <c r="CU7" s="100" t="s">
        <v>256</v>
      </c>
      <c r="CV7" s="100" t="s">
        <v>257</v>
      </c>
      <c r="CW7" s="128" t="s">
        <v>35</v>
      </c>
      <c r="CX7" s="128" t="s">
        <v>260</v>
      </c>
      <c r="CY7" s="128" t="s">
        <v>256</v>
      </c>
      <c r="CZ7" s="128" t="s">
        <v>257</v>
      </c>
      <c r="DA7" s="100" t="s">
        <v>253</v>
      </c>
      <c r="DB7" s="100" t="s">
        <v>261</v>
      </c>
      <c r="DC7" s="128" t="s">
        <v>256</v>
      </c>
      <c r="DD7" s="128" t="s">
        <v>257</v>
      </c>
      <c r="DE7" s="128" t="s">
        <v>262</v>
      </c>
      <c r="DF7" s="128"/>
      <c r="DG7" s="128"/>
      <c r="DH7" s="128"/>
      <c r="DI7" s="128" t="s">
        <v>254</v>
      </c>
      <c r="DJ7" s="128" t="s">
        <v>259</v>
      </c>
      <c r="DK7" s="100" t="s">
        <v>256</v>
      </c>
      <c r="DL7" s="100" t="s">
        <v>257</v>
      </c>
      <c r="DM7" s="128" t="s">
        <v>318</v>
      </c>
      <c r="DN7" s="128" t="s">
        <v>259</v>
      </c>
      <c r="DO7" s="100" t="s">
        <v>256</v>
      </c>
      <c r="DP7" s="100" t="s">
        <v>257</v>
      </c>
      <c r="DQ7" s="128" t="s">
        <v>317</v>
      </c>
      <c r="DR7" s="128" t="s">
        <v>259</v>
      </c>
      <c r="DS7" s="100" t="s">
        <v>256</v>
      </c>
      <c r="DT7" s="100" t="s">
        <v>257</v>
      </c>
      <c r="DU7" s="100" t="s">
        <v>37</v>
      </c>
      <c r="DV7" s="128" t="s">
        <v>36</v>
      </c>
      <c r="DW7" s="100" t="s">
        <v>63</v>
      </c>
      <c r="DX7" s="139" t="s">
        <v>64</v>
      </c>
    </row>
    <row r="8" spans="1:183" s="56" customFormat="1" ht="13.5" thickBot="1" x14ac:dyDescent="0.25">
      <c r="A8" s="202">
        <v>1</v>
      </c>
      <c r="B8" s="203">
        <v>43621</v>
      </c>
      <c r="C8" s="60">
        <v>0.45833333333333331</v>
      </c>
      <c r="D8" s="140">
        <f t="shared" ref="D8:D14" si="0">(B8+C8-(Inoculo_Fecha+Inoculo_Hora))*24</f>
        <v>0.50000000005820766</v>
      </c>
      <c r="E8" s="140">
        <f t="shared" ref="E8:E13" si="1">D8/24</f>
        <v>2.0833333335758653E-2</v>
      </c>
      <c r="F8" s="280">
        <v>1</v>
      </c>
      <c r="G8" s="61">
        <v>475000</v>
      </c>
      <c r="H8" s="61">
        <v>450000</v>
      </c>
      <c r="I8" s="61"/>
      <c r="J8" s="61">
        <f>AVERAGE(G8:H8)</f>
        <v>462500</v>
      </c>
      <c r="K8" s="61">
        <f>STDEV(G8:H8)</f>
        <v>17677.66952966369</v>
      </c>
      <c r="L8" s="257">
        <f>K8/J8</f>
        <v>3.8221988172245813E-2</v>
      </c>
      <c r="M8" s="141">
        <f t="shared" ref="M8:M16" si="2">F8*J8</f>
        <v>462500</v>
      </c>
      <c r="N8" s="204">
        <v>20000</v>
      </c>
      <c r="O8" s="88">
        <f t="shared" ref="O8:O16" si="3">N8*F8</f>
        <v>20000</v>
      </c>
      <c r="P8" s="250">
        <v>7.33</v>
      </c>
      <c r="Q8" s="250">
        <v>82.5</v>
      </c>
      <c r="R8" s="253">
        <v>0</v>
      </c>
      <c r="S8" s="311"/>
      <c r="T8" s="311" t="e">
        <f>J8/AI8</f>
        <v>#DIV/0!</v>
      </c>
      <c r="U8" s="104" t="e">
        <f>#REF!</f>
        <v>#REF!</v>
      </c>
      <c r="V8" s="142">
        <f t="shared" ref="V8:V14" si="4">J8+N8</f>
        <v>482500</v>
      </c>
      <c r="W8" s="143">
        <f t="shared" ref="W8:W14" si="5">V8*F8</f>
        <v>482500</v>
      </c>
      <c r="X8" s="144">
        <f>J8/V8</f>
        <v>0.95854922279792742</v>
      </c>
      <c r="Y8" s="143">
        <v>0</v>
      </c>
      <c r="Z8" s="142">
        <v>0</v>
      </c>
      <c r="AA8" s="104">
        <v>0</v>
      </c>
      <c r="AB8" s="104">
        <v>0</v>
      </c>
      <c r="AC8" s="104">
        <v>0</v>
      </c>
      <c r="AD8" s="104">
        <v>0</v>
      </c>
      <c r="AE8" s="104">
        <v>0</v>
      </c>
      <c r="AF8" s="104">
        <v>0</v>
      </c>
      <c r="AG8" s="104">
        <v>0</v>
      </c>
      <c r="AH8" s="104">
        <v>0</v>
      </c>
      <c r="AI8" s="104">
        <v>0</v>
      </c>
      <c r="AJ8" s="104">
        <f>AI8/24</f>
        <v>0</v>
      </c>
      <c r="AK8" s="189">
        <v>0</v>
      </c>
      <c r="AL8" s="104">
        <v>0</v>
      </c>
      <c r="AM8" s="104">
        <v>0</v>
      </c>
      <c r="AN8" s="104">
        <v>0</v>
      </c>
      <c r="AO8" s="104">
        <v>0</v>
      </c>
      <c r="AP8" s="104">
        <f>AO8/24</f>
        <v>0</v>
      </c>
      <c r="AQ8" s="104">
        <v>0</v>
      </c>
      <c r="AR8" s="104">
        <v>0</v>
      </c>
      <c r="AS8" s="104">
        <v>0</v>
      </c>
      <c r="AT8" s="104">
        <v>0</v>
      </c>
      <c r="AU8" s="142">
        <f t="shared" ref="AU8:AU16" si="6">M8</f>
        <v>462500</v>
      </c>
      <c r="AV8" s="104">
        <v>0</v>
      </c>
      <c r="AW8" s="104">
        <f t="shared" ref="AW8:AW16" si="7">AO8/24</f>
        <v>0</v>
      </c>
      <c r="AX8" s="27">
        <f t="shared" ref="AX8:AX16" si="8">AV8*AW8*AU8</f>
        <v>0</v>
      </c>
      <c r="AY8" s="104">
        <v>0</v>
      </c>
      <c r="AZ8" s="104">
        <v>0</v>
      </c>
      <c r="BA8" s="104">
        <v>0</v>
      </c>
      <c r="BB8" s="104">
        <v>0</v>
      </c>
      <c r="BC8" s="142">
        <f>AU8+AY8+BB8</f>
        <v>462500</v>
      </c>
      <c r="BD8" s="104">
        <f t="shared" ref="BD8:BD16" si="9">Y8</f>
        <v>0</v>
      </c>
      <c r="BE8" s="104">
        <f>0</f>
        <v>0</v>
      </c>
      <c r="BF8" s="104">
        <v>0</v>
      </c>
      <c r="BG8" s="104">
        <v>0</v>
      </c>
      <c r="BH8" s="193">
        <v>1.7011372499999999</v>
      </c>
      <c r="BI8" s="193"/>
      <c r="BJ8" s="193"/>
      <c r="BK8" s="193"/>
      <c r="BL8" s="193"/>
      <c r="BM8" s="193"/>
      <c r="BN8" s="38">
        <f t="shared" ref="BN8:BN39" si="10">BH8*F8</f>
        <v>1.7011372499999999</v>
      </c>
      <c r="BO8" s="38">
        <f t="shared" ref="BO8:BO39" si="11">BN8*AJ8</f>
        <v>0</v>
      </c>
      <c r="BP8" s="38">
        <v>0</v>
      </c>
      <c r="BQ8" s="27">
        <f>BP8+BN8</f>
        <v>1.7011372499999999</v>
      </c>
      <c r="BR8" s="193">
        <v>1.7011372499999999</v>
      </c>
      <c r="BS8" s="193"/>
      <c r="BT8" s="193"/>
      <c r="BU8" s="193"/>
      <c r="BV8" s="193"/>
      <c r="BW8" s="193"/>
      <c r="BX8" s="35"/>
      <c r="BZ8" s="38">
        <f t="shared" ref="BZ8:BZ39" si="12">BR8</f>
        <v>1.7011372499999999</v>
      </c>
      <c r="CA8" s="38">
        <f t="shared" ref="CA8:CA39" si="13">BZ8*AJ8</f>
        <v>0</v>
      </c>
      <c r="CB8" s="58">
        <v>0</v>
      </c>
      <c r="CC8" s="58">
        <f>CB8+BZ8</f>
        <v>1.7011372499999999</v>
      </c>
      <c r="CD8" s="38">
        <v>1.7011372499999999</v>
      </c>
      <c r="CF8" s="91">
        <v>0</v>
      </c>
      <c r="CG8" s="92">
        <v>0</v>
      </c>
      <c r="CJ8" s="58"/>
      <c r="CK8" s="38">
        <v>20.652556288799097</v>
      </c>
      <c r="CL8" s="38"/>
      <c r="CM8" s="38"/>
      <c r="CN8" s="38"/>
      <c r="CO8" s="38"/>
      <c r="CP8" s="38"/>
      <c r="CQ8" s="38"/>
      <c r="CW8" s="38">
        <v>4.5998230700885614</v>
      </c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V8" s="38">
        <f>DU8/1000</f>
        <v>0</v>
      </c>
      <c r="DX8" s="38">
        <v>4.4760603788098265</v>
      </c>
      <c r="FU8" s="58"/>
      <c r="FW8" s="58"/>
      <c r="FY8" s="59"/>
      <c r="GA8" s="59"/>
    </row>
    <row r="9" spans="1:183" s="56" customFormat="1" ht="15.75" thickBot="1" x14ac:dyDescent="0.25">
      <c r="A9" s="202">
        <v>2</v>
      </c>
      <c r="B9" s="203">
        <v>43622</v>
      </c>
      <c r="C9" s="60">
        <v>0.42708333333333331</v>
      </c>
      <c r="D9" s="87">
        <f t="shared" si="0"/>
        <v>23.750000000058208</v>
      </c>
      <c r="E9" s="87">
        <f>D9/24</f>
        <v>0.98958333333575865</v>
      </c>
      <c r="F9" s="280">
        <v>1</v>
      </c>
      <c r="G9" s="61">
        <v>740000</v>
      </c>
      <c r="H9" s="61">
        <v>890000</v>
      </c>
      <c r="I9" s="61">
        <v>920000</v>
      </c>
      <c r="J9" s="61">
        <f>AVERAGE(G9:I9)</f>
        <v>850000</v>
      </c>
      <c r="K9" s="61">
        <f>STDEV(G9:I9)</f>
        <v>96436.507609929555</v>
      </c>
      <c r="L9" s="257">
        <f t="shared" ref="L9:L16" si="14">K9/J9</f>
        <v>0.11345471483521125</v>
      </c>
      <c r="M9" s="141">
        <f t="shared" si="2"/>
        <v>850000</v>
      </c>
      <c r="N9" s="204">
        <f>AVERAGE(0.03,0.04,0.03)*POWER(10,6)</f>
        <v>33333.333333333336</v>
      </c>
      <c r="O9" s="88">
        <f t="shared" si="3"/>
        <v>33333.333333333336</v>
      </c>
      <c r="P9" s="38">
        <v>7.33</v>
      </c>
      <c r="Q9" s="38">
        <v>39.9</v>
      </c>
      <c r="R9" s="84">
        <f>BG9</f>
        <v>2.6009535893897477E-2</v>
      </c>
      <c r="S9" s="84"/>
      <c r="T9" s="311" t="e">
        <f t="shared" ref="T9:T71" si="15">J9/AI9</f>
        <v>#DIV/0!</v>
      </c>
      <c r="U9" s="84" t="e">
        <f>#REF!</f>
        <v>#REF!</v>
      </c>
      <c r="V9" s="145">
        <f t="shared" si="4"/>
        <v>883333.33333333337</v>
      </c>
      <c r="W9" s="146">
        <f t="shared" si="5"/>
        <v>883333.33333333337</v>
      </c>
      <c r="X9" s="147">
        <f t="shared" ref="X9:X14" si="16">J9/V9</f>
        <v>0.96226415094339623</v>
      </c>
      <c r="Y9" s="148">
        <f>AVERAGE(M9,M8)*(D9-D8)+Y8</f>
        <v>15257812.5</v>
      </c>
      <c r="Z9" s="148">
        <f>AVERAGE(O9,O8)*(D9-D8)+Z8</f>
        <v>620000</v>
      </c>
      <c r="AA9" s="27">
        <v>0</v>
      </c>
      <c r="AB9" s="27">
        <v>0</v>
      </c>
      <c r="AC9" s="27">
        <v>0</v>
      </c>
      <c r="AD9" s="27">
        <v>0</v>
      </c>
      <c r="AE9" s="27">
        <f>E9-E8</f>
        <v>0.96875</v>
      </c>
      <c r="AF9" s="27">
        <f>(AD8+AC8+AA9+AB9)-AA8-AB8</f>
        <v>0</v>
      </c>
      <c r="AG9" s="27">
        <f>AF9+AG8</f>
        <v>0</v>
      </c>
      <c r="AH9" s="27">
        <f t="shared" ref="AH9:AH16" si="17">AF9/AE9</f>
        <v>0</v>
      </c>
      <c r="AI9" s="27">
        <f>AH9/2</f>
        <v>0</v>
      </c>
      <c r="AJ9" s="27">
        <f>AI9/24</f>
        <v>0</v>
      </c>
      <c r="AK9" s="109">
        <f>1/Y9*POWER(10,6)*24</f>
        <v>1.5729646697388633</v>
      </c>
      <c r="AL9" s="27">
        <f>(AA9+AC8)-AA8</f>
        <v>0</v>
      </c>
      <c r="AM9" s="27">
        <f t="shared" ref="AM9:AM16" si="18">AL9+AM8</f>
        <v>0</v>
      </c>
      <c r="AN9" s="27">
        <f t="shared" ref="AN9:AN16" si="19">AL9/AE9</f>
        <v>0</v>
      </c>
      <c r="AO9" s="27">
        <f>AN9/2</f>
        <v>0</v>
      </c>
      <c r="AP9" s="27">
        <f>AO9/24</f>
        <v>0</v>
      </c>
      <c r="AQ9" s="27">
        <f t="shared" ref="AQ9:AQ16" si="20">(AB9+AD8)-AB8</f>
        <v>0</v>
      </c>
      <c r="AR9" s="27">
        <f>AQ9+AR8</f>
        <v>0</v>
      </c>
      <c r="AS9" s="27">
        <f t="shared" ref="AS9:AS16" si="21">AQ9/AE9</f>
        <v>0</v>
      </c>
      <c r="AT9" s="27">
        <f>AS9/2</f>
        <v>0</v>
      </c>
      <c r="AU9" s="145">
        <f t="shared" si="6"/>
        <v>850000</v>
      </c>
      <c r="AV9" s="27">
        <v>0</v>
      </c>
      <c r="AW9" s="27">
        <f t="shared" si="7"/>
        <v>0</v>
      </c>
      <c r="AX9" s="145">
        <f t="shared" si="8"/>
        <v>0</v>
      </c>
      <c r="AY9" s="145">
        <f t="shared" ref="AY9:AY16" si="22">AVERAGE(AX9,AX8)*(D9-D8)+AY8</f>
        <v>0</v>
      </c>
      <c r="AZ9" s="27">
        <f>AT9/24</f>
        <v>0</v>
      </c>
      <c r="BA9" s="145">
        <f t="shared" ref="BA9:BA16" si="23">AZ9*AU9</f>
        <v>0</v>
      </c>
      <c r="BB9" s="145">
        <f t="shared" ref="BB9:BB16" si="24">AVERAGE(BA9,BA8)*(D9-D8)+BB8</f>
        <v>0</v>
      </c>
      <c r="BC9" s="145">
        <f>AU9+AY9+BB9</f>
        <v>850000</v>
      </c>
      <c r="BD9" s="145">
        <f t="shared" si="9"/>
        <v>15257812.5</v>
      </c>
      <c r="BE9" s="84">
        <f>(BC9-BC8)/(BD9-BD8)</f>
        <v>2.5396825396825397E-2</v>
      </c>
      <c r="BF9" s="84">
        <f t="shared" ref="BF9:BF16" si="25">(W9-W8)/(((W9+W8)/2)*(D9-D8))+AZ9+(AW9*AV9)</f>
        <v>2.5244871315449363E-2</v>
      </c>
      <c r="BG9" s="84">
        <f t="shared" ref="BG9:BG16" si="26">((LN(W9)-LN(W8))/(D9-D8))+AZ9+(AW9*AV9)</f>
        <v>2.6009535893897477E-2</v>
      </c>
      <c r="BH9" s="193">
        <f t="shared" ref="BH9:BH16" si="27">BR9</f>
        <v>4.5199999999999996</v>
      </c>
      <c r="BI9" s="193"/>
      <c r="BJ9" s="193"/>
      <c r="BK9" s="193"/>
      <c r="BL9" s="193"/>
      <c r="BM9" s="193"/>
      <c r="BN9" s="38">
        <f t="shared" si="10"/>
        <v>4.5199999999999996</v>
      </c>
      <c r="BO9" s="38">
        <f t="shared" si="11"/>
        <v>0</v>
      </c>
      <c r="BP9" s="38">
        <f t="shared" ref="BP9:BP40" si="28">AVERAGE(BO8:BO9)*(D9-D8)+BP8</f>
        <v>0</v>
      </c>
      <c r="BQ9" s="27">
        <f t="shared" ref="BQ9:BQ16" si="29">BP9+BN9</f>
        <v>4.5199999999999996</v>
      </c>
      <c r="BR9" s="234">
        <v>4.5199999999999996</v>
      </c>
      <c r="BS9" s="341"/>
      <c r="BT9" s="341"/>
      <c r="BU9" s="341"/>
      <c r="BV9" s="341"/>
      <c r="BW9" s="341"/>
      <c r="BX9" s="27">
        <f t="shared" ref="BX9:BX40" si="30">(AVERAGE(BH8:BH9)*AF9/1000)+BX8</f>
        <v>0</v>
      </c>
      <c r="BZ9" s="38">
        <f t="shared" si="12"/>
        <v>4.5199999999999996</v>
      </c>
      <c r="CA9" s="38">
        <f t="shared" si="13"/>
        <v>0</v>
      </c>
      <c r="CB9" s="224">
        <f t="shared" ref="CB9:CB40" si="31">AVERAGE(CA8:CA9)*(D9-D8)+CB8</f>
        <v>0</v>
      </c>
      <c r="CC9" s="58">
        <f t="shared" ref="CC9:CC16" si="32">CB9+BZ9</f>
        <v>4.5199999999999996</v>
      </c>
      <c r="CD9" s="38">
        <v>17.34</v>
      </c>
      <c r="CF9" s="80">
        <f t="shared" ref="CF9:CF40" si="33">AVERAGE(N9,N8)*(D9-D8)+CF8</f>
        <v>620000</v>
      </c>
      <c r="CG9" s="80">
        <f t="shared" ref="CG9:CG40" si="34">AVERAGE(N9,N8)*(D9-D8)+CG8</f>
        <v>620000</v>
      </c>
      <c r="CJ9" s="58"/>
      <c r="CK9" s="38">
        <v>17.810778340981585</v>
      </c>
      <c r="CL9" s="38"/>
      <c r="CM9" s="38"/>
      <c r="CN9" s="38"/>
      <c r="CO9" s="38">
        <f t="shared" ref="CO9:CO40" si="35">((((CK9-CK8)/(D9-D8))-($CP$5*AJ9)+(AJ9*(CK9+CK8)/2))/((J9+J8)/2))*POWER(10,9)</f>
        <v>-186.25067963166489</v>
      </c>
      <c r="CP9" s="37"/>
      <c r="CQ9" s="37"/>
      <c r="CS9" s="58">
        <f t="shared" ref="CS9:CS40" si="36">(((CK9-CK8)+(AJ9*((CK9+CK8)/2)*(D9-D8))-($CP$5*(D9-D8)*AJ9))/(((J9+J8)/2)*(D9-D8)))*POWER(10,9)</f>
        <v>-186.25067963166489</v>
      </c>
      <c r="CT9" s="58"/>
      <c r="CU9" s="58"/>
      <c r="CV9" s="58"/>
      <c r="CW9" s="38">
        <v>6.8887208576590222</v>
      </c>
      <c r="CX9" s="38"/>
      <c r="CY9" s="38"/>
      <c r="CZ9" s="38"/>
      <c r="DA9" s="38">
        <f t="shared" ref="DA9:DA40" si="37">(((CW9-CW8)+(AP9*((CW8+CW9)/2)*(D9-D8)))/(((J9+J8)/2)*(D9-D8)))*POWER(10,9)</f>
        <v>150.01480635382438</v>
      </c>
      <c r="DB9" s="38"/>
      <c r="DC9" s="38"/>
      <c r="DD9" s="38"/>
      <c r="DE9" s="38">
        <f t="shared" ref="DE9:DE40" si="38">((((CW9-CW8)/(D9-D8))+(AJ9*((CW9+CW8)/2)))/((J9+J8)/2))*POWER(10,9)</f>
        <v>150.01480635382435</v>
      </c>
      <c r="DF9" s="38"/>
      <c r="DG9" s="38"/>
      <c r="DH9" s="38"/>
      <c r="DI9" s="38">
        <f t="shared" ref="DI9:DI40" si="39">CW9/(CK9-$CP$5)</f>
        <v>-1.1130189282559231</v>
      </c>
      <c r="DJ9" s="38"/>
      <c r="DK9" s="38"/>
      <c r="DL9" s="38"/>
      <c r="DM9" s="351">
        <f>(-(J9/(CK9-$CP$5))/POWER(10,6))</f>
        <v>0.13733552404953073</v>
      </c>
      <c r="DN9" s="38"/>
      <c r="DO9" s="38"/>
      <c r="DP9" s="38"/>
      <c r="DQ9" s="352">
        <f>(-(J9/(DX9-$DY$6)))/POWER(10,6)</f>
        <v>0.38946450155839402</v>
      </c>
      <c r="DR9" s="38"/>
      <c r="DS9" s="38"/>
      <c r="DT9" s="38"/>
      <c r="DV9" s="38">
        <f t="shared" ref="DV9:DV16" si="40">DU9/1000</f>
        <v>0</v>
      </c>
      <c r="DX9" s="38">
        <v>3.3675161109707554</v>
      </c>
      <c r="FK9" s="59"/>
      <c r="FM9" s="59"/>
      <c r="FO9" s="59"/>
      <c r="FQ9" s="59"/>
      <c r="FS9" s="59"/>
      <c r="FU9" s="58"/>
      <c r="FW9" s="58"/>
      <c r="FY9" s="59"/>
      <c r="GA9" s="59"/>
    </row>
    <row r="10" spans="1:183" s="56" customFormat="1" ht="15.75" thickBot="1" x14ac:dyDescent="0.25">
      <c r="A10" s="202">
        <v>3</v>
      </c>
      <c r="B10" s="203">
        <v>43623</v>
      </c>
      <c r="C10" s="60">
        <v>0.3888888888888889</v>
      </c>
      <c r="D10" s="87">
        <f t="shared" si="0"/>
        <v>46.833333333372138</v>
      </c>
      <c r="E10" s="87">
        <f t="shared" si="1"/>
        <v>1.9513888888905058</v>
      </c>
      <c r="F10" s="116">
        <v>1</v>
      </c>
      <c r="G10" s="258">
        <v>1630000</v>
      </c>
      <c r="H10" s="258">
        <v>1960000</v>
      </c>
      <c r="I10" s="258">
        <v>1670000</v>
      </c>
      <c r="J10" s="61">
        <f>AVERAGE(G10:I10)</f>
        <v>1753333.3333333333</v>
      </c>
      <c r="K10" s="61">
        <f>STDEV(G10:I10)</f>
        <v>180092.568789868</v>
      </c>
      <c r="L10" s="257">
        <f t="shared" si="14"/>
        <v>0.10271439284593233</v>
      </c>
      <c r="M10" s="118">
        <f t="shared" si="2"/>
        <v>1753333.3333333333</v>
      </c>
      <c r="N10" s="248">
        <v>47000</v>
      </c>
      <c r="O10" s="88">
        <f t="shared" si="3"/>
        <v>47000</v>
      </c>
      <c r="P10" s="250">
        <v>6.99</v>
      </c>
      <c r="Q10" s="250">
        <v>43.6</v>
      </c>
      <c r="R10" s="84">
        <f t="shared" ref="R10:R16" si="41">BG10</f>
        <v>3.0845825918262307E-2</v>
      </c>
      <c r="S10" s="84"/>
      <c r="T10" s="311" t="e">
        <f t="shared" si="15"/>
        <v>#DIV/0!</v>
      </c>
      <c r="U10" s="84" t="e">
        <f>#REF!</f>
        <v>#REF!</v>
      </c>
      <c r="V10" s="63">
        <f t="shared" si="4"/>
        <v>1800333.3333333333</v>
      </c>
      <c r="W10" s="89">
        <f t="shared" si="5"/>
        <v>1800333.3333333333</v>
      </c>
      <c r="X10" s="90">
        <f t="shared" si="16"/>
        <v>0.97389372338455837</v>
      </c>
      <c r="Y10" s="148">
        <f t="shared" ref="Y10:Y16" si="42">AVERAGE(M10,M9)*(D10-D9)+Y9</f>
        <v>45304618.055530295</v>
      </c>
      <c r="Z10" s="148">
        <f t="shared" ref="Z10:Z16" si="43">AVERAGE(O10,O9)*(D10-D9)+Z9</f>
        <v>1547180.5555547765</v>
      </c>
      <c r="AA10" s="27">
        <v>0</v>
      </c>
      <c r="AB10" s="27">
        <v>0</v>
      </c>
      <c r="AC10" s="27">
        <v>0</v>
      </c>
      <c r="AD10" s="27">
        <v>0</v>
      </c>
      <c r="AE10" s="27">
        <f t="shared" ref="AE10:AE16" si="44">E10-E9</f>
        <v>0.96180555555474712</v>
      </c>
      <c r="AF10" s="27">
        <f t="shared" ref="AF10:AF16" si="45">(AD9+AC9+AA10+AB10)-AA9-AB9</f>
        <v>0</v>
      </c>
      <c r="AG10" s="27">
        <f t="shared" ref="AG10:AG16" si="46">AF10+AG9</f>
        <v>0</v>
      </c>
      <c r="AH10" s="27">
        <f t="shared" si="17"/>
        <v>0</v>
      </c>
      <c r="AI10" s="27">
        <f t="shared" ref="AI10:AI16" si="47">AH10/2</f>
        <v>0</v>
      </c>
      <c r="AJ10" s="27">
        <f t="shared" ref="AJ10:AJ16" si="48">AI10/24</f>
        <v>0</v>
      </c>
      <c r="AK10" s="109">
        <f>1/Y10*POWER(10,6)*24</f>
        <v>0.52974732003220903</v>
      </c>
      <c r="AL10" s="27">
        <f>(AA10+AC9)-AA9</f>
        <v>0</v>
      </c>
      <c r="AM10" s="27">
        <f t="shared" si="18"/>
        <v>0</v>
      </c>
      <c r="AN10" s="27">
        <f t="shared" si="19"/>
        <v>0</v>
      </c>
      <c r="AO10" s="27">
        <f t="shared" ref="AO10:AO16" si="49">AN10/2</f>
        <v>0</v>
      </c>
      <c r="AP10" s="27">
        <f t="shared" ref="AP10:AP16" si="50">AO10/24</f>
        <v>0</v>
      </c>
      <c r="AQ10" s="27">
        <f t="shared" si="20"/>
        <v>0</v>
      </c>
      <c r="AR10" s="27">
        <f t="shared" ref="AR10:AR16" si="51">AQ10+AR9</f>
        <v>0</v>
      </c>
      <c r="AS10" s="27">
        <f t="shared" si="21"/>
        <v>0</v>
      </c>
      <c r="AT10" s="27">
        <f t="shared" ref="AT10:AT16" si="52">AS10/2</f>
        <v>0</v>
      </c>
      <c r="AU10" s="145">
        <f t="shared" si="6"/>
        <v>1753333.3333333333</v>
      </c>
      <c r="AV10" s="27">
        <v>0.1</v>
      </c>
      <c r="AW10" s="27">
        <f t="shared" si="7"/>
        <v>0</v>
      </c>
      <c r="AX10" s="145">
        <f t="shared" si="8"/>
        <v>0</v>
      </c>
      <c r="AY10" s="145">
        <f t="shared" si="22"/>
        <v>0</v>
      </c>
      <c r="AZ10" s="27">
        <f t="shared" ref="AZ10:AZ16" si="53">AT10/24</f>
        <v>0</v>
      </c>
      <c r="BA10" s="145">
        <f t="shared" si="23"/>
        <v>0</v>
      </c>
      <c r="BB10" s="145">
        <f t="shared" si="24"/>
        <v>0</v>
      </c>
      <c r="BC10" s="145">
        <f t="shared" ref="BC10:BC16" si="54">AU10+AY10+BB10</f>
        <v>1753333.3333333333</v>
      </c>
      <c r="BD10" s="145">
        <f t="shared" si="9"/>
        <v>45304618.055530295</v>
      </c>
      <c r="BE10" s="84">
        <f t="shared" ref="BE10:BE16" si="55">(BC10-BC9)/(BD10-BD9)</f>
        <v>3.0064205383293043E-2</v>
      </c>
      <c r="BF10" s="84">
        <f t="shared" si="25"/>
        <v>2.9605488835414077E-2</v>
      </c>
      <c r="BG10" s="84">
        <f t="shared" si="26"/>
        <v>3.0845825918262307E-2</v>
      </c>
      <c r="BH10" s="193">
        <f t="shared" si="27"/>
        <v>11.36</v>
      </c>
      <c r="BI10" s="193"/>
      <c r="BJ10" s="193"/>
      <c r="BK10" s="193"/>
      <c r="BL10" s="193"/>
      <c r="BM10" s="193"/>
      <c r="BN10" s="38">
        <f t="shared" si="10"/>
        <v>11.36</v>
      </c>
      <c r="BO10" s="38">
        <f t="shared" si="11"/>
        <v>0</v>
      </c>
      <c r="BP10" s="38">
        <f t="shared" si="28"/>
        <v>0</v>
      </c>
      <c r="BQ10" s="27">
        <f t="shared" si="29"/>
        <v>11.36</v>
      </c>
      <c r="BR10" s="234">
        <v>11.36</v>
      </c>
      <c r="BS10" s="341"/>
      <c r="BT10" s="341"/>
      <c r="BU10" s="341"/>
      <c r="BV10" s="341"/>
      <c r="BW10" s="341"/>
      <c r="BX10" s="27">
        <f t="shared" si="30"/>
        <v>0</v>
      </c>
      <c r="BY10" s="62"/>
      <c r="BZ10" s="38">
        <f t="shared" si="12"/>
        <v>11.36</v>
      </c>
      <c r="CA10" s="38">
        <f t="shared" si="13"/>
        <v>0</v>
      </c>
      <c r="CB10" s="224">
        <f t="shared" si="31"/>
        <v>0</v>
      </c>
      <c r="CC10" s="58">
        <f t="shared" si="32"/>
        <v>11.36</v>
      </c>
      <c r="CD10" s="38">
        <v>27.16</v>
      </c>
      <c r="CF10" s="80">
        <f t="shared" si="33"/>
        <v>1547180.5555547765</v>
      </c>
      <c r="CG10" s="77">
        <f t="shared" si="34"/>
        <v>1547180.5555547765</v>
      </c>
      <c r="CH10" s="62"/>
      <c r="CI10" s="93"/>
      <c r="CJ10" s="58"/>
      <c r="CK10" s="38">
        <v>16.273279905897855</v>
      </c>
      <c r="CL10" s="38"/>
      <c r="CM10" s="38"/>
      <c r="CN10" s="38"/>
      <c r="CO10" s="38">
        <f t="shared" si="35"/>
        <v>-51.170112983965588</v>
      </c>
      <c r="CP10" s="37"/>
      <c r="CQ10" s="37"/>
      <c r="CS10" s="58">
        <f t="shared" si="36"/>
        <v>-51.170112983965595</v>
      </c>
      <c r="CT10" s="58"/>
      <c r="CU10" s="58"/>
      <c r="CV10" s="58"/>
      <c r="CW10" s="38">
        <v>10.697823140796372</v>
      </c>
      <c r="CX10" s="38"/>
      <c r="CY10" s="38"/>
      <c r="CZ10" s="38"/>
      <c r="DA10" s="38">
        <f t="shared" si="37"/>
        <v>126.77228785927498</v>
      </c>
      <c r="DB10" s="38"/>
      <c r="DC10" s="38"/>
      <c r="DD10" s="38"/>
      <c r="DE10" s="38">
        <f t="shared" si="38"/>
        <v>126.77228785927498</v>
      </c>
      <c r="DF10" s="38"/>
      <c r="DG10" s="38"/>
      <c r="DH10" s="38"/>
      <c r="DI10" s="38">
        <f t="shared" si="39"/>
        <v>-1.3845231884305074</v>
      </c>
      <c r="DJ10" s="38"/>
      <c r="DK10" s="38"/>
      <c r="DL10" s="38"/>
      <c r="DM10" s="351">
        <f t="shared" ref="DM10:DM20" si="56">(-(J10/(CK10-$CP$5))/POWER(10,6))</f>
        <v>0.22691818934552371</v>
      </c>
      <c r="DN10" s="38"/>
      <c r="DO10" s="38"/>
      <c r="DP10" s="38"/>
      <c r="DQ10" s="352">
        <f>(-(J10/(DX10-$DY$6)))/POWER(10,6)</f>
        <v>0.73520484487591597</v>
      </c>
      <c r="DR10" s="38"/>
      <c r="DS10" s="38"/>
      <c r="DT10" s="38"/>
      <c r="DV10" s="38">
        <f t="shared" si="40"/>
        <v>0</v>
      </c>
      <c r="DX10" s="38">
        <v>3.1651771230108641</v>
      </c>
      <c r="FK10" s="59"/>
      <c r="FM10" s="59"/>
      <c r="FO10" s="59"/>
      <c r="FQ10" s="59"/>
      <c r="FS10" s="59"/>
      <c r="FU10" s="58"/>
      <c r="FW10" s="58"/>
      <c r="FY10" s="59"/>
      <c r="GA10" s="59"/>
    </row>
    <row r="11" spans="1:183" s="56" customFormat="1" ht="15.75" thickBot="1" x14ac:dyDescent="0.25">
      <c r="A11" s="202">
        <v>4</v>
      </c>
      <c r="B11" s="203">
        <v>43624</v>
      </c>
      <c r="C11" s="60">
        <v>0.33680555555555558</v>
      </c>
      <c r="D11" s="87">
        <f t="shared" si="0"/>
        <v>69.583333333313931</v>
      </c>
      <c r="E11" s="87">
        <f t="shared" si="1"/>
        <v>2.8993055555547471</v>
      </c>
      <c r="F11" s="281">
        <f>2.8/2</f>
        <v>1.4</v>
      </c>
      <c r="G11" s="258">
        <v>2270000</v>
      </c>
      <c r="H11" s="258">
        <v>1960000</v>
      </c>
      <c r="I11" s="258">
        <v>2180000</v>
      </c>
      <c r="J11" s="61">
        <f>AVERAGE(G11:I11)</f>
        <v>2136666.6666666665</v>
      </c>
      <c r="K11" s="61">
        <f>STDEV(G11:I11)</f>
        <v>159478.31618540914</v>
      </c>
      <c r="L11" s="257">
        <f t="shared" si="14"/>
        <v>7.463883752827262E-2</v>
      </c>
      <c r="M11" s="118">
        <f t="shared" si="2"/>
        <v>2991333.333333333</v>
      </c>
      <c r="N11" s="248">
        <v>47000</v>
      </c>
      <c r="O11" s="88">
        <f t="shared" si="3"/>
        <v>65800</v>
      </c>
      <c r="P11" s="250">
        <v>7</v>
      </c>
      <c r="Q11" s="250">
        <v>39.799999999999997</v>
      </c>
      <c r="R11" s="84">
        <f t="shared" si="41"/>
        <v>2.452772856095059E-2</v>
      </c>
      <c r="S11" s="84"/>
      <c r="T11" s="311">
        <f t="shared" si="15"/>
        <v>7106603.3138219733</v>
      </c>
      <c r="U11" s="84" t="e">
        <f>#REF!</f>
        <v>#REF!</v>
      </c>
      <c r="V11" s="63">
        <f t="shared" si="4"/>
        <v>2183666.6666666665</v>
      </c>
      <c r="W11" s="89">
        <f t="shared" si="5"/>
        <v>3057133.333333333</v>
      </c>
      <c r="X11" s="90">
        <f>J11/V11</f>
        <v>0.97847656846283015</v>
      </c>
      <c r="Y11" s="61">
        <f t="shared" si="42"/>
        <v>99275201.388725534</v>
      </c>
      <c r="Z11" s="148">
        <f t="shared" si="43"/>
        <v>2830280.5555514935</v>
      </c>
      <c r="AA11" s="27">
        <v>0.56999999999999995</v>
      </c>
      <c r="AB11" s="27">
        <v>0</v>
      </c>
      <c r="AC11" s="27">
        <v>0</v>
      </c>
      <c r="AD11" s="27">
        <v>0</v>
      </c>
      <c r="AE11" s="27">
        <f t="shared" si="44"/>
        <v>0.94791666666424135</v>
      </c>
      <c r="AF11" s="27">
        <f>(AD10+AC10+AA11+AB11)-AA10-AB10</f>
        <v>0.56999999999999995</v>
      </c>
      <c r="AG11" s="27">
        <f t="shared" si="46"/>
        <v>0.56999999999999995</v>
      </c>
      <c r="AH11" s="27">
        <f t="shared" si="17"/>
        <v>0.60131868132021982</v>
      </c>
      <c r="AI11" s="27">
        <f t="shared" si="47"/>
        <v>0.30065934066010991</v>
      </c>
      <c r="AJ11" s="27">
        <f t="shared" si="48"/>
        <v>1.252747252750458E-2</v>
      </c>
      <c r="AK11" s="109">
        <f t="shared" ref="AK11:AK16" si="57">AI11*1000000/M11</f>
        <v>0.10051014285495094</v>
      </c>
      <c r="AL11" s="27">
        <f t="shared" ref="AL11:AL16" si="58">(AA11+AC10)-AA10</f>
        <v>0.56999999999999995</v>
      </c>
      <c r="AM11" s="27">
        <f t="shared" si="18"/>
        <v>0.56999999999999995</v>
      </c>
      <c r="AN11" s="27">
        <f t="shared" si="19"/>
        <v>0.60131868132021982</v>
      </c>
      <c r="AO11" s="27">
        <f t="shared" si="49"/>
        <v>0.30065934066010991</v>
      </c>
      <c r="AP11" s="27">
        <f t="shared" si="50"/>
        <v>1.252747252750458E-2</v>
      </c>
      <c r="AQ11" s="27">
        <f t="shared" si="20"/>
        <v>0</v>
      </c>
      <c r="AR11" s="27">
        <f t="shared" si="51"/>
        <v>0</v>
      </c>
      <c r="AS11" s="27">
        <f t="shared" si="21"/>
        <v>0</v>
      </c>
      <c r="AT11" s="27">
        <f t="shared" si="52"/>
        <v>0</v>
      </c>
      <c r="AU11" s="145">
        <f t="shared" si="6"/>
        <v>2991333.333333333</v>
      </c>
      <c r="AV11" s="27">
        <v>0.1</v>
      </c>
      <c r="AW11" s="27">
        <f t="shared" si="7"/>
        <v>1.252747252750458E-2</v>
      </c>
      <c r="AX11" s="145">
        <f t="shared" si="8"/>
        <v>3747.3846153942027</v>
      </c>
      <c r="AY11" s="145">
        <f t="shared" si="22"/>
        <v>42626.499999999993</v>
      </c>
      <c r="AZ11" s="27">
        <f t="shared" si="53"/>
        <v>0</v>
      </c>
      <c r="BA11" s="145">
        <f t="shared" si="23"/>
        <v>0</v>
      </c>
      <c r="BB11" s="145">
        <f t="shared" si="24"/>
        <v>0</v>
      </c>
      <c r="BC11" s="145">
        <f t="shared" si="54"/>
        <v>3033959.833333333</v>
      </c>
      <c r="BD11" s="145">
        <f t="shared" si="9"/>
        <v>99275201.388725534</v>
      </c>
      <c r="BE11" s="84">
        <f t="shared" si="55"/>
        <v>2.3728231583006357E-2</v>
      </c>
      <c r="BF11" s="84">
        <f t="shared" si="25"/>
        <v>2.3998742165365013E-2</v>
      </c>
      <c r="BG11" s="84">
        <f t="shared" si="26"/>
        <v>2.452772856095059E-2</v>
      </c>
      <c r="BH11" s="193">
        <f t="shared" si="27"/>
        <v>12.864999999999998</v>
      </c>
      <c r="BI11" s="193"/>
      <c r="BJ11" s="193"/>
      <c r="BK11" s="193"/>
      <c r="BL11" s="193"/>
      <c r="BM11" s="193"/>
      <c r="BN11" s="38">
        <f t="shared" si="10"/>
        <v>18.010999999999996</v>
      </c>
      <c r="BO11" s="38">
        <f t="shared" si="11"/>
        <v>0.22563230769288492</v>
      </c>
      <c r="BP11" s="38">
        <f t="shared" si="28"/>
        <v>2.5665674999999992</v>
      </c>
      <c r="BQ11" s="27">
        <f t="shared" si="29"/>
        <v>20.577567499999994</v>
      </c>
      <c r="BR11" s="234">
        <f>AVERAGE(BR10,BR12)</f>
        <v>12.864999999999998</v>
      </c>
      <c r="BS11" s="341"/>
      <c r="BT11" s="341"/>
      <c r="BU11" s="341"/>
      <c r="BV11" s="341"/>
      <c r="BW11" s="341"/>
      <c r="BX11" s="27">
        <f t="shared" si="30"/>
        <v>6.9041249999999988E-3</v>
      </c>
      <c r="BY11" s="62"/>
      <c r="BZ11" s="38">
        <f t="shared" si="12"/>
        <v>12.864999999999998</v>
      </c>
      <c r="CA11" s="38">
        <f t="shared" si="13"/>
        <v>0.16116593406634638</v>
      </c>
      <c r="CB11" s="245">
        <f t="shared" si="31"/>
        <v>1.8332624999999996</v>
      </c>
      <c r="CC11" s="58">
        <f t="shared" si="32"/>
        <v>14.698262499999998</v>
      </c>
      <c r="CD11" s="38">
        <v>34.99</v>
      </c>
      <c r="CF11" s="80">
        <f t="shared" si="33"/>
        <v>2616430.5555520407</v>
      </c>
      <c r="CG11" s="77">
        <f t="shared" si="34"/>
        <v>2616430.5555520407</v>
      </c>
      <c r="CH11" s="62"/>
      <c r="CI11" s="93"/>
      <c r="CJ11" s="58"/>
      <c r="CK11" s="38">
        <v>18.342880549639567</v>
      </c>
      <c r="CL11" s="38"/>
      <c r="CM11" s="38"/>
      <c r="CN11" s="38"/>
      <c r="CO11" s="38">
        <f t="shared" si="35"/>
        <v>3.6702394679219323</v>
      </c>
      <c r="CP11" s="37"/>
      <c r="CQ11" s="37"/>
      <c r="CS11" s="58">
        <f t="shared" si="36"/>
        <v>3.6702394679219328</v>
      </c>
      <c r="CT11" s="58"/>
      <c r="CU11" s="58"/>
      <c r="CV11" s="58"/>
      <c r="CW11" s="38">
        <v>14.053780602914999</v>
      </c>
      <c r="CX11" s="38"/>
      <c r="CY11" s="38"/>
      <c r="CZ11" s="38"/>
      <c r="DA11" s="38">
        <f t="shared" si="37"/>
        <v>155.55379520585572</v>
      </c>
      <c r="DB11" s="38"/>
      <c r="DC11" s="38"/>
      <c r="DD11" s="38"/>
      <c r="DE11" s="38">
        <f t="shared" si="38"/>
        <v>155.55379520585572</v>
      </c>
      <c r="DF11" s="38"/>
      <c r="DG11" s="38"/>
      <c r="DH11" s="38"/>
      <c r="DI11" s="38">
        <f t="shared" si="39"/>
        <v>-2.4842644257793758</v>
      </c>
      <c r="DJ11" s="38"/>
      <c r="DK11" s="38"/>
      <c r="DL11" s="38"/>
      <c r="DM11" s="351">
        <f t="shared" si="56"/>
        <v>0.37769516543097431</v>
      </c>
      <c r="DN11" s="38"/>
      <c r="DO11" s="38"/>
      <c r="DP11" s="38"/>
      <c r="DQ11" s="352">
        <f>(-(J11/(DX11-$DY$6)))/POWER(10,6)</f>
        <v>0.92353009520463059</v>
      </c>
      <c r="DR11" s="38"/>
      <c r="DS11" s="38"/>
      <c r="DT11" s="38"/>
      <c r="DV11" s="38">
        <f t="shared" si="40"/>
        <v>0</v>
      </c>
      <c r="DX11" s="38">
        <v>3.2364136017210829</v>
      </c>
      <c r="FK11" s="59"/>
      <c r="FM11" s="59"/>
      <c r="FO11" s="59"/>
      <c r="FQ11" s="59"/>
      <c r="FS11" s="64"/>
      <c r="FU11" s="58"/>
      <c r="FW11" s="58"/>
      <c r="FY11" s="59"/>
      <c r="GA11" s="59"/>
    </row>
    <row r="12" spans="1:183" s="56" customFormat="1" ht="15.75" thickBot="1" x14ac:dyDescent="0.25">
      <c r="A12" s="202">
        <v>5</v>
      </c>
      <c r="B12" s="203">
        <v>43625</v>
      </c>
      <c r="C12" s="60">
        <v>0.33333333333333331</v>
      </c>
      <c r="D12" s="87">
        <f t="shared" si="0"/>
        <v>93.500000000058208</v>
      </c>
      <c r="E12" s="87">
        <f t="shared" si="1"/>
        <v>3.8958333333357587</v>
      </c>
      <c r="F12" s="116">
        <v>1</v>
      </c>
      <c r="G12" s="258">
        <v>3480000</v>
      </c>
      <c r="H12" s="258">
        <v>3060000</v>
      </c>
      <c r="I12" s="258"/>
      <c r="J12" s="299">
        <f>AVERAGE(G12:H12)</f>
        <v>3270000</v>
      </c>
      <c r="K12" s="61">
        <f>STDEV(G12:H12)</f>
        <v>296984.84809834993</v>
      </c>
      <c r="L12" s="257">
        <f>K12/J12</f>
        <v>9.08210544643272E-2</v>
      </c>
      <c r="M12" s="247">
        <f t="shared" si="2"/>
        <v>3270000</v>
      </c>
      <c r="N12" s="204">
        <v>25000</v>
      </c>
      <c r="O12" s="249">
        <f t="shared" si="3"/>
        <v>25000</v>
      </c>
      <c r="P12" s="38">
        <v>6.97</v>
      </c>
      <c r="Q12" s="38">
        <v>43.5</v>
      </c>
      <c r="R12" s="84">
        <f t="shared" si="41"/>
        <v>1.1411645027905658E-2</v>
      </c>
      <c r="S12" s="109">
        <f>R12*24</f>
        <v>0.27387948066973578</v>
      </c>
      <c r="T12" s="311">
        <f t="shared" si="15"/>
        <v>7406013.2575997896</v>
      </c>
      <c r="U12" s="84" t="e">
        <f>#REF!</f>
        <v>#REF!</v>
      </c>
      <c r="V12" s="63">
        <f t="shared" si="4"/>
        <v>3295000</v>
      </c>
      <c r="W12" s="89">
        <f t="shared" si="5"/>
        <v>3295000</v>
      </c>
      <c r="X12" s="90">
        <f t="shared" si="16"/>
        <v>0.99241274658573597</v>
      </c>
      <c r="Y12" s="61">
        <f t="shared" si="42"/>
        <v>174150312.50007963</v>
      </c>
      <c r="Z12" s="148">
        <f t="shared" si="43"/>
        <v>3916097.2222216837</v>
      </c>
      <c r="AA12" s="27">
        <v>1.45</v>
      </c>
      <c r="AB12" s="27">
        <v>0</v>
      </c>
      <c r="AC12" s="27">
        <v>0</v>
      </c>
      <c r="AD12" s="27">
        <v>0</v>
      </c>
      <c r="AE12" s="27">
        <f t="shared" si="44"/>
        <v>0.99652777778101154</v>
      </c>
      <c r="AF12" s="27">
        <f t="shared" si="45"/>
        <v>0.88</v>
      </c>
      <c r="AG12" s="27">
        <f t="shared" si="46"/>
        <v>1.45</v>
      </c>
      <c r="AH12" s="27">
        <f t="shared" si="17"/>
        <v>0.88306620208772679</v>
      </c>
      <c r="AI12" s="27">
        <f t="shared" si="47"/>
        <v>0.4415331010438634</v>
      </c>
      <c r="AJ12" s="27">
        <f t="shared" si="48"/>
        <v>1.8397212543494308E-2</v>
      </c>
      <c r="AK12" s="109">
        <f t="shared" si="57"/>
        <v>0.13502541316326097</v>
      </c>
      <c r="AL12" s="27">
        <f t="shared" si="58"/>
        <v>0.88</v>
      </c>
      <c r="AM12" s="27">
        <f t="shared" si="18"/>
        <v>1.45</v>
      </c>
      <c r="AN12" s="27">
        <f t="shared" si="19"/>
        <v>0.88306620208772679</v>
      </c>
      <c r="AO12" s="27">
        <f t="shared" si="49"/>
        <v>0.4415331010438634</v>
      </c>
      <c r="AP12" s="27">
        <f t="shared" si="50"/>
        <v>1.8397212543494308E-2</v>
      </c>
      <c r="AQ12" s="27">
        <f t="shared" si="20"/>
        <v>0</v>
      </c>
      <c r="AR12" s="27">
        <f t="shared" si="51"/>
        <v>0</v>
      </c>
      <c r="AS12" s="27">
        <f t="shared" si="21"/>
        <v>0</v>
      </c>
      <c r="AT12" s="27">
        <f t="shared" si="52"/>
        <v>0</v>
      </c>
      <c r="AU12" s="145">
        <f t="shared" si="6"/>
        <v>3270000</v>
      </c>
      <c r="AV12" s="27">
        <v>0.45</v>
      </c>
      <c r="AW12" s="27">
        <f t="shared" si="7"/>
        <v>1.8397212543494308E-2</v>
      </c>
      <c r="AX12" s="145">
        <f t="shared" si="8"/>
        <v>27071.498257751879</v>
      </c>
      <c r="AY12" s="145">
        <f t="shared" si="22"/>
        <v>411168.9743592345</v>
      </c>
      <c r="AZ12" s="27">
        <f t="shared" si="53"/>
        <v>0</v>
      </c>
      <c r="BA12" s="145">
        <f t="shared" si="23"/>
        <v>0</v>
      </c>
      <c r="BB12" s="145">
        <f t="shared" si="24"/>
        <v>0</v>
      </c>
      <c r="BC12" s="145">
        <f t="shared" si="54"/>
        <v>3681168.9743592343</v>
      </c>
      <c r="BD12" s="145">
        <f t="shared" si="9"/>
        <v>174150312.50007963</v>
      </c>
      <c r="BE12" s="84">
        <f t="shared" si="55"/>
        <v>8.6438488226531426E-3</v>
      </c>
      <c r="BF12" s="84">
        <f t="shared" si="25"/>
        <v>1.1410180102057865E-2</v>
      </c>
      <c r="BG12" s="84">
        <f>((LN(W12)-LN(W11))/(D12-D11))+AZ12+(AW12*AV12)</f>
        <v>1.1411645027905658E-2</v>
      </c>
      <c r="BH12" s="193">
        <f t="shared" si="27"/>
        <v>14.37</v>
      </c>
      <c r="BI12" s="193" t="s">
        <v>307</v>
      </c>
      <c r="BJ12" s="193">
        <f>BH12*0.45</f>
        <v>6.4664999999999999</v>
      </c>
      <c r="BK12" s="193" t="s">
        <v>307</v>
      </c>
      <c r="BL12" s="38">
        <f>'Analisis economico'!$C$5/BJ12</f>
        <v>0.55052965282610378</v>
      </c>
      <c r="BM12" s="193" t="s">
        <v>307</v>
      </c>
      <c r="BN12" s="38">
        <f t="shared" si="10"/>
        <v>14.37</v>
      </c>
      <c r="BO12" s="38">
        <f t="shared" si="11"/>
        <v>0.2643679442500132</v>
      </c>
      <c r="BP12" s="38">
        <f t="shared" si="28"/>
        <v>8.4261538461695036</v>
      </c>
      <c r="BQ12" s="27">
        <f t="shared" si="29"/>
        <v>22.796153846169503</v>
      </c>
      <c r="BR12" s="234">
        <v>14.37</v>
      </c>
      <c r="BS12" s="230">
        <f t="shared" ref="BS12:BS43" si="59">(((BR12-BR11)/(D12-D11))+AJ12*(AVERAGE(BR11:BR12)))/AVERAGE(J11:J12)</f>
        <v>1.159497673535594E-7</v>
      </c>
      <c r="BT12" s="230" t="s">
        <v>219</v>
      </c>
      <c r="BU12" s="341">
        <f>BS12*24*POWER(10,6)</f>
        <v>2.7827944164854257</v>
      </c>
      <c r="BV12" s="230" t="s">
        <v>219</v>
      </c>
      <c r="BW12" s="341"/>
      <c r="BX12" s="27">
        <f t="shared" si="30"/>
        <v>1.8887524999999999E-2</v>
      </c>
      <c r="BY12" s="62"/>
      <c r="BZ12" s="38">
        <f t="shared" si="12"/>
        <v>14.37</v>
      </c>
      <c r="CA12" s="38">
        <f t="shared" si="13"/>
        <v>0.2643679442500132</v>
      </c>
      <c r="CB12" s="245">
        <f t="shared" si="31"/>
        <v>6.9219384615496455</v>
      </c>
      <c r="CC12" s="58">
        <f t="shared" si="32"/>
        <v>21.291938461549645</v>
      </c>
      <c r="CD12" s="38">
        <v>37.770000000000003</v>
      </c>
      <c r="CF12" s="80">
        <f t="shared" si="33"/>
        <v>3477430.5555548347</v>
      </c>
      <c r="CG12" s="77">
        <f t="shared" si="34"/>
        <v>3477430.5555548347</v>
      </c>
      <c r="CH12" s="62"/>
      <c r="CI12" s="93"/>
      <c r="CJ12" s="58"/>
      <c r="CK12" s="320">
        <v>12.978615282700952</v>
      </c>
      <c r="CL12" s="320">
        <f>AVERAGE(CK12:CK20)</f>
        <v>12.338725747213305</v>
      </c>
      <c r="CM12" s="320">
        <f>STDEV(CK12:CK20)</f>
        <v>1.8168552700080927</v>
      </c>
      <c r="CN12" s="328">
        <f>CM12/CL12</f>
        <v>0.14724820919359752</v>
      </c>
      <c r="CO12" s="38">
        <f t="shared" si="35"/>
        <v>-139.71966583887831</v>
      </c>
      <c r="CP12" s="320">
        <f>AVERAGE(CO12:CO20)</f>
        <v>-87.854798445744962</v>
      </c>
      <c r="CQ12" s="320">
        <f>STDEV(CO13:CO20)</f>
        <v>22.275943873139841</v>
      </c>
      <c r="CR12" s="328">
        <f>CQ12/CP12</f>
        <v>-0.2535540945654372</v>
      </c>
      <c r="CS12" s="58">
        <f t="shared" si="36"/>
        <v>-139.71966583887829</v>
      </c>
      <c r="CT12" s="320">
        <f>AVERAGE(CS13:CS20)</f>
        <v>-81.371690021603285</v>
      </c>
      <c r="CU12" s="320">
        <f>STDEV(CS13:CS20)</f>
        <v>22.275943873139795</v>
      </c>
      <c r="CV12" s="328">
        <f>CU12/CT12</f>
        <v>-0.27375545312166649</v>
      </c>
      <c r="CW12" s="320">
        <v>12.15644775097746</v>
      </c>
      <c r="CX12" s="320">
        <f>AVERAGE(CW14:CW20)</f>
        <v>28.062334037784694</v>
      </c>
      <c r="CY12" s="320">
        <f>STDEV(CW14:CW20)</f>
        <v>4.8189810672092968</v>
      </c>
      <c r="CZ12" s="328">
        <f>CY12/CX12</f>
        <v>0.17172417165018247</v>
      </c>
      <c r="DA12" s="193">
        <f t="shared" si="37"/>
        <v>59.839672230104746</v>
      </c>
      <c r="DB12" s="320">
        <f>AVERAGE(DA13:DA20)</f>
        <v>186.41569523031936</v>
      </c>
      <c r="DC12" s="320">
        <f>STDEV(DA13:DA20)</f>
        <v>20.090822942050895</v>
      </c>
      <c r="DD12" s="328">
        <f>DC12/DB12</f>
        <v>0.10777431008278775</v>
      </c>
      <c r="DE12" s="193">
        <f t="shared" si="38"/>
        <v>59.839672230104746</v>
      </c>
      <c r="DF12" s="320">
        <f>AVERAGE(DE13:DE20)</f>
        <v>186.41569523031941</v>
      </c>
      <c r="DG12" s="320">
        <f>STDEV(DE13:DE20)</f>
        <v>20.090822942050892</v>
      </c>
      <c r="DH12" s="328">
        <f>DG12/DF12</f>
        <v>0.10777431008278769</v>
      </c>
      <c r="DI12" s="320">
        <f t="shared" si="39"/>
        <v>-1.1029873344224006</v>
      </c>
      <c r="DJ12" s="320">
        <f>-AVERAGE(DI12:DI20)</f>
        <v>2.1567440708952379</v>
      </c>
      <c r="DK12" s="320">
        <f>STDEV(DI12:DI20)</f>
        <v>0.55575873498554718</v>
      </c>
      <c r="DL12" s="328">
        <f>DK12/DJ12</f>
        <v>0.25768413716090965</v>
      </c>
      <c r="DM12" s="352">
        <f t="shared" si="56"/>
        <v>0.29669593103554792</v>
      </c>
      <c r="DN12" s="320">
        <f>AVERAGE(DM12:DM20)</f>
        <v>0.2475585095908179</v>
      </c>
      <c r="DO12" s="320">
        <f>STDEV(DM12:DM20)</f>
        <v>3.6482625145800106E-2</v>
      </c>
      <c r="DP12" s="328">
        <f>DO12/DN12</f>
        <v>0.14736970749299289</v>
      </c>
      <c r="DQ12" s="352">
        <f>(-(J12/(DX12-$DY$6)))/POWER(10,6)</f>
        <v>1.1045621350916195</v>
      </c>
      <c r="DR12" s="320">
        <f>AVERAGE(DQ12:DQ20)</f>
        <v>1.0577539563411578</v>
      </c>
      <c r="DS12" s="320">
        <f>STDEV(DQ12:DQ20)</f>
        <v>0.11322512552037108</v>
      </c>
      <c r="DT12" s="328">
        <f>DS12/DR12</f>
        <v>0.10704297047682471</v>
      </c>
      <c r="DV12" s="38">
        <f t="shared" si="40"/>
        <v>0</v>
      </c>
      <c r="DX12" s="38">
        <v>2.5895508807399366</v>
      </c>
      <c r="FK12" s="59"/>
      <c r="FM12" s="59"/>
      <c r="FO12" s="59"/>
      <c r="FQ12" s="59"/>
      <c r="FS12" s="64"/>
      <c r="FU12" s="58"/>
      <c r="FW12" s="58"/>
      <c r="FY12" s="59"/>
      <c r="GA12" s="59"/>
    </row>
    <row r="13" spans="1:183" s="56" customFormat="1" ht="15.75" thickBot="1" x14ac:dyDescent="0.25">
      <c r="A13" s="202">
        <v>6</v>
      </c>
      <c r="B13" s="203">
        <v>43626</v>
      </c>
      <c r="C13" s="252">
        <v>0.46875</v>
      </c>
      <c r="D13" s="87">
        <f t="shared" si="0"/>
        <v>120.75</v>
      </c>
      <c r="E13" s="87">
        <f t="shared" si="1"/>
        <v>5.03125</v>
      </c>
      <c r="F13" s="116">
        <v>1</v>
      </c>
      <c r="G13" s="258">
        <v>2770000</v>
      </c>
      <c r="H13" s="258">
        <v>2860000</v>
      </c>
      <c r="I13" s="258"/>
      <c r="J13" s="299">
        <f>AVERAGE(G13:H13)</f>
        <v>2815000</v>
      </c>
      <c r="K13" s="61">
        <f>STDEV(G13:H13)</f>
        <v>63639.610306789276</v>
      </c>
      <c r="L13" s="257">
        <f t="shared" si="14"/>
        <v>2.2607321600990861E-2</v>
      </c>
      <c r="M13" s="247">
        <f t="shared" si="2"/>
        <v>2815000</v>
      </c>
      <c r="N13" s="248">
        <v>40000</v>
      </c>
      <c r="O13" s="249">
        <f t="shared" si="3"/>
        <v>40000</v>
      </c>
      <c r="P13" s="250">
        <v>6.99</v>
      </c>
      <c r="Q13" s="250">
        <v>57</v>
      </c>
      <c r="R13" s="84">
        <f t="shared" si="41"/>
        <v>1.4006079822176797E-2</v>
      </c>
      <c r="S13" s="109">
        <f t="shared" ref="S13:S20" si="60">R13*24</f>
        <v>0.33614591573224312</v>
      </c>
      <c r="T13" s="311">
        <f t="shared" si="15"/>
        <v>6087996.0317330277</v>
      </c>
      <c r="U13" s="84" t="e">
        <f>#REF!</f>
        <v>#REF!</v>
      </c>
      <c r="V13" s="63">
        <f t="shared" si="4"/>
        <v>2855000</v>
      </c>
      <c r="W13" s="89">
        <f t="shared" si="5"/>
        <v>2855000</v>
      </c>
      <c r="X13" s="90">
        <f t="shared" si="16"/>
        <v>0.98598949211908937</v>
      </c>
      <c r="Y13" s="148">
        <f t="shared" si="42"/>
        <v>257058437.49990255</v>
      </c>
      <c r="Z13" s="148">
        <f t="shared" si="43"/>
        <v>4801722.2222197922</v>
      </c>
      <c r="AA13" s="27">
        <v>2.5</v>
      </c>
      <c r="AB13" s="251">
        <v>0</v>
      </c>
      <c r="AC13" s="27">
        <v>0</v>
      </c>
      <c r="AD13" s="27">
        <v>0</v>
      </c>
      <c r="AE13" s="27">
        <f t="shared" si="44"/>
        <v>1.1354166666642413</v>
      </c>
      <c r="AF13" s="27">
        <f t="shared" si="45"/>
        <v>1.05</v>
      </c>
      <c r="AG13" s="27">
        <f t="shared" si="46"/>
        <v>2.5</v>
      </c>
      <c r="AH13" s="27">
        <f t="shared" si="17"/>
        <v>0.92477064220381022</v>
      </c>
      <c r="AI13" s="27">
        <f t="shared" si="47"/>
        <v>0.46238532110190511</v>
      </c>
      <c r="AJ13" s="109">
        <f t="shared" si="48"/>
        <v>1.9266055045912712E-2</v>
      </c>
      <c r="AK13" s="109">
        <f>AI13*1000000/M13</f>
        <v>0.16425766291364302</v>
      </c>
      <c r="AL13" s="27">
        <f t="shared" si="58"/>
        <v>1.05</v>
      </c>
      <c r="AM13" s="27">
        <f t="shared" si="18"/>
        <v>2.5</v>
      </c>
      <c r="AN13" s="27">
        <f t="shared" si="19"/>
        <v>0.92477064220381022</v>
      </c>
      <c r="AO13" s="27">
        <f t="shared" si="49"/>
        <v>0.46238532110190511</v>
      </c>
      <c r="AP13" s="27">
        <f t="shared" si="50"/>
        <v>1.9266055045912712E-2</v>
      </c>
      <c r="AQ13" s="27">
        <f t="shared" si="20"/>
        <v>0</v>
      </c>
      <c r="AR13" s="27">
        <f t="shared" si="51"/>
        <v>0</v>
      </c>
      <c r="AS13" s="27">
        <f t="shared" si="21"/>
        <v>0</v>
      </c>
      <c r="AT13" s="27">
        <f t="shared" si="52"/>
        <v>0</v>
      </c>
      <c r="AU13" s="145">
        <f t="shared" si="6"/>
        <v>2815000</v>
      </c>
      <c r="AV13" s="27">
        <v>1</v>
      </c>
      <c r="AW13" s="27">
        <f t="shared" si="7"/>
        <v>1.9266055045912712E-2</v>
      </c>
      <c r="AX13" s="145">
        <f t="shared" si="8"/>
        <v>54233.944954244282</v>
      </c>
      <c r="AY13" s="145">
        <f t="shared" si="22"/>
        <v>1518955.638120316</v>
      </c>
      <c r="AZ13" s="27">
        <f t="shared" si="53"/>
        <v>0</v>
      </c>
      <c r="BA13" s="145">
        <f t="shared" si="23"/>
        <v>0</v>
      </c>
      <c r="BB13" s="145">
        <f t="shared" si="24"/>
        <v>0</v>
      </c>
      <c r="BC13" s="145">
        <f t="shared" si="54"/>
        <v>4333955.638120316</v>
      </c>
      <c r="BD13" s="145">
        <f t="shared" si="9"/>
        <v>257058437.49990255</v>
      </c>
      <c r="BE13" s="84">
        <f t="shared" si="55"/>
        <v>7.8736150861266722E-3</v>
      </c>
      <c r="BF13" s="84">
        <f t="shared" si="25"/>
        <v>1.4015066756202083E-2</v>
      </c>
      <c r="BG13" s="84">
        <f t="shared" si="26"/>
        <v>1.4006079822176797E-2</v>
      </c>
      <c r="BH13" s="193">
        <f t="shared" si="27"/>
        <v>14.37</v>
      </c>
      <c r="BI13" s="193">
        <f>AVERAGE(BH12:BH19)</f>
        <v>15.254278041666666</v>
      </c>
      <c r="BJ13" s="193">
        <f t="shared" ref="BJ13:BJ71" si="61">BH13*0.45</f>
        <v>6.4664999999999999</v>
      </c>
      <c r="BK13" s="193">
        <f>AVERAGE(BJ12:BJ19)</f>
        <v>6.8644251187499998</v>
      </c>
      <c r="BL13" s="38">
        <f>'Analisis economico'!$C$5/BJ13</f>
        <v>0.55052965282610378</v>
      </c>
      <c r="BM13" s="193">
        <f>AVERAGE(BL12:BL19)</f>
        <v>0.52094938818994752</v>
      </c>
      <c r="BN13" s="38">
        <f t="shared" si="10"/>
        <v>14.37</v>
      </c>
      <c r="BO13" s="38">
        <f t="shared" si="11"/>
        <v>0.27685321100976568</v>
      </c>
      <c r="BP13" s="38">
        <f t="shared" si="28"/>
        <v>15.800292086568239</v>
      </c>
      <c r="BQ13" s="27">
        <f t="shared" si="29"/>
        <v>30.170292086568239</v>
      </c>
      <c r="BR13" s="234">
        <v>14.37</v>
      </c>
      <c r="BS13" s="230">
        <f>(((BR13-BR12)/(D13-D12))+AJ13*(AVERAGE(BR12:BR13)))/AVERAGE(J12:J13)</f>
        <v>9.0995303536488304E-8</v>
      </c>
      <c r="BT13" s="230">
        <f>STDEV(BS12:BS19)</f>
        <v>1.5439332114576976E-8</v>
      </c>
      <c r="BU13" s="341">
        <f t="shared" ref="BU13:BU71" si="62">BS13*24*POWER(10,6)</f>
        <v>2.1838872848757194</v>
      </c>
      <c r="BV13" s="230">
        <f>STDEV(BU12:BU19)</f>
        <v>0.37054397074984929</v>
      </c>
      <c r="BW13" s="341"/>
      <c r="BX13" s="27">
        <f t="shared" si="30"/>
        <v>3.3976025E-2</v>
      </c>
      <c r="BY13" s="62"/>
      <c r="BZ13" s="38">
        <f t="shared" si="12"/>
        <v>14.37</v>
      </c>
      <c r="CA13" s="38">
        <f t="shared" si="13"/>
        <v>0.27685321100976568</v>
      </c>
      <c r="CB13" s="245">
        <f t="shared" si="31"/>
        <v>14.296076701948381</v>
      </c>
      <c r="CC13" s="58">
        <f t="shared" si="32"/>
        <v>28.666076701948381</v>
      </c>
      <c r="CD13" s="38">
        <v>30.92</v>
      </c>
      <c r="CF13" s="80">
        <f t="shared" si="33"/>
        <v>4363055.5555529427</v>
      </c>
      <c r="CG13" s="77">
        <f t="shared" si="34"/>
        <v>4363055.5555529427</v>
      </c>
      <c r="CH13" s="62"/>
      <c r="CI13" s="93">
        <f>CF13-CF12</f>
        <v>885624.99999810802</v>
      </c>
      <c r="CJ13" s="58"/>
      <c r="CK13" s="320">
        <v>13.790774335766169</v>
      </c>
      <c r="CL13" s="320"/>
      <c r="CM13" s="320"/>
      <c r="CN13" s="320"/>
      <c r="CO13" s="38">
        <f t="shared" si="35"/>
        <v>-57.423517563535952</v>
      </c>
      <c r="CP13" s="321"/>
      <c r="CQ13" s="321"/>
      <c r="CR13" s="322"/>
      <c r="CS13" s="58">
        <f t="shared" si="36"/>
        <v>-57.423517563535945</v>
      </c>
      <c r="CT13" s="58"/>
      <c r="CU13" s="58"/>
      <c r="CV13" s="58"/>
      <c r="CW13" s="320">
        <v>17.670632881948503</v>
      </c>
      <c r="CX13" s="320"/>
      <c r="CY13" s="320"/>
      <c r="CZ13" s="320"/>
      <c r="DA13" s="38">
        <f t="shared" si="37"/>
        <v>160.94675639019226</v>
      </c>
      <c r="DB13" s="320"/>
      <c r="DC13" s="320"/>
      <c r="DD13" s="320"/>
      <c r="DE13" s="38">
        <f t="shared" si="38"/>
        <v>160.94675639019226</v>
      </c>
      <c r="DF13" s="320"/>
      <c r="DG13" s="320"/>
      <c r="DH13" s="320"/>
      <c r="DI13" s="320">
        <f t="shared" si="39"/>
        <v>-1.7308494750835373</v>
      </c>
      <c r="DJ13" s="320"/>
      <c r="DK13" s="320"/>
      <c r="DL13" s="320"/>
      <c r="DM13" s="352">
        <f t="shared" si="56"/>
        <v>0.27573099984084415</v>
      </c>
      <c r="DN13" s="320"/>
      <c r="DO13" s="320"/>
      <c r="DP13" s="320"/>
      <c r="DQ13" s="352">
        <f t="shared" ref="DQ13:DQ20" si="63">(-(J13/(DX13-$DY$6)))/POWER(10,6)</f>
        <v>0.95322315903871968</v>
      </c>
      <c r="DR13" s="320"/>
      <c r="DS13" s="320"/>
      <c r="DT13" s="320"/>
      <c r="DV13" s="38">
        <f t="shared" si="40"/>
        <v>0</v>
      </c>
      <c r="DX13" s="38">
        <v>2.596861510541987</v>
      </c>
      <c r="FK13" s="59"/>
      <c r="FM13" s="59"/>
      <c r="FO13" s="59"/>
      <c r="FQ13" s="59"/>
      <c r="FS13" s="64"/>
      <c r="FU13" s="58"/>
      <c r="FW13" s="58"/>
      <c r="FY13" s="59"/>
      <c r="GA13" s="59"/>
    </row>
    <row r="14" spans="1:183" s="271" customFormat="1" ht="15.75" thickBot="1" x14ac:dyDescent="0.25">
      <c r="A14" s="259">
        <v>7</v>
      </c>
      <c r="B14" s="203">
        <v>43627</v>
      </c>
      <c r="C14" s="252">
        <v>0.65625</v>
      </c>
      <c r="D14" s="260">
        <f t="shared" si="0"/>
        <v>149.25</v>
      </c>
      <c r="E14" s="260">
        <f>D14/24</f>
        <v>6.21875</v>
      </c>
      <c r="F14" s="261">
        <v>1</v>
      </c>
      <c r="G14" s="262">
        <v>2680000</v>
      </c>
      <c r="H14" s="262">
        <v>2630000</v>
      </c>
      <c r="I14" s="262"/>
      <c r="J14" s="299">
        <f>AVERAGE(G14:H14)</f>
        <v>2655000</v>
      </c>
      <c r="K14" s="61">
        <f>STDEV(G14:H14)</f>
        <v>35355.33905932738</v>
      </c>
      <c r="L14" s="268">
        <f t="shared" si="14"/>
        <v>1.3316511886752308E-2</v>
      </c>
      <c r="M14" s="247">
        <f t="shared" si="2"/>
        <v>2655000</v>
      </c>
      <c r="N14" s="248">
        <v>40000</v>
      </c>
      <c r="O14" s="249">
        <f t="shared" si="3"/>
        <v>40000</v>
      </c>
      <c r="P14" s="250">
        <v>7.01</v>
      </c>
      <c r="Q14" s="250">
        <v>57.2</v>
      </c>
      <c r="R14" s="263">
        <f t="shared" si="41"/>
        <v>1.6397416184315304E-2</v>
      </c>
      <c r="S14" s="109">
        <f t="shared" si="60"/>
        <v>0.3935379884235673</v>
      </c>
      <c r="T14" s="311">
        <f t="shared" si="15"/>
        <v>6005357.1428571437</v>
      </c>
      <c r="U14" s="263" t="e">
        <f>#REF!</f>
        <v>#REF!</v>
      </c>
      <c r="V14" s="264">
        <f t="shared" si="4"/>
        <v>2695000</v>
      </c>
      <c r="W14" s="265">
        <f t="shared" si="5"/>
        <v>2695000</v>
      </c>
      <c r="X14" s="266">
        <f t="shared" si="16"/>
        <v>0.98515769944341369</v>
      </c>
      <c r="Y14" s="246">
        <f t="shared" si="42"/>
        <v>335005937.49990255</v>
      </c>
      <c r="Z14" s="267">
        <f t="shared" si="43"/>
        <v>5941722.2222197922</v>
      </c>
      <c r="AA14" s="251">
        <v>3.55</v>
      </c>
      <c r="AB14" s="251">
        <v>0</v>
      </c>
      <c r="AC14" s="251">
        <v>0</v>
      </c>
      <c r="AD14" s="251">
        <v>0</v>
      </c>
      <c r="AE14" s="251">
        <f t="shared" si="44"/>
        <v>1.1875</v>
      </c>
      <c r="AF14" s="251">
        <f t="shared" si="45"/>
        <v>1.0499999999999998</v>
      </c>
      <c r="AG14" s="251">
        <f>AF14+AG13</f>
        <v>3.55</v>
      </c>
      <c r="AH14" s="251">
        <f t="shared" si="17"/>
        <v>0.88421052631578934</v>
      </c>
      <c r="AI14" s="251">
        <f t="shared" si="47"/>
        <v>0.44210526315789467</v>
      </c>
      <c r="AJ14" s="269">
        <f t="shared" si="48"/>
        <v>1.8421052631578946E-2</v>
      </c>
      <c r="AK14" s="269">
        <f t="shared" si="57"/>
        <v>0.16651798988997915</v>
      </c>
      <c r="AL14" s="251">
        <f>(AA14+AC13)-AA13</f>
        <v>1.0499999999999998</v>
      </c>
      <c r="AM14" s="251">
        <f t="shared" si="18"/>
        <v>3.55</v>
      </c>
      <c r="AN14" s="251">
        <f t="shared" si="19"/>
        <v>0.88421052631578934</v>
      </c>
      <c r="AO14" s="251">
        <f t="shared" si="49"/>
        <v>0.44210526315789467</v>
      </c>
      <c r="AP14" s="251">
        <f t="shared" si="50"/>
        <v>1.8421052631578946E-2</v>
      </c>
      <c r="AQ14" s="251">
        <f t="shared" si="20"/>
        <v>0</v>
      </c>
      <c r="AR14" s="251">
        <f t="shared" si="51"/>
        <v>0</v>
      </c>
      <c r="AS14" s="251">
        <f t="shared" si="21"/>
        <v>0</v>
      </c>
      <c r="AT14" s="251">
        <f t="shared" si="52"/>
        <v>0</v>
      </c>
      <c r="AU14" s="270">
        <f t="shared" si="6"/>
        <v>2655000</v>
      </c>
      <c r="AV14" s="27">
        <v>1</v>
      </c>
      <c r="AW14" s="251">
        <f t="shared" si="7"/>
        <v>1.8421052631578946E-2</v>
      </c>
      <c r="AX14" s="270">
        <f t="shared" si="8"/>
        <v>48907.8947368421</v>
      </c>
      <c r="AY14" s="270">
        <f t="shared" si="22"/>
        <v>2988726.8537182966</v>
      </c>
      <c r="AZ14" s="251">
        <f t="shared" si="53"/>
        <v>0</v>
      </c>
      <c r="BA14" s="270">
        <f t="shared" si="23"/>
        <v>0</v>
      </c>
      <c r="BB14" s="270">
        <f t="shared" si="24"/>
        <v>0</v>
      </c>
      <c r="BC14" s="270">
        <f t="shared" si="54"/>
        <v>5643726.8537182966</v>
      </c>
      <c r="BD14" s="270">
        <f t="shared" si="9"/>
        <v>335005937.49990255</v>
      </c>
      <c r="BE14" s="263">
        <f t="shared" si="55"/>
        <v>1.6803248540337799E-2</v>
      </c>
      <c r="BF14" s="263">
        <f t="shared" si="25"/>
        <v>1.6397976924292713E-2</v>
      </c>
      <c r="BG14" s="263">
        <f t="shared" si="26"/>
        <v>1.6397416184315304E-2</v>
      </c>
      <c r="BH14" s="250">
        <f t="shared" si="27"/>
        <v>14.321497333333333</v>
      </c>
      <c r="BI14" s="38" t="s">
        <v>219</v>
      </c>
      <c r="BJ14" s="38">
        <f t="shared" si="61"/>
        <v>6.4446738000000003</v>
      </c>
      <c r="BK14" s="38" t="s">
        <v>219</v>
      </c>
      <c r="BL14" s="38">
        <f>'Analisis economico'!$C$5/BJ14</f>
        <v>0.55239413358671463</v>
      </c>
      <c r="BM14" s="38" t="s">
        <v>219</v>
      </c>
      <c r="BN14" s="250">
        <f t="shared" si="10"/>
        <v>14.321497333333333</v>
      </c>
      <c r="BO14" s="250">
        <f t="shared" si="11"/>
        <v>0.26381705614035084</v>
      </c>
      <c r="BP14" s="250">
        <f t="shared" si="28"/>
        <v>23.504843393457399</v>
      </c>
      <c r="BQ14" s="251">
        <f t="shared" si="29"/>
        <v>37.826340726790733</v>
      </c>
      <c r="BR14" s="234">
        <f>AVERAGE(BR13,BR15)</f>
        <v>14.321497333333333</v>
      </c>
      <c r="BS14" s="230">
        <f t="shared" si="59"/>
        <v>9.6000710520970295E-8</v>
      </c>
      <c r="BT14" s="230"/>
      <c r="BU14" s="341">
        <f t="shared" si="62"/>
        <v>2.304017052503287</v>
      </c>
      <c r="BV14" s="230"/>
      <c r="BW14" s="341"/>
      <c r="BX14" s="251">
        <f t="shared" si="30"/>
        <v>4.9039061099999996E-2</v>
      </c>
      <c r="BZ14" s="38">
        <f t="shared" si="12"/>
        <v>14.321497333333333</v>
      </c>
      <c r="CA14" s="250">
        <f t="shared" si="13"/>
        <v>0.26381705614035084</v>
      </c>
      <c r="CB14" s="272">
        <f t="shared" si="31"/>
        <v>22.000628008837541</v>
      </c>
      <c r="CC14" s="273">
        <f t="shared" si="32"/>
        <v>36.322125342170878</v>
      </c>
      <c r="CD14" s="250">
        <v>29.33</v>
      </c>
      <c r="CF14" s="274">
        <f t="shared" si="33"/>
        <v>5503055.5555529427</v>
      </c>
      <c r="CG14" s="275">
        <f t="shared" si="34"/>
        <v>5503055.5555529427</v>
      </c>
      <c r="CH14" s="276"/>
      <c r="CI14" s="277">
        <f>CF14-CF13</f>
        <v>1140000</v>
      </c>
      <c r="CJ14" s="273"/>
      <c r="CK14" s="320">
        <v>12.476162353956546</v>
      </c>
      <c r="CL14" s="320"/>
      <c r="CM14" s="320"/>
      <c r="CN14" s="320"/>
      <c r="CO14" s="38">
        <f t="shared" si="35"/>
        <v>-90.054730437248281</v>
      </c>
      <c r="CP14" s="321"/>
      <c r="CQ14" s="321"/>
      <c r="CR14" s="322"/>
      <c r="CS14" s="58">
        <f t="shared" si="36"/>
        <v>-90.054730437248296</v>
      </c>
      <c r="CT14" s="58"/>
      <c r="CU14" s="58"/>
      <c r="CV14" s="58"/>
      <c r="CW14" s="320">
        <v>20.682979622285877</v>
      </c>
      <c r="CX14" s="320"/>
      <c r="CY14" s="320"/>
      <c r="CZ14" s="320"/>
      <c r="DA14" s="38">
        <f t="shared" si="37"/>
        <v>167.80743478237142</v>
      </c>
      <c r="DB14" s="320"/>
      <c r="DC14" s="320"/>
      <c r="DD14" s="320"/>
      <c r="DE14" s="38">
        <f t="shared" si="38"/>
        <v>167.80743478237144</v>
      </c>
      <c r="DF14" s="320"/>
      <c r="DG14" s="320"/>
      <c r="DH14" s="320"/>
      <c r="DI14" s="320">
        <f t="shared" si="39"/>
        <v>-1.7947996368542285</v>
      </c>
      <c r="DJ14" s="320"/>
      <c r="DK14" s="320"/>
      <c r="DL14" s="320"/>
      <c r="DM14" s="352">
        <f t="shared" si="56"/>
        <v>0.23039199974424812</v>
      </c>
      <c r="DN14" s="320"/>
      <c r="DO14" s="320"/>
      <c r="DP14" s="320"/>
      <c r="DQ14" s="352">
        <f t="shared" si="63"/>
        <v>1.1425312237779126</v>
      </c>
      <c r="DR14" s="320"/>
      <c r="DS14" s="320"/>
      <c r="DT14" s="320"/>
      <c r="DV14" s="250">
        <f t="shared" si="40"/>
        <v>0</v>
      </c>
      <c r="DX14" s="250">
        <v>3.2262123040970963</v>
      </c>
      <c r="FK14" s="278"/>
      <c r="FM14" s="278"/>
      <c r="FO14" s="278"/>
      <c r="FQ14" s="278"/>
      <c r="FS14" s="279"/>
      <c r="FU14" s="273"/>
      <c r="FW14" s="273"/>
      <c r="FY14" s="278"/>
      <c r="GA14" s="278"/>
    </row>
    <row r="15" spans="1:183" s="56" customFormat="1" ht="15.75" thickBot="1" x14ac:dyDescent="0.25">
      <c r="A15" s="202">
        <v>8</v>
      </c>
      <c r="B15" s="203">
        <v>43628</v>
      </c>
      <c r="C15" s="60">
        <v>0.40277777777777773</v>
      </c>
      <c r="D15" s="87">
        <f t="shared" ref="D15:D23" si="64">(B15+C15-(Inoculo_Fecha+Inoculo_Hora))*24</f>
        <v>167.16666666674428</v>
      </c>
      <c r="E15" s="87">
        <f>D15/24</f>
        <v>6.9652777777810115</v>
      </c>
      <c r="F15" s="116">
        <v>1</v>
      </c>
      <c r="G15" s="258">
        <v>2355000</v>
      </c>
      <c r="H15" s="258">
        <v>2040000</v>
      </c>
      <c r="I15" s="258"/>
      <c r="J15" s="299">
        <f>AVERAGE(G15:H15)</f>
        <v>2197500</v>
      </c>
      <c r="K15" s="61">
        <f>STDEV(G15:H15)</f>
        <v>222738.63607376246</v>
      </c>
      <c r="L15" s="257">
        <f t="shared" si="14"/>
        <v>0.1013600164158191</v>
      </c>
      <c r="M15" s="118">
        <f t="shared" si="2"/>
        <v>2197500</v>
      </c>
      <c r="N15" s="204">
        <v>233000</v>
      </c>
      <c r="O15" s="88">
        <f t="shared" si="3"/>
        <v>233000</v>
      </c>
      <c r="P15" s="38">
        <v>7</v>
      </c>
      <c r="Q15" s="38">
        <v>63.7</v>
      </c>
      <c r="R15" s="84">
        <f t="shared" si="41"/>
        <v>1.2373886128825265E-2</v>
      </c>
      <c r="S15" s="109">
        <f t="shared" si="60"/>
        <v>0.29697326709180638</v>
      </c>
      <c r="T15" s="311">
        <f t="shared" si="15"/>
        <v>5047676.2820731448</v>
      </c>
      <c r="U15" s="84" t="e">
        <f>#REF!</f>
        <v>#REF!</v>
      </c>
      <c r="V15" s="63">
        <f>J15+N15</f>
        <v>2430500</v>
      </c>
      <c r="W15" s="89">
        <f>V15*F15</f>
        <v>2430500</v>
      </c>
      <c r="X15" s="90">
        <f>J15/V15</f>
        <v>0.90413495165603786</v>
      </c>
      <c r="Y15" s="61">
        <f t="shared" si="42"/>
        <v>378476250.00009084</v>
      </c>
      <c r="Z15" s="148">
        <f t="shared" si="43"/>
        <v>8387347.222230386</v>
      </c>
      <c r="AA15" s="27">
        <v>4.2</v>
      </c>
      <c r="AB15" s="27">
        <v>0</v>
      </c>
      <c r="AC15" s="27">
        <v>0</v>
      </c>
      <c r="AD15" s="27">
        <v>0</v>
      </c>
      <c r="AE15" s="27">
        <f t="shared" si="44"/>
        <v>0.74652777778101154</v>
      </c>
      <c r="AF15" s="27">
        <f t="shared" si="45"/>
        <v>0.65000000000000036</v>
      </c>
      <c r="AG15" s="27">
        <f t="shared" si="46"/>
        <v>4.2</v>
      </c>
      <c r="AH15" s="27">
        <f t="shared" si="17"/>
        <v>0.87069767441483348</v>
      </c>
      <c r="AI15" s="27">
        <f t="shared" si="47"/>
        <v>0.43534883720741674</v>
      </c>
      <c r="AJ15" s="109">
        <f t="shared" si="48"/>
        <v>1.8139534883642363E-2</v>
      </c>
      <c r="AK15" s="109">
        <f t="shared" si="57"/>
        <v>0.19811096118653776</v>
      </c>
      <c r="AL15" s="27">
        <f t="shared" si="58"/>
        <v>0.65000000000000036</v>
      </c>
      <c r="AM15" s="27">
        <f t="shared" si="18"/>
        <v>4.2</v>
      </c>
      <c r="AN15" s="27">
        <f t="shared" si="19"/>
        <v>0.87069767441483348</v>
      </c>
      <c r="AO15" s="27">
        <f t="shared" si="49"/>
        <v>0.43534883720741674</v>
      </c>
      <c r="AP15" s="27">
        <f t="shared" si="50"/>
        <v>1.8139534883642363E-2</v>
      </c>
      <c r="AQ15" s="27">
        <f t="shared" si="20"/>
        <v>0</v>
      </c>
      <c r="AR15" s="27">
        <f t="shared" si="51"/>
        <v>0</v>
      </c>
      <c r="AS15" s="27">
        <f t="shared" si="21"/>
        <v>0</v>
      </c>
      <c r="AT15" s="27">
        <f t="shared" si="52"/>
        <v>0</v>
      </c>
      <c r="AU15" s="145">
        <f t="shared" si="6"/>
        <v>2197500</v>
      </c>
      <c r="AV15" s="27">
        <v>1</v>
      </c>
      <c r="AW15" s="27">
        <f t="shared" si="7"/>
        <v>1.8139534883642363E-2</v>
      </c>
      <c r="AX15" s="145">
        <f t="shared" si="8"/>
        <v>39861.627906804089</v>
      </c>
      <c r="AY15" s="145">
        <f t="shared" si="22"/>
        <v>3783953.827404405</v>
      </c>
      <c r="AZ15" s="27">
        <f t="shared" si="53"/>
        <v>0</v>
      </c>
      <c r="BA15" s="145">
        <f t="shared" si="23"/>
        <v>0</v>
      </c>
      <c r="BB15" s="145">
        <f t="shared" si="24"/>
        <v>0</v>
      </c>
      <c r="BC15" s="145">
        <f t="shared" si="54"/>
        <v>5981453.827404405</v>
      </c>
      <c r="BD15" s="145">
        <f t="shared" si="9"/>
        <v>378476250.00009084</v>
      </c>
      <c r="BE15" s="84">
        <f t="shared" si="55"/>
        <v>7.7691406907793798E-3</v>
      </c>
      <c r="BF15" s="84">
        <f t="shared" si="25"/>
        <v>1.2379007833555358E-2</v>
      </c>
      <c r="BG15" s="84">
        <f t="shared" si="26"/>
        <v>1.2373886128825265E-2</v>
      </c>
      <c r="BH15" s="38">
        <f t="shared" si="27"/>
        <v>14.272994666666666</v>
      </c>
      <c r="BI15" s="38">
        <f>STDEV(BH12:BH19)</f>
        <v>1.1085442269466919</v>
      </c>
      <c r="BJ15" s="38">
        <f t="shared" si="61"/>
        <v>6.4228475999999999</v>
      </c>
      <c r="BK15" s="38">
        <f>STDEV(BJ12:BJ19)</f>
        <v>0.49884490212601129</v>
      </c>
      <c r="BL15" s="38">
        <f>'Analisis economico'!$C$5/BJ15</f>
        <v>0.55427128615039845</v>
      </c>
      <c r="BM15" s="38">
        <f>STDEV(BL12:BL19)</f>
        <v>3.6719675852415506E-2</v>
      </c>
      <c r="BN15" s="38">
        <f t="shared" si="10"/>
        <v>14.272994666666666</v>
      </c>
      <c r="BO15" s="38">
        <f t="shared" si="11"/>
        <v>0.25890548465004137</v>
      </c>
      <c r="BP15" s="38">
        <f t="shared" si="28"/>
        <v>28.187566154724948</v>
      </c>
      <c r="BQ15" s="27">
        <f t="shared" si="29"/>
        <v>42.46056082139161</v>
      </c>
      <c r="BR15" s="211">
        <v>14.272994666666666</v>
      </c>
      <c r="BS15" s="61">
        <f t="shared" si="59"/>
        <v>1.0577568963446987E-7</v>
      </c>
      <c r="BT15" s="61" t="s">
        <v>220</v>
      </c>
      <c r="BU15" s="342">
        <f t="shared" si="62"/>
        <v>2.5386165512272769</v>
      </c>
      <c r="BV15" s="61" t="s">
        <v>220</v>
      </c>
      <c r="BW15" s="342"/>
      <c r="BX15" s="27">
        <f t="shared" si="30"/>
        <v>5.8332270999999998E-2</v>
      </c>
      <c r="BZ15" s="38">
        <f t="shared" si="12"/>
        <v>14.272994666666666</v>
      </c>
      <c r="CA15" s="38">
        <f t="shared" si="13"/>
        <v>0.25890548465004137</v>
      </c>
      <c r="CB15" s="245">
        <f t="shared" si="31"/>
        <v>26.68335077010509</v>
      </c>
      <c r="CC15" s="58">
        <f t="shared" si="32"/>
        <v>40.956345436771755</v>
      </c>
      <c r="CD15" s="38">
        <v>24.878</v>
      </c>
      <c r="CF15" s="80">
        <f t="shared" si="33"/>
        <v>7948680.5555635365</v>
      </c>
      <c r="CG15" s="77">
        <f t="shared" si="34"/>
        <v>7948680.5555635365</v>
      </c>
      <c r="CH15" s="62"/>
      <c r="CI15" s="93">
        <f>CF15-CF14</f>
        <v>2445625.0000105938</v>
      </c>
      <c r="CJ15" s="58"/>
      <c r="CK15" s="320">
        <v>14.038070953479084</v>
      </c>
      <c r="CL15" s="320"/>
      <c r="CM15" s="320"/>
      <c r="CN15" s="320"/>
      <c r="CO15" s="38">
        <f t="shared" si="35"/>
        <v>-44.387269772003961</v>
      </c>
      <c r="CP15" s="321"/>
      <c r="CQ15" s="321"/>
      <c r="CR15" s="322"/>
      <c r="CS15" s="58">
        <f t="shared" si="36"/>
        <v>-44.387269772003954</v>
      </c>
      <c r="CT15" s="58"/>
      <c r="CU15" s="58"/>
      <c r="CV15" s="58"/>
      <c r="CW15" s="320">
        <v>22.997277897618197</v>
      </c>
      <c r="CX15" s="320"/>
      <c r="CY15" s="320"/>
      <c r="CZ15" s="320"/>
      <c r="DA15" s="38">
        <f t="shared" si="37"/>
        <v>216.5234059975061</v>
      </c>
      <c r="DB15" s="320"/>
      <c r="DC15" s="320"/>
      <c r="DD15" s="320"/>
      <c r="DE15" s="38">
        <f t="shared" si="38"/>
        <v>216.5234059975061</v>
      </c>
      <c r="DF15" s="320"/>
      <c r="DG15" s="320"/>
      <c r="DH15" s="320"/>
      <c r="DI15" s="320">
        <f t="shared" si="39"/>
        <v>-2.3085165323125563</v>
      </c>
      <c r="DJ15" s="320"/>
      <c r="DK15" s="320"/>
      <c r="DL15" s="320"/>
      <c r="DM15" s="352">
        <f t="shared" si="56"/>
        <v>0.22058980642583981</v>
      </c>
      <c r="DN15" s="320"/>
      <c r="DO15" s="320"/>
      <c r="DP15" s="320"/>
      <c r="DQ15" s="352">
        <f t="shared" si="63"/>
        <v>0.91060040089608485</v>
      </c>
      <c r="DR15" s="320"/>
      <c r="DS15" s="320"/>
      <c r="DT15" s="320"/>
      <c r="DV15" s="38">
        <f t="shared" si="40"/>
        <v>0</v>
      </c>
      <c r="DX15" s="38">
        <v>3.1367570475067552</v>
      </c>
      <c r="FK15" s="59"/>
      <c r="FM15" s="59"/>
      <c r="FO15" s="59"/>
      <c r="FQ15" s="59"/>
      <c r="FS15" s="64"/>
      <c r="FU15" s="58"/>
      <c r="FW15" s="58"/>
      <c r="FY15" s="59"/>
      <c r="GA15" s="59"/>
    </row>
    <row r="16" spans="1:183" s="56" customFormat="1" ht="15.75" thickBot="1" x14ac:dyDescent="0.25">
      <c r="A16" s="202">
        <v>9</v>
      </c>
      <c r="B16" s="203">
        <v>43629</v>
      </c>
      <c r="C16" s="60">
        <v>0.4284722222222222</v>
      </c>
      <c r="D16" s="87">
        <f t="shared" si="64"/>
        <v>191.78333333332557</v>
      </c>
      <c r="E16" s="87">
        <f>D16/24</f>
        <v>7.9909722222218988</v>
      </c>
      <c r="F16" s="116">
        <v>1</v>
      </c>
      <c r="G16" s="258">
        <v>2600000</v>
      </c>
      <c r="H16" s="258">
        <v>3420000</v>
      </c>
      <c r="I16" s="258">
        <v>2420000</v>
      </c>
      <c r="J16" s="299">
        <f>AVERAGE(G16:I16)</f>
        <v>2813333.3333333335</v>
      </c>
      <c r="K16" s="61">
        <f>STDEV(G16:I16)</f>
        <v>533041.58687041851</v>
      </c>
      <c r="L16" s="257">
        <f t="shared" si="14"/>
        <v>0.18946975836626248</v>
      </c>
      <c r="M16" s="118">
        <f t="shared" si="2"/>
        <v>2813333.3333333335</v>
      </c>
      <c r="N16" s="204">
        <v>460000</v>
      </c>
      <c r="O16" s="88">
        <f t="shared" si="3"/>
        <v>460000</v>
      </c>
      <c r="P16" s="38">
        <v>6.95</v>
      </c>
      <c r="Q16" s="38">
        <v>61.2</v>
      </c>
      <c r="R16" s="84">
        <f t="shared" si="41"/>
        <v>3.138978346097112E-2</v>
      </c>
      <c r="S16" s="109">
        <f t="shared" si="60"/>
        <v>0.75335480306330682</v>
      </c>
      <c r="T16" s="311">
        <f t="shared" si="15"/>
        <v>6074990.2533902368</v>
      </c>
      <c r="U16" s="84" t="e">
        <f>#REF!</f>
        <v>#REF!</v>
      </c>
      <c r="V16" s="63">
        <f>J16+N16</f>
        <v>3273333.3333333335</v>
      </c>
      <c r="W16" s="89">
        <f>V16*F16</f>
        <v>3273333.3333333335</v>
      </c>
      <c r="X16" s="90">
        <f>J16/V16</f>
        <v>0.85947046843177188</v>
      </c>
      <c r="Y16" s="61">
        <f t="shared" si="42"/>
        <v>440151256.94432139</v>
      </c>
      <c r="Z16" s="148">
        <f t="shared" si="43"/>
        <v>16917022.222200803</v>
      </c>
      <c r="AA16" s="27">
        <v>5.15</v>
      </c>
      <c r="AB16" s="27">
        <v>0</v>
      </c>
      <c r="AC16" s="27">
        <v>0</v>
      </c>
      <c r="AD16" s="27">
        <v>0</v>
      </c>
      <c r="AE16" s="27">
        <f t="shared" si="44"/>
        <v>1.0256944444408873</v>
      </c>
      <c r="AF16" s="27">
        <f t="shared" si="45"/>
        <v>0.95000000000000018</v>
      </c>
      <c r="AG16" s="27">
        <f t="shared" si="46"/>
        <v>5.15</v>
      </c>
      <c r="AH16" s="27">
        <f t="shared" si="17"/>
        <v>0.92620176032819534</v>
      </c>
      <c r="AI16" s="27">
        <f t="shared" si="47"/>
        <v>0.46310088016409767</v>
      </c>
      <c r="AJ16" s="109">
        <f t="shared" si="48"/>
        <v>1.9295870006837402E-2</v>
      </c>
      <c r="AK16" s="109">
        <f t="shared" si="57"/>
        <v>0.16460931759387357</v>
      </c>
      <c r="AL16" s="27">
        <f t="shared" si="58"/>
        <v>0.95000000000000018</v>
      </c>
      <c r="AM16" s="27">
        <f t="shared" si="18"/>
        <v>5.15</v>
      </c>
      <c r="AN16" s="27">
        <f t="shared" si="19"/>
        <v>0.92620176032819534</v>
      </c>
      <c r="AO16" s="27">
        <f t="shared" si="49"/>
        <v>0.46310088016409767</v>
      </c>
      <c r="AP16" s="27">
        <f t="shared" si="50"/>
        <v>1.9295870006837402E-2</v>
      </c>
      <c r="AQ16" s="27">
        <f t="shared" si="20"/>
        <v>0</v>
      </c>
      <c r="AR16" s="27">
        <f t="shared" si="51"/>
        <v>0</v>
      </c>
      <c r="AS16" s="27">
        <f t="shared" si="21"/>
        <v>0</v>
      </c>
      <c r="AT16" s="27">
        <f t="shared" si="52"/>
        <v>0</v>
      </c>
      <c r="AU16" s="145">
        <f t="shared" si="6"/>
        <v>2813333.3333333335</v>
      </c>
      <c r="AV16" s="27">
        <v>1</v>
      </c>
      <c r="AW16" s="27">
        <f t="shared" si="7"/>
        <v>1.9295870006837402E-2</v>
      </c>
      <c r="AX16" s="145">
        <f t="shared" si="8"/>
        <v>54285.714285902563</v>
      </c>
      <c r="AY16" s="145">
        <f t="shared" si="22"/>
        <v>4942750.6975556174</v>
      </c>
      <c r="AZ16" s="27">
        <f t="shared" si="53"/>
        <v>0</v>
      </c>
      <c r="BA16" s="145">
        <f t="shared" si="23"/>
        <v>0</v>
      </c>
      <c r="BB16" s="145">
        <f t="shared" si="24"/>
        <v>0</v>
      </c>
      <c r="BC16" s="145">
        <f t="shared" si="54"/>
        <v>7756084.0308889505</v>
      </c>
      <c r="BD16" s="145">
        <f t="shared" si="9"/>
        <v>440151256.94432139</v>
      </c>
      <c r="BE16" s="84">
        <f t="shared" si="55"/>
        <v>2.8773895479075495E-2</v>
      </c>
      <c r="BF16" s="84">
        <f t="shared" si="25"/>
        <v>3.1301242155709487E-2</v>
      </c>
      <c r="BG16" s="84">
        <f t="shared" si="26"/>
        <v>3.138978346097112E-2</v>
      </c>
      <c r="BH16" s="38">
        <f t="shared" si="27"/>
        <v>15.134007333333333</v>
      </c>
      <c r="BI16" s="56" t="s">
        <v>220</v>
      </c>
      <c r="BJ16" s="38">
        <f t="shared" si="61"/>
        <v>6.8103033000000002</v>
      </c>
      <c r="BK16" s="56" t="s">
        <v>220</v>
      </c>
      <c r="BL16" s="38">
        <f>'Analisis economico'!$C$5/BJ16</f>
        <v>0.52273736472206755</v>
      </c>
      <c r="BM16" s="56" t="s">
        <v>220</v>
      </c>
      <c r="BN16" s="38">
        <f t="shared" si="10"/>
        <v>15.134007333333333</v>
      </c>
      <c r="BO16" s="38">
        <f t="shared" si="11"/>
        <v>0.29202383818652394</v>
      </c>
      <c r="BP16" s="38">
        <f t="shared" si="28"/>
        <v>34.968587903281488</v>
      </c>
      <c r="BQ16" s="27">
        <f t="shared" si="29"/>
        <v>50.102595236614818</v>
      </c>
      <c r="BR16" s="211">
        <v>15.134007333333333</v>
      </c>
      <c r="BS16" s="61">
        <f t="shared" si="59"/>
        <v>1.2720186069473237E-7</v>
      </c>
      <c r="BT16" s="257">
        <f>BT13/AVERAGE(BS12:BS19)</f>
        <v>0.14192370146151148</v>
      </c>
      <c r="BU16" s="342">
        <f t="shared" si="62"/>
        <v>3.0528446566735767</v>
      </c>
      <c r="BV16" s="257">
        <f>BV13/AVERAGE(BU12:BU19)</f>
        <v>0.1419237014615122</v>
      </c>
      <c r="BW16" s="342"/>
      <c r="BX16" s="27">
        <f t="shared" si="30"/>
        <v>7.2300596950000004E-2</v>
      </c>
      <c r="BZ16" s="38">
        <f t="shared" si="12"/>
        <v>15.134007333333333</v>
      </c>
      <c r="CA16" s="38">
        <f t="shared" si="13"/>
        <v>0.29202383818652394</v>
      </c>
      <c r="CB16" s="245">
        <f t="shared" si="31"/>
        <v>33.464372518661634</v>
      </c>
      <c r="CC16" s="58">
        <f t="shared" si="32"/>
        <v>48.598379851994963</v>
      </c>
      <c r="CD16" s="38">
        <v>25.119</v>
      </c>
      <c r="CE16" s="35"/>
      <c r="CF16" s="80">
        <f t="shared" si="33"/>
        <v>16478355.555533957</v>
      </c>
      <c r="CG16" s="77">
        <f t="shared" si="34"/>
        <v>16478355.555533957</v>
      </c>
      <c r="CH16" s="62"/>
      <c r="CI16" s="93">
        <f>CF16-CF15</f>
        <v>8529674.9999704212</v>
      </c>
      <c r="CJ16" s="58"/>
      <c r="CK16" s="320">
        <v>14.55940733673896</v>
      </c>
      <c r="CL16" s="320"/>
      <c r="CM16" s="320"/>
      <c r="CN16" s="320"/>
      <c r="CO16" s="38">
        <f t="shared" si="35"/>
        <v>-66.262862791548329</v>
      </c>
      <c r="CP16" s="321"/>
      <c r="CQ16" s="321"/>
      <c r="CR16" s="322"/>
      <c r="CS16" s="58">
        <f t="shared" si="36"/>
        <v>-66.262862791548329</v>
      </c>
      <c r="CT16" s="58"/>
      <c r="CU16" s="58"/>
      <c r="CV16" s="58"/>
      <c r="CW16" s="320">
        <v>28.668590615796813</v>
      </c>
      <c r="CX16" s="320"/>
      <c r="CY16" s="320"/>
      <c r="CZ16" s="320"/>
      <c r="DA16" s="38"/>
      <c r="DB16" s="320"/>
      <c r="DC16" s="320"/>
      <c r="DD16" s="320"/>
      <c r="DE16" s="193"/>
      <c r="DF16" s="320"/>
      <c r="DG16" s="320"/>
      <c r="DH16" s="320"/>
      <c r="DI16" s="320">
        <f t="shared" si="39"/>
        <v>-3.0367363192528525</v>
      </c>
      <c r="DJ16" s="320"/>
      <c r="DK16" s="320"/>
      <c r="DL16" s="320"/>
      <c r="DM16" s="352">
        <f t="shared" si="56"/>
        <v>0.29800388955257934</v>
      </c>
      <c r="DN16" s="320"/>
      <c r="DO16" s="320"/>
      <c r="DP16" s="320"/>
      <c r="DQ16" s="352">
        <f t="shared" si="63"/>
        <v>1.0571831690761451</v>
      </c>
      <c r="DR16" s="320"/>
      <c r="DS16" s="320"/>
      <c r="DT16" s="320"/>
      <c r="DU16" s="7"/>
      <c r="DV16" s="38">
        <f t="shared" si="40"/>
        <v>0</v>
      </c>
      <c r="DX16" s="38">
        <v>2.8888402165049043</v>
      </c>
      <c r="FK16" s="59"/>
      <c r="FM16" s="59"/>
      <c r="FO16" s="59"/>
      <c r="FQ16" s="59"/>
      <c r="FS16" s="64"/>
      <c r="FU16" s="58"/>
      <c r="FW16" s="58"/>
      <c r="FY16" s="59"/>
      <c r="FZ16" s="59"/>
      <c r="GA16" s="59"/>
    </row>
    <row r="17" spans="1:183" s="56" customFormat="1" ht="15.75" thickBot="1" x14ac:dyDescent="0.25">
      <c r="A17" s="202">
        <v>10</v>
      </c>
      <c r="B17" s="318">
        <v>43630</v>
      </c>
      <c r="C17" s="60">
        <v>0.35416666666666669</v>
      </c>
      <c r="D17" s="87">
        <f t="shared" si="64"/>
        <v>213.99999999994179</v>
      </c>
      <c r="E17" s="87">
        <f t="shared" ref="E17:E23" si="65">D17/24</f>
        <v>8.9166666666642413</v>
      </c>
      <c r="F17" s="116">
        <v>1</v>
      </c>
      <c r="G17" s="258">
        <v>2775000</v>
      </c>
      <c r="H17" s="258">
        <v>3360000</v>
      </c>
      <c r="I17" s="258">
        <v>2560000</v>
      </c>
      <c r="J17" s="299">
        <f>AVERAGE(G17:I17)</f>
        <v>2898333.3333333335</v>
      </c>
      <c r="K17" s="61">
        <f>STDEV(G17:I17)</f>
        <v>414014.89506216318</v>
      </c>
      <c r="L17" s="257">
        <f t="shared" ref="L17:L23" si="66">K17/J17</f>
        <v>0.14284585223536395</v>
      </c>
      <c r="M17" s="118">
        <f t="shared" ref="M17:M23" si="67">F17*J17</f>
        <v>2898333.3333333335</v>
      </c>
      <c r="N17" s="204">
        <v>220000</v>
      </c>
      <c r="O17" s="88">
        <f t="shared" ref="O17:O23" si="68">N17*F17</f>
        <v>220000</v>
      </c>
      <c r="P17" s="38">
        <v>6.97</v>
      </c>
      <c r="Q17" s="38">
        <v>52.3</v>
      </c>
      <c r="R17" s="84">
        <f t="shared" ref="R17:R23" si="69">BG17</f>
        <v>1.6946279251036696E-2</v>
      </c>
      <c r="S17" s="109">
        <f t="shared" si="60"/>
        <v>0.40671070202488069</v>
      </c>
      <c r="T17" s="311">
        <f t="shared" si="15"/>
        <v>6312873.0936675854</v>
      </c>
      <c r="U17" s="84" t="e">
        <f>#REF!</f>
        <v>#REF!</v>
      </c>
      <c r="V17" s="63">
        <f t="shared" ref="V17:V23" si="70">J17+N17</f>
        <v>3118333.3333333335</v>
      </c>
      <c r="W17" s="89">
        <f t="shared" ref="W17:W23" si="71">V17*F17</f>
        <v>3118333.3333333335</v>
      </c>
      <c r="X17" s="90">
        <f t="shared" ref="X17:X23" si="72">J17/V17</f>
        <v>0.92944949225013362</v>
      </c>
      <c r="Y17" s="61">
        <f t="shared" ref="Y17:Y23" si="73">AVERAGE(M17,M16)*(D17-D16)+Y16</f>
        <v>503598354.16639954</v>
      </c>
      <c r="Z17" s="148">
        <f t="shared" ref="Z17:Z23" si="74">AVERAGE(O17,O16)*(D17-D16)+Z16</f>
        <v>24470688.888850316</v>
      </c>
      <c r="AA17" s="27">
        <v>6</v>
      </c>
      <c r="AB17" s="27">
        <v>0</v>
      </c>
      <c r="AC17" s="27">
        <v>0</v>
      </c>
      <c r="AD17" s="27">
        <v>0</v>
      </c>
      <c r="AE17" s="27">
        <f t="shared" ref="AE17:AE23" si="75">E17-E16</f>
        <v>0.9256944444423425</v>
      </c>
      <c r="AF17" s="27">
        <f t="shared" ref="AF17:AF23" si="76">(AD16+AC16+AA17+AB17)-AA16-AB16</f>
        <v>0.84999999999999964</v>
      </c>
      <c r="AG17" s="27">
        <f t="shared" ref="AG17:AG23" si="77">AF17+AG16</f>
        <v>6</v>
      </c>
      <c r="AH17" s="27">
        <f t="shared" ref="AH17:AH23" si="78">AF17/AE17</f>
        <v>0.91822955739143197</v>
      </c>
      <c r="AI17" s="27">
        <f t="shared" ref="AI17:AI23" si="79">AH17/2</f>
        <v>0.45911477869571599</v>
      </c>
      <c r="AJ17" s="109">
        <f t="shared" ref="AJ17:AJ23" si="80">AI17/24</f>
        <v>1.9129782445654834E-2</v>
      </c>
      <c r="AK17" s="109">
        <f t="shared" ref="AK17:AK23" si="81">AI17*1000000/M17</f>
        <v>0.15840647913595721</v>
      </c>
      <c r="AL17" s="27">
        <f t="shared" ref="AL17:AL23" si="82">(AA17+AC16)-AA16</f>
        <v>0.84999999999999964</v>
      </c>
      <c r="AM17" s="27">
        <f t="shared" ref="AM17:AM23" si="83">AL17+AM16</f>
        <v>6</v>
      </c>
      <c r="AN17" s="27">
        <f t="shared" ref="AN17:AN23" si="84">AL17/AE17</f>
        <v>0.91822955739143197</v>
      </c>
      <c r="AO17" s="27">
        <f t="shared" ref="AO17:AO23" si="85">AN17/2</f>
        <v>0.45911477869571599</v>
      </c>
      <c r="AP17" s="27">
        <f t="shared" ref="AP17:AP23" si="86">AO17/24</f>
        <v>1.9129782445654834E-2</v>
      </c>
      <c r="AQ17" s="27">
        <f t="shared" ref="AQ17:AQ23" si="87">(AB17+AD16)-AB16</f>
        <v>0</v>
      </c>
      <c r="AR17" s="27">
        <f t="shared" ref="AR17:AR23" si="88">AQ17+AR16</f>
        <v>0</v>
      </c>
      <c r="AS17" s="27">
        <f t="shared" ref="AS17:AS23" si="89">AQ17/AE17</f>
        <v>0</v>
      </c>
      <c r="AT17" s="27">
        <f t="shared" ref="AT17:AT23" si="90">AS17/2</f>
        <v>0</v>
      </c>
      <c r="AU17" s="145">
        <f t="shared" ref="AU17:AU23" si="91">M17</f>
        <v>2898333.3333333335</v>
      </c>
      <c r="AV17" s="27">
        <v>1</v>
      </c>
      <c r="AW17" s="27">
        <f t="shared" ref="AW17:AW23" si="92">AO17/24</f>
        <v>1.9129782445654834E-2</v>
      </c>
      <c r="AX17" s="145">
        <f t="shared" ref="AX17:AX23" si="93">AV17*AW17*AU17</f>
        <v>55444.486121656264</v>
      </c>
      <c r="AY17" s="145">
        <f t="shared" ref="AY17:AY23" si="94">AVERAGE(AX17,AX16)*(D17-D16)+AY16</f>
        <v>6161670.3404134819</v>
      </c>
      <c r="AZ17" s="27">
        <f t="shared" ref="AZ17:AZ23" si="95">AT17/24</f>
        <v>0</v>
      </c>
      <c r="BA17" s="145">
        <f t="shared" ref="BA17:BA23" si="96">AZ17*AU17</f>
        <v>0</v>
      </c>
      <c r="BB17" s="145">
        <f t="shared" ref="BB17:BB23" si="97">AVERAGE(BA17,BA16)*(D17-D16)+BB16</f>
        <v>0</v>
      </c>
      <c r="BC17" s="145">
        <f t="shared" ref="BC17:BC23" si="98">AU17+AY17+BB17</f>
        <v>9060003.673746815</v>
      </c>
      <c r="BD17" s="145">
        <f t="shared" ref="BD17:BD23" si="99">Y17</f>
        <v>503598354.16639954</v>
      </c>
      <c r="BE17" s="84">
        <f t="shared" ref="BE17:BE23" si="100">(BC17-BC16)/(BD17-BD16)</f>
        <v>2.0551289183394352E-2</v>
      </c>
      <c r="BF17" s="84">
        <f t="shared" ref="BF17:BF23" si="101">(W17-W16)/(((W17+W16)/2)*(D17-D16))+AZ17+(AW17*AV17)</f>
        <v>1.6946707341802206E-2</v>
      </c>
      <c r="BG17" s="84">
        <f t="shared" ref="BG17:BG23" si="102">((LN(W17)-LN(W16))/(D17-D16))+AZ17+(AW17*AV17)</f>
        <v>1.6946279251036696E-2</v>
      </c>
      <c r="BH17" s="38">
        <f t="shared" ref="BH17:BH23" si="103">BR17</f>
        <v>16.650417666666666</v>
      </c>
      <c r="BI17" s="346">
        <f>BI15/BI13</f>
        <v>7.2671038505967442E-2</v>
      </c>
      <c r="BJ17" s="38">
        <f t="shared" si="61"/>
        <v>7.4926879499999997</v>
      </c>
      <c r="BK17" s="346">
        <f>BK15/BK13</f>
        <v>7.2671038505967428E-2</v>
      </c>
      <c r="BL17" s="38">
        <f>'Analisis economico'!$C$5/BJ17</f>
        <v>0.47512988980142973</v>
      </c>
      <c r="BM17" s="346">
        <f>BM15/BM13</f>
        <v>7.0486071554856783E-2</v>
      </c>
      <c r="BN17" s="38">
        <f t="shared" si="10"/>
        <v>16.650417666666666</v>
      </c>
      <c r="BO17" s="38">
        <f t="shared" si="11"/>
        <v>0.3185188675926211</v>
      </c>
      <c r="BP17" s="38">
        <f t="shared" si="28"/>
        <v>41.750699793296093</v>
      </c>
      <c r="BQ17" s="27">
        <f t="shared" ref="BQ17:BQ23" si="104">BP17+BN17</f>
        <v>58.401117459962762</v>
      </c>
      <c r="BR17" s="211">
        <v>16.650417666666666</v>
      </c>
      <c r="BS17" s="61">
        <f t="shared" si="59"/>
        <v>1.3035427951706746E-7</v>
      </c>
      <c r="BT17" s="61"/>
      <c r="BU17" s="342">
        <f t="shared" si="62"/>
        <v>3.1285027084096191</v>
      </c>
      <c r="BV17" s="342"/>
      <c r="BW17" s="342"/>
      <c r="BX17" s="27">
        <f t="shared" si="30"/>
        <v>8.5808977575000001E-2</v>
      </c>
      <c r="BZ17" s="38">
        <f t="shared" si="12"/>
        <v>16.650417666666666</v>
      </c>
      <c r="CA17" s="38">
        <f t="shared" si="13"/>
        <v>0.3185188675926211</v>
      </c>
      <c r="CB17" s="245">
        <f t="shared" si="31"/>
        <v>40.246484408676238</v>
      </c>
      <c r="CC17" s="58">
        <f t="shared" ref="CC17:CC23" si="105">CB17+BZ17</f>
        <v>56.896902075342908</v>
      </c>
      <c r="CD17" s="38">
        <v>26.119</v>
      </c>
      <c r="CE17" s="35"/>
      <c r="CF17" s="80">
        <f t="shared" si="33"/>
        <v>24032022.222183473</v>
      </c>
      <c r="CG17" s="77">
        <f t="shared" si="34"/>
        <v>24032022.222183473</v>
      </c>
      <c r="CH17" s="62"/>
      <c r="CI17" s="93">
        <f t="shared" ref="CI17:CI23" si="106">CF17-CF16</f>
        <v>7553666.6666495167</v>
      </c>
      <c r="CJ17" s="58"/>
      <c r="CK17" s="323">
        <f>AVERAGE(CK16,CK18)</f>
        <v>12.748949485485507</v>
      </c>
      <c r="CL17" s="323"/>
      <c r="CM17" s="323"/>
      <c r="CN17" s="323"/>
      <c r="CO17" s="38">
        <f t="shared" si="35"/>
        <v>-97.836343951299114</v>
      </c>
      <c r="CP17" s="321"/>
      <c r="CQ17" s="321"/>
      <c r="CR17" s="322"/>
      <c r="CS17" s="58">
        <f t="shared" si="36"/>
        <v>-97.836343951299114</v>
      </c>
      <c r="CT17" s="58"/>
      <c r="CU17" s="58"/>
      <c r="CV17" s="58"/>
      <c r="CW17" s="324">
        <f>AVERAGE(CW16,CW18)</f>
        <v>28.614002429950453</v>
      </c>
      <c r="CX17" s="324"/>
      <c r="CY17" s="324"/>
      <c r="CZ17" s="324"/>
      <c r="DA17" s="38">
        <f t="shared" si="37"/>
        <v>190.99317962427054</v>
      </c>
      <c r="DB17" s="320"/>
      <c r="DC17" s="320"/>
      <c r="DD17" s="320"/>
      <c r="DE17" s="38">
        <f t="shared" si="38"/>
        <v>190.99317962427051</v>
      </c>
      <c r="DF17" s="320"/>
      <c r="DG17" s="320"/>
      <c r="DH17" s="320"/>
      <c r="DI17" s="320">
        <f t="shared" si="39"/>
        <v>-2.5432293982714564</v>
      </c>
      <c r="DJ17" s="320"/>
      <c r="DK17" s="320"/>
      <c r="DL17" s="320"/>
      <c r="DM17" s="352">
        <f t="shared" si="56"/>
        <v>0.25760557466116779</v>
      </c>
      <c r="DN17" s="320"/>
      <c r="DO17" s="320"/>
      <c r="DP17" s="320"/>
      <c r="DQ17" s="352">
        <f t="shared" si="63"/>
        <v>1.0465887768754056</v>
      </c>
      <c r="DR17" s="320"/>
      <c r="DS17" s="320"/>
      <c r="DT17" s="320"/>
      <c r="DU17" s="7"/>
      <c r="DV17" s="38">
        <f t="shared" ref="DV17:DV23" si="107">DU17/1000</f>
        <v>0</v>
      </c>
      <c r="DX17" s="324">
        <f>AVERAGE(DX16,DX18)</f>
        <v>2.780685635683656</v>
      </c>
      <c r="FK17" s="59"/>
      <c r="FM17" s="59"/>
      <c r="FO17" s="59"/>
      <c r="FQ17" s="59"/>
      <c r="FS17" s="64"/>
      <c r="FU17" s="58"/>
      <c r="FW17" s="58"/>
      <c r="FY17" s="59"/>
      <c r="FZ17" s="59"/>
      <c r="GA17" s="59"/>
    </row>
    <row r="18" spans="1:183" s="56" customFormat="1" ht="15.75" thickBot="1" x14ac:dyDescent="0.25">
      <c r="A18" s="202">
        <v>11</v>
      </c>
      <c r="B18" s="203">
        <v>43631</v>
      </c>
      <c r="C18" s="60">
        <v>0.34722222222222227</v>
      </c>
      <c r="D18" s="87">
        <f t="shared" si="64"/>
        <v>237.83333333325572</v>
      </c>
      <c r="E18" s="87">
        <f t="shared" si="65"/>
        <v>9.9097222222189885</v>
      </c>
      <c r="F18" s="116">
        <v>1</v>
      </c>
      <c r="G18" s="258">
        <v>2550000</v>
      </c>
      <c r="H18" s="258">
        <v>3300000</v>
      </c>
      <c r="I18" s="258">
        <v>2790000</v>
      </c>
      <c r="J18" s="299">
        <f>AVERAGE(G18:I18)</f>
        <v>2880000</v>
      </c>
      <c r="K18" s="61">
        <f>STDEV(G18:I18)</f>
        <v>383014.36004411115</v>
      </c>
      <c r="L18" s="257">
        <f t="shared" si="66"/>
        <v>0.1329910972375386</v>
      </c>
      <c r="M18" s="118">
        <f t="shared" si="67"/>
        <v>2880000</v>
      </c>
      <c r="N18" s="204">
        <v>210000</v>
      </c>
      <c r="O18" s="88">
        <f t="shared" si="68"/>
        <v>210000</v>
      </c>
      <c r="P18" s="38">
        <v>6.96</v>
      </c>
      <c r="Q18" s="38">
        <v>51.6</v>
      </c>
      <c r="R18" s="84">
        <f t="shared" si="69"/>
        <v>1.8498143490296694E-2</v>
      </c>
      <c r="S18" s="109">
        <f t="shared" si="60"/>
        <v>0.44395544376712065</v>
      </c>
      <c r="T18" s="311">
        <f t="shared" si="15"/>
        <v>6355555.5555503787</v>
      </c>
      <c r="U18" s="84" t="e">
        <f>#REF!</f>
        <v>#REF!</v>
      </c>
      <c r="V18" s="63">
        <f t="shared" si="70"/>
        <v>3090000</v>
      </c>
      <c r="W18" s="89">
        <f t="shared" si="71"/>
        <v>3090000</v>
      </c>
      <c r="X18" s="90">
        <f t="shared" si="72"/>
        <v>0.93203883495145634</v>
      </c>
      <c r="Y18" s="61">
        <f t="shared" si="73"/>
        <v>572456826.38856566</v>
      </c>
      <c r="Z18" s="148">
        <f t="shared" si="74"/>
        <v>29594855.555512812</v>
      </c>
      <c r="AA18" s="27">
        <v>6.9</v>
      </c>
      <c r="AB18" s="27">
        <v>0</v>
      </c>
      <c r="AC18" s="27">
        <v>0</v>
      </c>
      <c r="AD18" s="27">
        <v>0</v>
      </c>
      <c r="AE18" s="27">
        <f t="shared" si="75"/>
        <v>0.99305555555474712</v>
      </c>
      <c r="AF18" s="27">
        <f t="shared" si="76"/>
        <v>0.90000000000000036</v>
      </c>
      <c r="AG18" s="27">
        <f t="shared" si="77"/>
        <v>6.9</v>
      </c>
      <c r="AH18" s="27">
        <f t="shared" si="78"/>
        <v>0.9062937062944445</v>
      </c>
      <c r="AI18" s="27">
        <f t="shared" si="79"/>
        <v>0.45314685314722225</v>
      </c>
      <c r="AJ18" s="109">
        <f t="shared" si="80"/>
        <v>1.8881118881134262E-2</v>
      </c>
      <c r="AK18" s="109">
        <f t="shared" si="81"/>
        <v>0.15734265734278549</v>
      </c>
      <c r="AL18" s="27">
        <f t="shared" si="82"/>
        <v>0.90000000000000036</v>
      </c>
      <c r="AM18" s="27">
        <f t="shared" si="83"/>
        <v>6.9</v>
      </c>
      <c r="AN18" s="27">
        <f t="shared" si="84"/>
        <v>0.9062937062944445</v>
      </c>
      <c r="AO18" s="27">
        <f t="shared" si="85"/>
        <v>0.45314685314722225</v>
      </c>
      <c r="AP18" s="27">
        <f t="shared" si="86"/>
        <v>1.8881118881134262E-2</v>
      </c>
      <c r="AQ18" s="27">
        <f t="shared" si="87"/>
        <v>0</v>
      </c>
      <c r="AR18" s="27">
        <f t="shared" si="88"/>
        <v>0</v>
      </c>
      <c r="AS18" s="27">
        <f t="shared" si="89"/>
        <v>0</v>
      </c>
      <c r="AT18" s="27">
        <f t="shared" si="90"/>
        <v>0</v>
      </c>
      <c r="AU18" s="145">
        <f t="shared" si="91"/>
        <v>2880000</v>
      </c>
      <c r="AV18" s="27">
        <v>1</v>
      </c>
      <c r="AW18" s="27">
        <f t="shared" si="92"/>
        <v>1.8881118881134262E-2</v>
      </c>
      <c r="AX18" s="145">
        <f t="shared" si="93"/>
        <v>54377.622377666674</v>
      </c>
      <c r="AY18" s="145">
        <f t="shared" si="94"/>
        <v>7470383.8000293486</v>
      </c>
      <c r="AZ18" s="27">
        <f t="shared" si="95"/>
        <v>0</v>
      </c>
      <c r="BA18" s="145">
        <f t="shared" si="96"/>
        <v>0</v>
      </c>
      <c r="BB18" s="145">
        <f t="shared" si="97"/>
        <v>0</v>
      </c>
      <c r="BC18" s="145">
        <f t="shared" si="98"/>
        <v>10350383.800029349</v>
      </c>
      <c r="BD18" s="145">
        <f t="shared" si="99"/>
        <v>572456826.38856566</v>
      </c>
      <c r="BE18" s="84">
        <f t="shared" si="100"/>
        <v>1.8739598551057446E-2</v>
      </c>
      <c r="BF18" s="84">
        <f t="shared" si="101"/>
        <v>1.8498146149167928E-2</v>
      </c>
      <c r="BG18" s="84">
        <f t="shared" si="102"/>
        <v>1.8498143490296694E-2</v>
      </c>
      <c r="BH18" s="38">
        <f t="shared" si="103"/>
        <v>16.873167333333331</v>
      </c>
      <c r="BI18" s="38"/>
      <c r="BJ18" s="38">
        <f t="shared" si="61"/>
        <v>7.5929252999999992</v>
      </c>
      <c r="BK18" s="38"/>
      <c r="BL18" s="38">
        <f>'Analisis economico'!$C$5/BJ18</f>
        <v>0.46885750344468691</v>
      </c>
      <c r="BM18" s="38"/>
      <c r="BN18" s="38">
        <f t="shared" si="10"/>
        <v>16.873167333333331</v>
      </c>
      <c r="BO18" s="38">
        <f t="shared" si="11"/>
        <v>0.31858427832193781</v>
      </c>
      <c r="BP18" s="38">
        <f t="shared" si="28"/>
        <v>49.342845615438407</v>
      </c>
      <c r="BQ18" s="27">
        <f t="shared" si="104"/>
        <v>66.216012948771734</v>
      </c>
      <c r="BR18" s="211">
        <v>16.873167333333331</v>
      </c>
      <c r="BS18" s="61">
        <f t="shared" si="59"/>
        <v>1.1277561120745961E-7</v>
      </c>
      <c r="BT18" s="61"/>
      <c r="BU18" s="342">
        <f t="shared" si="62"/>
        <v>2.7066146689790305</v>
      </c>
      <c r="BV18" s="342"/>
      <c r="BW18" s="342"/>
      <c r="BX18" s="27">
        <f t="shared" si="30"/>
        <v>0.10089459082500001</v>
      </c>
      <c r="BZ18" s="38">
        <f t="shared" si="12"/>
        <v>16.873167333333331</v>
      </c>
      <c r="CA18" s="38">
        <f t="shared" si="13"/>
        <v>0.31858427832193781</v>
      </c>
      <c r="CB18" s="245">
        <f t="shared" si="31"/>
        <v>47.838630230818552</v>
      </c>
      <c r="CC18" s="58">
        <f t="shared" si="105"/>
        <v>64.71179756415188</v>
      </c>
      <c r="CD18" s="38">
        <v>27.119</v>
      </c>
      <c r="CE18" s="35"/>
      <c r="CF18" s="80">
        <f t="shared" si="33"/>
        <v>29156188.888845969</v>
      </c>
      <c r="CG18" s="77">
        <f t="shared" si="34"/>
        <v>29156188.888845969</v>
      </c>
      <c r="CH18" s="62"/>
      <c r="CI18" s="93">
        <f t="shared" si="106"/>
        <v>5124166.6666624956</v>
      </c>
      <c r="CJ18" s="58"/>
      <c r="CK18" s="320">
        <v>10.938491634232056</v>
      </c>
      <c r="CL18" s="320"/>
      <c r="CM18" s="320"/>
      <c r="CN18" s="320"/>
      <c r="CO18" s="38">
        <f t="shared" si="35"/>
        <v>-105.73547980887749</v>
      </c>
      <c r="CP18" s="321"/>
      <c r="CQ18" s="321"/>
      <c r="CR18" s="322"/>
      <c r="CS18" s="58">
        <f t="shared" si="36"/>
        <v>-105.7354798088775</v>
      </c>
      <c r="CT18" s="58"/>
      <c r="CU18" s="58"/>
      <c r="CV18" s="58"/>
      <c r="CW18" s="320">
        <v>28.559414244104097</v>
      </c>
      <c r="CX18" s="320"/>
      <c r="CY18" s="320"/>
      <c r="CZ18" s="320"/>
      <c r="DA18" s="38">
        <f t="shared" si="37"/>
        <v>186.02548317492952</v>
      </c>
      <c r="DB18" s="320"/>
      <c r="DC18" s="320"/>
      <c r="DD18" s="320"/>
      <c r="DE18" s="38">
        <f t="shared" si="38"/>
        <v>186.02548317492952</v>
      </c>
      <c r="DF18" s="320"/>
      <c r="DG18" s="320"/>
      <c r="DH18" s="320"/>
      <c r="DI18" s="320">
        <f t="shared" si="39"/>
        <v>-2.1865326304084149</v>
      </c>
      <c r="DJ18" s="320"/>
      <c r="DK18" s="320"/>
      <c r="DL18" s="320"/>
      <c r="DM18" s="352">
        <f t="shared" si="56"/>
        <v>0.22049520770112618</v>
      </c>
      <c r="DN18" s="320"/>
      <c r="DO18" s="320"/>
      <c r="DP18" s="320"/>
      <c r="DQ18" s="352">
        <f t="shared" si="63"/>
        <v>1.0008796115303642</v>
      </c>
      <c r="DR18" s="320"/>
      <c r="DS18" s="320"/>
      <c r="DT18" s="320"/>
      <c r="DU18" s="7"/>
      <c r="DV18" s="38">
        <f t="shared" si="107"/>
        <v>0</v>
      </c>
      <c r="DX18" s="38">
        <v>2.6725310548624077</v>
      </c>
      <c r="FK18" s="59"/>
      <c r="FM18" s="59"/>
      <c r="FO18" s="59"/>
      <c r="FQ18" s="59"/>
      <c r="FS18" s="64"/>
      <c r="FU18" s="58"/>
      <c r="FW18" s="58"/>
      <c r="FY18" s="59"/>
      <c r="FZ18" s="59"/>
      <c r="GA18" s="59"/>
    </row>
    <row r="19" spans="1:183" s="56" customFormat="1" ht="15.75" thickBot="1" x14ac:dyDescent="0.25">
      <c r="A19" s="202">
        <v>12</v>
      </c>
      <c r="B19" s="203">
        <v>43632</v>
      </c>
      <c r="C19" s="60">
        <v>0.33333333333333331</v>
      </c>
      <c r="D19" s="87">
        <f t="shared" si="64"/>
        <v>261.50000000005821</v>
      </c>
      <c r="E19" s="87">
        <f t="shared" si="65"/>
        <v>10.895833333335759</v>
      </c>
      <c r="F19" s="116">
        <v>1</v>
      </c>
      <c r="G19" s="258">
        <v>3195000</v>
      </c>
      <c r="H19" s="258">
        <v>3225000</v>
      </c>
      <c r="I19" s="258"/>
      <c r="J19" s="299">
        <f>AVERAGE(G19:H19)</f>
        <v>3210000</v>
      </c>
      <c r="K19" s="61">
        <f>STDEV(G19:H19)</f>
        <v>21213.203435596424</v>
      </c>
      <c r="L19" s="257">
        <f t="shared" si="66"/>
        <v>6.6084745905284807E-3</v>
      </c>
      <c r="M19" s="118">
        <f t="shared" si="67"/>
        <v>3210000</v>
      </c>
      <c r="N19" s="204">
        <v>240000</v>
      </c>
      <c r="O19" s="88">
        <f t="shared" si="68"/>
        <v>240000</v>
      </c>
      <c r="P19" s="38">
        <v>7.01</v>
      </c>
      <c r="Q19" s="38">
        <v>49.3</v>
      </c>
      <c r="R19" s="84">
        <f t="shared" si="69"/>
        <v>2.3670555216777391E-2</v>
      </c>
      <c r="S19" s="109">
        <f t="shared" si="60"/>
        <v>0.56809332520265743</v>
      </c>
      <c r="T19" s="311">
        <f t="shared" si="15"/>
        <v>7034259.2592996312</v>
      </c>
      <c r="U19" s="84" t="e">
        <f>#REF!</f>
        <v>#REF!</v>
      </c>
      <c r="V19" s="63">
        <f t="shared" si="70"/>
        <v>3450000</v>
      </c>
      <c r="W19" s="89">
        <f t="shared" si="71"/>
        <v>3450000</v>
      </c>
      <c r="X19" s="90">
        <f t="shared" si="72"/>
        <v>0.93043478260869561</v>
      </c>
      <c r="Y19" s="61">
        <f t="shared" si="73"/>
        <v>644521826.3889792</v>
      </c>
      <c r="Z19" s="148">
        <f t="shared" si="74"/>
        <v>34919855.555543371</v>
      </c>
      <c r="AA19" s="27">
        <v>7.8</v>
      </c>
      <c r="AB19" s="27">
        <v>0</v>
      </c>
      <c r="AC19" s="27">
        <v>0</v>
      </c>
      <c r="AD19" s="27">
        <v>0</v>
      </c>
      <c r="AE19" s="27">
        <f t="shared" si="75"/>
        <v>0.98611111111677019</v>
      </c>
      <c r="AF19" s="27">
        <f t="shared" si="76"/>
        <v>0.89999999999999947</v>
      </c>
      <c r="AG19" s="27">
        <f t="shared" si="77"/>
        <v>7.8</v>
      </c>
      <c r="AH19" s="27">
        <f t="shared" si="78"/>
        <v>0.91267605633279003</v>
      </c>
      <c r="AI19" s="27">
        <f t="shared" si="79"/>
        <v>0.45633802816639502</v>
      </c>
      <c r="AJ19" s="109">
        <f t="shared" si="80"/>
        <v>1.9014084506933124E-2</v>
      </c>
      <c r="AK19" s="109">
        <f t="shared" si="81"/>
        <v>0.14216137949108879</v>
      </c>
      <c r="AL19" s="27">
        <f t="shared" si="82"/>
        <v>0.89999999999999947</v>
      </c>
      <c r="AM19" s="27">
        <f t="shared" si="83"/>
        <v>7.8</v>
      </c>
      <c r="AN19" s="27">
        <f t="shared" si="84"/>
        <v>0.91267605633279003</v>
      </c>
      <c r="AO19" s="27">
        <f t="shared" si="85"/>
        <v>0.45633802816639502</v>
      </c>
      <c r="AP19" s="27">
        <f t="shared" si="86"/>
        <v>1.9014084506933124E-2</v>
      </c>
      <c r="AQ19" s="27">
        <f t="shared" si="87"/>
        <v>0</v>
      </c>
      <c r="AR19" s="27">
        <f t="shared" si="88"/>
        <v>0</v>
      </c>
      <c r="AS19" s="27">
        <f t="shared" si="89"/>
        <v>0</v>
      </c>
      <c r="AT19" s="27">
        <f t="shared" si="90"/>
        <v>0</v>
      </c>
      <c r="AU19" s="145">
        <f t="shared" si="91"/>
        <v>3210000</v>
      </c>
      <c r="AV19" s="27">
        <v>1</v>
      </c>
      <c r="AW19" s="27">
        <f t="shared" si="92"/>
        <v>1.9014084506933124E-2</v>
      </c>
      <c r="AX19" s="145">
        <f t="shared" si="93"/>
        <v>61035.211267255327</v>
      </c>
      <c r="AY19" s="145">
        <f t="shared" si="94"/>
        <v>8836102.3315020967</v>
      </c>
      <c r="AZ19" s="27">
        <f t="shared" si="95"/>
        <v>0</v>
      </c>
      <c r="BA19" s="145">
        <f t="shared" si="96"/>
        <v>0</v>
      </c>
      <c r="BB19" s="145">
        <f t="shared" si="97"/>
        <v>0</v>
      </c>
      <c r="BC19" s="145">
        <f t="shared" si="98"/>
        <v>12046102.331502097</v>
      </c>
      <c r="BD19" s="145">
        <f t="shared" si="99"/>
        <v>644521826.3889792</v>
      </c>
      <c r="BE19" s="84">
        <f t="shared" si="100"/>
        <v>2.3530403544897209E-2</v>
      </c>
      <c r="BF19" s="84">
        <f t="shared" si="101"/>
        <v>2.3665848300678236E-2</v>
      </c>
      <c r="BG19" s="84">
        <f t="shared" si="102"/>
        <v>2.3670555216777391E-2</v>
      </c>
      <c r="BH19" s="38">
        <f t="shared" si="103"/>
        <v>16.04214</v>
      </c>
      <c r="BI19" s="38"/>
      <c r="BJ19" s="38">
        <f t="shared" si="61"/>
        <v>7.2189630000000005</v>
      </c>
      <c r="BK19" s="38"/>
      <c r="BL19" s="38">
        <f>'Analisis economico'!$C$5/BJ19</f>
        <v>0.49314562216207508</v>
      </c>
      <c r="BM19" s="38"/>
      <c r="BN19" s="38">
        <f t="shared" si="10"/>
        <v>16.04214</v>
      </c>
      <c r="BO19" s="38">
        <f t="shared" si="11"/>
        <v>0.30502660563205214</v>
      </c>
      <c r="BP19" s="38">
        <f t="shared" si="28"/>
        <v>56.722241075602973</v>
      </c>
      <c r="BQ19" s="27">
        <f t="shared" si="104"/>
        <v>72.764381075602969</v>
      </c>
      <c r="BR19" s="211">
        <v>16.04214</v>
      </c>
      <c r="BS19" s="61">
        <f t="shared" si="59"/>
        <v>9.1235923355705712E-8</v>
      </c>
      <c r="BT19" s="61"/>
      <c r="BU19" s="342">
        <f t="shared" si="62"/>
        <v>2.1896621605369373</v>
      </c>
      <c r="BV19" s="342"/>
      <c r="BW19" s="342"/>
      <c r="BX19" s="27">
        <f t="shared" si="30"/>
        <v>0.115706479125</v>
      </c>
      <c r="BZ19" s="38">
        <f t="shared" si="12"/>
        <v>16.04214</v>
      </c>
      <c r="CA19" s="38">
        <f t="shared" si="13"/>
        <v>0.30502660563205214</v>
      </c>
      <c r="CB19" s="245">
        <f t="shared" si="31"/>
        <v>55.218025690983119</v>
      </c>
      <c r="CC19" s="58">
        <f t="shared" si="105"/>
        <v>71.260165690983115</v>
      </c>
      <c r="CD19" s="38">
        <v>28.119</v>
      </c>
      <c r="CE19" s="35"/>
      <c r="CF19" s="80">
        <f t="shared" si="33"/>
        <v>34481188.888876528</v>
      </c>
      <c r="CG19" s="77">
        <f t="shared" si="34"/>
        <v>34481188.888876528</v>
      </c>
      <c r="CH19" s="62"/>
      <c r="CI19" s="93">
        <f t="shared" si="106"/>
        <v>5325000.0000305586</v>
      </c>
      <c r="CJ19" s="58"/>
      <c r="CK19" s="320">
        <v>10.312705873988726</v>
      </c>
      <c r="CL19" s="320"/>
      <c r="CM19" s="320"/>
      <c r="CN19" s="320"/>
      <c r="CO19" s="38">
        <f t="shared" si="35"/>
        <v>-92.198242154381759</v>
      </c>
      <c r="CP19" s="321"/>
      <c r="CQ19" s="321"/>
      <c r="CR19" s="322"/>
      <c r="CS19" s="58">
        <f t="shared" si="36"/>
        <v>-92.198242154381745</v>
      </c>
      <c r="CT19" s="58"/>
      <c r="CU19" s="58"/>
      <c r="CV19" s="58"/>
      <c r="CW19" s="320">
        <v>33.681978788049697</v>
      </c>
      <c r="CX19" s="320"/>
      <c r="CY19" s="320"/>
      <c r="CZ19" s="320"/>
      <c r="DA19" s="38"/>
      <c r="DB19" s="320"/>
      <c r="DC19" s="320"/>
      <c r="DD19" s="320"/>
      <c r="DE19" s="193"/>
      <c r="DF19" s="320"/>
      <c r="DG19" s="320"/>
      <c r="DH19" s="320"/>
      <c r="DI19" s="320">
        <f t="shared" si="39"/>
        <v>-2.4608208516569108</v>
      </c>
      <c r="DJ19" s="320"/>
      <c r="DK19" s="320"/>
      <c r="DL19" s="320"/>
      <c r="DM19" s="352">
        <f t="shared" si="56"/>
        <v>0.23452407542698525</v>
      </c>
      <c r="DN19" s="320"/>
      <c r="DO19" s="320"/>
      <c r="DP19" s="320"/>
      <c r="DQ19" s="352">
        <f t="shared" si="63"/>
        <v>1.2925277995259392</v>
      </c>
      <c r="DR19" s="320"/>
      <c r="DS19" s="320"/>
      <c r="DT19" s="320"/>
      <c r="DU19" s="7"/>
      <c r="DV19" s="38">
        <f t="shared" si="107"/>
        <v>0</v>
      </c>
      <c r="DX19" s="38">
        <v>3.0664944218783279</v>
      </c>
      <c r="FK19" s="59"/>
      <c r="FM19" s="59"/>
      <c r="FO19" s="59"/>
      <c r="FQ19" s="59"/>
      <c r="FS19" s="64"/>
      <c r="FU19" s="58"/>
      <c r="FW19" s="58"/>
      <c r="FY19" s="59"/>
      <c r="FZ19" s="59"/>
      <c r="GA19" s="59"/>
    </row>
    <row r="20" spans="1:183" s="56" customFormat="1" ht="15.75" thickBot="1" x14ac:dyDescent="0.25">
      <c r="A20" s="202">
        <v>13</v>
      </c>
      <c r="B20" s="203">
        <v>43633</v>
      </c>
      <c r="C20" s="60">
        <v>0.64583333333333337</v>
      </c>
      <c r="D20" s="87">
        <f t="shared" si="64"/>
        <v>293.00000000005821</v>
      </c>
      <c r="E20" s="87">
        <f t="shared" si="65"/>
        <v>12.208333333335759</v>
      </c>
      <c r="F20" s="116">
        <v>1</v>
      </c>
      <c r="G20" s="258">
        <v>3015000</v>
      </c>
      <c r="H20" s="258">
        <v>2715000</v>
      </c>
      <c r="I20" s="258">
        <v>2880000</v>
      </c>
      <c r="J20" s="299">
        <f>AVERAGE(G20:I20)</f>
        <v>2870000</v>
      </c>
      <c r="K20" s="61">
        <f>STDEV(G20:I20)</f>
        <v>150249.7920131672</v>
      </c>
      <c r="L20" s="257">
        <f t="shared" si="66"/>
        <v>5.23518439070269E-2</v>
      </c>
      <c r="M20" s="118">
        <f t="shared" si="67"/>
        <v>2870000</v>
      </c>
      <c r="N20" s="204">
        <v>240000</v>
      </c>
      <c r="O20" s="88">
        <f t="shared" si="68"/>
        <v>240000</v>
      </c>
      <c r="P20" s="38">
        <v>6.93</v>
      </c>
      <c r="Q20" s="38">
        <v>67</v>
      </c>
      <c r="R20" s="84">
        <f t="shared" si="69"/>
        <v>1.4960269687234106E-2</v>
      </c>
      <c r="S20" s="109">
        <f t="shared" si="60"/>
        <v>0.35904647249361854</v>
      </c>
      <c r="T20" s="311">
        <f t="shared" si="15"/>
        <v>6551086.956521742</v>
      </c>
      <c r="U20" s="84" t="e">
        <f>#REF!</f>
        <v>#REF!</v>
      </c>
      <c r="V20" s="63">
        <f t="shared" si="70"/>
        <v>3110000</v>
      </c>
      <c r="W20" s="89">
        <f t="shared" si="71"/>
        <v>3110000</v>
      </c>
      <c r="X20" s="90">
        <f t="shared" si="72"/>
        <v>0.92282958199356913</v>
      </c>
      <c r="Y20" s="61">
        <f t="shared" si="73"/>
        <v>740281826.3889792</v>
      </c>
      <c r="Z20" s="148">
        <f t="shared" si="74"/>
        <v>42479855.555543371</v>
      </c>
      <c r="AA20" s="27">
        <v>8.9499999999999993</v>
      </c>
      <c r="AB20" s="27">
        <v>0</v>
      </c>
      <c r="AC20" s="27">
        <v>0</v>
      </c>
      <c r="AD20" s="27">
        <v>0</v>
      </c>
      <c r="AE20" s="27">
        <f t="shared" si="75"/>
        <v>1.3125</v>
      </c>
      <c r="AF20" s="27">
        <f t="shared" si="76"/>
        <v>1.1499999999999995</v>
      </c>
      <c r="AG20" s="27">
        <f t="shared" si="77"/>
        <v>8.9499999999999993</v>
      </c>
      <c r="AH20" s="27">
        <f t="shared" si="78"/>
        <v>0.87619047619047574</v>
      </c>
      <c r="AI20" s="27">
        <f t="shared" si="79"/>
        <v>0.43809523809523787</v>
      </c>
      <c r="AJ20" s="109">
        <f t="shared" si="80"/>
        <v>1.8253968253968245E-2</v>
      </c>
      <c r="AK20" s="109">
        <f t="shared" si="81"/>
        <v>0.15264642442342782</v>
      </c>
      <c r="AL20" s="27">
        <f t="shared" si="82"/>
        <v>1.1499999999999995</v>
      </c>
      <c r="AM20" s="27">
        <f t="shared" si="83"/>
        <v>8.9499999999999993</v>
      </c>
      <c r="AN20" s="27">
        <f t="shared" si="84"/>
        <v>0.87619047619047574</v>
      </c>
      <c r="AO20" s="27">
        <f t="shared" si="85"/>
        <v>0.43809523809523787</v>
      </c>
      <c r="AP20" s="27">
        <f t="shared" si="86"/>
        <v>1.8253968253968245E-2</v>
      </c>
      <c r="AQ20" s="27">
        <f t="shared" si="87"/>
        <v>0</v>
      </c>
      <c r="AR20" s="27">
        <f t="shared" si="88"/>
        <v>0</v>
      </c>
      <c r="AS20" s="27">
        <f t="shared" si="89"/>
        <v>0</v>
      </c>
      <c r="AT20" s="27">
        <f t="shared" si="90"/>
        <v>0</v>
      </c>
      <c r="AU20" s="145">
        <f t="shared" si="91"/>
        <v>2870000</v>
      </c>
      <c r="AV20" s="27">
        <v>1</v>
      </c>
      <c r="AW20" s="27">
        <f t="shared" si="92"/>
        <v>1.8253968253968245E-2</v>
      </c>
      <c r="AX20" s="145">
        <f t="shared" si="93"/>
        <v>52388.888888888861</v>
      </c>
      <c r="AY20" s="145">
        <f t="shared" si="94"/>
        <v>10622531.908961367</v>
      </c>
      <c r="AZ20" s="27">
        <f t="shared" si="95"/>
        <v>0</v>
      </c>
      <c r="BA20" s="145">
        <f t="shared" si="96"/>
        <v>0</v>
      </c>
      <c r="BB20" s="145">
        <f t="shared" si="97"/>
        <v>0</v>
      </c>
      <c r="BC20" s="145">
        <f t="shared" si="98"/>
        <v>13492531.908961367</v>
      </c>
      <c r="BD20" s="145">
        <f t="shared" si="99"/>
        <v>740281826.3889792</v>
      </c>
      <c r="BE20" s="84">
        <f t="shared" si="100"/>
        <v>1.5104736606717524E-2</v>
      </c>
      <c r="BF20" s="84">
        <f t="shared" si="101"/>
        <v>1.4963221060782027E-2</v>
      </c>
      <c r="BG20" s="84">
        <f t="shared" si="102"/>
        <v>1.4960269687234106E-2</v>
      </c>
      <c r="BH20" s="347">
        <f t="shared" si="103"/>
        <v>6.8107706666666674</v>
      </c>
      <c r="BI20" s="38"/>
      <c r="BJ20" s="38"/>
      <c r="BK20" s="38"/>
      <c r="BL20" s="38"/>
      <c r="BM20" s="38"/>
      <c r="BN20" s="38">
        <f t="shared" si="10"/>
        <v>6.8107706666666674</v>
      </c>
      <c r="BO20" s="38">
        <f t="shared" si="11"/>
        <v>0.12432359153439149</v>
      </c>
      <c r="BP20" s="38">
        <f t="shared" si="28"/>
        <v>63.484506680974462</v>
      </c>
      <c r="BQ20" s="27">
        <f t="shared" si="104"/>
        <v>70.295277347641132</v>
      </c>
      <c r="BR20" s="211">
        <v>6.8107706666666674</v>
      </c>
      <c r="BS20" s="230">
        <f t="shared" si="59"/>
        <v>-2.7789865462266821E-8</v>
      </c>
      <c r="BT20" s="230"/>
      <c r="BU20" s="341">
        <f t="shared" si="62"/>
        <v>-0.66695677109440366</v>
      </c>
      <c r="BV20" s="342"/>
      <c r="BW20" s="342"/>
      <c r="BX20" s="27">
        <f t="shared" si="30"/>
        <v>0.12884690275833333</v>
      </c>
      <c r="BZ20" s="38">
        <f t="shared" si="12"/>
        <v>6.8107706666666674</v>
      </c>
      <c r="CA20" s="38">
        <f t="shared" si="13"/>
        <v>0.12432359153439149</v>
      </c>
      <c r="CB20" s="245">
        <f t="shared" si="31"/>
        <v>61.980291296354608</v>
      </c>
      <c r="CC20" s="58">
        <f t="shared" si="105"/>
        <v>68.791061963021278</v>
      </c>
      <c r="CD20" s="38">
        <v>29.119</v>
      </c>
      <c r="CE20" s="35"/>
      <c r="CF20" s="80">
        <f t="shared" si="33"/>
        <v>42041188.888876528</v>
      </c>
      <c r="CG20" s="77">
        <f t="shared" si="34"/>
        <v>42041188.888876528</v>
      </c>
      <c r="CH20" s="62"/>
      <c r="CI20" s="93">
        <f t="shared" si="106"/>
        <v>7560000</v>
      </c>
      <c r="CJ20" s="58"/>
      <c r="CK20" s="320">
        <v>9.2053544685717252</v>
      </c>
      <c r="CL20" s="320"/>
      <c r="CM20" s="320"/>
      <c r="CN20" s="320"/>
      <c r="CO20" s="38">
        <f t="shared" si="35"/>
        <v>-97.075073693931358</v>
      </c>
      <c r="CP20" s="321"/>
      <c r="CQ20" s="321"/>
      <c r="CR20" s="322"/>
      <c r="CS20" s="58">
        <f t="shared" si="36"/>
        <v>-97.075073693931358</v>
      </c>
      <c r="CT20" s="58"/>
      <c r="CU20" s="58"/>
      <c r="CV20" s="58"/>
      <c r="CW20" s="320">
        <v>33.232094666687729</v>
      </c>
      <c r="CX20" s="320"/>
      <c r="CY20" s="320"/>
      <c r="CZ20" s="320"/>
      <c r="DA20" s="38">
        <f t="shared" si="37"/>
        <v>196.19791141264653</v>
      </c>
      <c r="DB20" s="320"/>
      <c r="DC20" s="320"/>
      <c r="DD20" s="320"/>
      <c r="DE20" s="38">
        <f t="shared" si="38"/>
        <v>196.19791141264656</v>
      </c>
      <c r="DF20" s="320"/>
      <c r="DG20" s="320"/>
      <c r="DH20" s="320"/>
      <c r="DI20" s="320">
        <f t="shared" si="39"/>
        <v>-2.2462244597947798</v>
      </c>
      <c r="DJ20" s="320"/>
      <c r="DK20" s="320"/>
      <c r="DL20" s="320"/>
      <c r="DM20" s="352">
        <f t="shared" si="56"/>
        <v>0.19398910192902272</v>
      </c>
      <c r="DN20" s="320"/>
      <c r="DO20" s="320"/>
      <c r="DP20" s="320"/>
      <c r="DQ20" s="352">
        <f t="shared" si="63"/>
        <v>1.011689331258228</v>
      </c>
      <c r="DR20" s="320"/>
      <c r="DS20" s="320"/>
      <c r="DT20" s="320"/>
      <c r="DU20" s="7"/>
      <c r="DV20" s="38">
        <f t="shared" si="107"/>
        <v>0</v>
      </c>
      <c r="DX20" s="38">
        <v>2.7131607536766156</v>
      </c>
      <c r="FK20" s="59"/>
      <c r="FM20" s="59"/>
      <c r="FO20" s="59"/>
      <c r="FQ20" s="59"/>
      <c r="FS20" s="64"/>
      <c r="FU20" s="58"/>
      <c r="FW20" s="58"/>
      <c r="FY20" s="59"/>
      <c r="FZ20" s="59"/>
      <c r="GA20" s="59"/>
    </row>
    <row r="21" spans="1:183" s="56" customFormat="1" ht="15.75" thickBot="1" x14ac:dyDescent="0.25">
      <c r="A21" s="202">
        <v>14</v>
      </c>
      <c r="B21" s="203">
        <v>43634</v>
      </c>
      <c r="C21" s="60">
        <v>0.4548611111111111</v>
      </c>
      <c r="D21" s="87">
        <f t="shared" si="64"/>
        <v>312.41666666662786</v>
      </c>
      <c r="E21" s="87">
        <f t="shared" si="65"/>
        <v>13.017361111109494</v>
      </c>
      <c r="F21" s="116">
        <v>1</v>
      </c>
      <c r="G21" s="258">
        <v>2080000</v>
      </c>
      <c r="H21" s="258">
        <v>2680000</v>
      </c>
      <c r="I21" s="258"/>
      <c r="J21" s="61">
        <f>AVERAGE(G21:H21)</f>
        <v>2380000</v>
      </c>
      <c r="K21" s="61">
        <f>STDEV(G21:H21)</f>
        <v>424264.0687119285</v>
      </c>
      <c r="L21" s="257">
        <f t="shared" si="66"/>
        <v>0.17826221374450776</v>
      </c>
      <c r="M21" s="118">
        <f t="shared" si="67"/>
        <v>2380000</v>
      </c>
      <c r="N21" s="204">
        <v>380000</v>
      </c>
      <c r="O21" s="88">
        <f t="shared" si="68"/>
        <v>380000</v>
      </c>
      <c r="P21" s="38">
        <v>7.12</v>
      </c>
      <c r="Q21" s="38">
        <v>42.7</v>
      </c>
      <c r="R21" s="84">
        <f t="shared" si="69"/>
        <v>1.0589250826040033E-2</v>
      </c>
      <c r="S21" s="84"/>
      <c r="T21" s="311">
        <f t="shared" si="15"/>
        <v>5924572.6495430451</v>
      </c>
      <c r="U21" s="84" t="e">
        <f>#REF!</f>
        <v>#REF!</v>
      </c>
      <c r="V21" s="63">
        <f t="shared" si="70"/>
        <v>2760000</v>
      </c>
      <c r="W21" s="89">
        <f t="shared" si="71"/>
        <v>2760000</v>
      </c>
      <c r="X21" s="90">
        <f t="shared" si="72"/>
        <v>0.8623188405797102</v>
      </c>
      <c r="Y21" s="61">
        <f t="shared" si="73"/>
        <v>791250576.38872457</v>
      </c>
      <c r="Z21" s="148">
        <f t="shared" si="74"/>
        <v>48499022.222179964</v>
      </c>
      <c r="AA21" s="27">
        <v>9.6</v>
      </c>
      <c r="AB21" s="27">
        <v>0</v>
      </c>
      <c r="AC21" s="27">
        <v>0</v>
      </c>
      <c r="AD21" s="27">
        <v>0</v>
      </c>
      <c r="AE21" s="27">
        <f t="shared" si="75"/>
        <v>0.80902777777373558</v>
      </c>
      <c r="AF21" s="27">
        <f t="shared" si="76"/>
        <v>0.65000000000000036</v>
      </c>
      <c r="AG21" s="27">
        <f t="shared" si="77"/>
        <v>9.6</v>
      </c>
      <c r="AH21" s="27">
        <f t="shared" si="78"/>
        <v>0.80343347639886442</v>
      </c>
      <c r="AI21" s="27">
        <f t="shared" si="79"/>
        <v>0.40171673819943221</v>
      </c>
      <c r="AJ21" s="109">
        <f t="shared" si="80"/>
        <v>1.6738197424976342E-2</v>
      </c>
      <c r="AK21" s="109">
        <f t="shared" si="81"/>
        <v>0.1687885454619463</v>
      </c>
      <c r="AL21" s="27">
        <f t="shared" si="82"/>
        <v>0.65000000000000036</v>
      </c>
      <c r="AM21" s="27">
        <f t="shared" si="83"/>
        <v>9.6</v>
      </c>
      <c r="AN21" s="27">
        <f t="shared" si="84"/>
        <v>0.80343347639886442</v>
      </c>
      <c r="AO21" s="27">
        <f t="shared" si="85"/>
        <v>0.40171673819943221</v>
      </c>
      <c r="AP21" s="27">
        <f t="shared" si="86"/>
        <v>1.6738197424976342E-2</v>
      </c>
      <c r="AQ21" s="27">
        <f t="shared" si="87"/>
        <v>0</v>
      </c>
      <c r="AR21" s="27">
        <f t="shared" si="88"/>
        <v>0</v>
      </c>
      <c r="AS21" s="27">
        <f t="shared" si="89"/>
        <v>0</v>
      </c>
      <c r="AT21" s="27">
        <f t="shared" si="90"/>
        <v>0</v>
      </c>
      <c r="AU21" s="145">
        <f t="shared" si="91"/>
        <v>2380000</v>
      </c>
      <c r="AV21" s="27">
        <v>1</v>
      </c>
      <c r="AW21" s="27">
        <f t="shared" si="92"/>
        <v>1.6738197424976342E-2</v>
      </c>
      <c r="AX21" s="145">
        <f t="shared" si="93"/>
        <v>39836.909871443691</v>
      </c>
      <c r="AY21" s="145">
        <f t="shared" si="94"/>
        <v>11517890.705255121</v>
      </c>
      <c r="AZ21" s="27">
        <f t="shared" si="95"/>
        <v>0</v>
      </c>
      <c r="BA21" s="145">
        <f t="shared" si="96"/>
        <v>0</v>
      </c>
      <c r="BB21" s="145">
        <f t="shared" si="97"/>
        <v>0</v>
      </c>
      <c r="BC21" s="145">
        <f t="shared" si="98"/>
        <v>13897890.705255121</v>
      </c>
      <c r="BD21" s="145">
        <f t="shared" si="99"/>
        <v>791250576.38872457</v>
      </c>
      <c r="BE21" s="84">
        <f t="shared" si="100"/>
        <v>7.9530849058644607E-3</v>
      </c>
      <c r="BF21" s="84">
        <f t="shared" si="101"/>
        <v>1.0596544589183689E-2</v>
      </c>
      <c r="BG21" s="84">
        <f t="shared" si="102"/>
        <v>1.0589250826040033E-2</v>
      </c>
      <c r="BH21" s="38">
        <f t="shared" si="103"/>
        <v>9.5695516666666656</v>
      </c>
      <c r="BI21" s="38"/>
      <c r="BJ21" s="38">
        <f t="shared" si="61"/>
        <v>4.3062982499999993</v>
      </c>
      <c r="BK21" s="38"/>
      <c r="BL21" s="38">
        <f>'Analisis economico'!$C$5/BJ21</f>
        <v>0.82669610726567777</v>
      </c>
      <c r="BM21" s="38"/>
      <c r="BN21" s="38">
        <f t="shared" si="10"/>
        <v>9.5695516666666656</v>
      </c>
      <c r="BO21" s="38">
        <f t="shared" si="11"/>
        <v>0.16017704506517805</v>
      </c>
      <c r="BP21" s="38">
        <f t="shared" si="28"/>
        <v>66.246533694614811</v>
      </c>
      <c r="BQ21" s="27">
        <f t="shared" si="104"/>
        <v>75.81608536128148</v>
      </c>
      <c r="BR21" s="211">
        <v>9.5695516666666656</v>
      </c>
      <c r="BS21" s="61">
        <f t="shared" si="59"/>
        <v>1.0635111473586754E-7</v>
      </c>
      <c r="BT21" s="61"/>
      <c r="BU21" s="342">
        <f t="shared" si="62"/>
        <v>2.5524267536608205</v>
      </c>
      <c r="BV21" s="342"/>
      <c r="BW21" s="342"/>
      <c r="BX21" s="27">
        <f t="shared" si="30"/>
        <v>0.13417050751666665</v>
      </c>
      <c r="BZ21" s="38">
        <f t="shared" si="12"/>
        <v>9.5695516666666656</v>
      </c>
      <c r="CA21" s="38">
        <f t="shared" si="13"/>
        <v>0.16017704506517805</v>
      </c>
      <c r="CB21" s="245">
        <f t="shared" si="31"/>
        <v>64.742318309994957</v>
      </c>
      <c r="CC21" s="58">
        <f t="shared" si="105"/>
        <v>74.311869976661626</v>
      </c>
      <c r="CD21" s="38">
        <v>30.119</v>
      </c>
      <c r="CE21" s="35"/>
      <c r="CF21" s="80">
        <f t="shared" si="33"/>
        <v>48060355.555513121</v>
      </c>
      <c r="CG21" s="77">
        <f t="shared" si="34"/>
        <v>48060355.555513121</v>
      </c>
      <c r="CH21" s="62"/>
      <c r="CI21" s="93">
        <f t="shared" si="106"/>
        <v>6019166.6666365936</v>
      </c>
      <c r="CJ21" s="58"/>
      <c r="CK21" s="38">
        <v>1.9914164758410779</v>
      </c>
      <c r="CL21" s="38"/>
      <c r="CM21" s="38"/>
      <c r="CN21" s="38"/>
      <c r="CO21" s="38">
        <f t="shared" si="35"/>
        <v>-258.8735786992911</v>
      </c>
      <c r="CP21" s="37"/>
      <c r="CQ21" s="37"/>
      <c r="CS21" s="58">
        <f t="shared" si="36"/>
        <v>-258.8735786992911</v>
      </c>
      <c r="CT21" s="58"/>
      <c r="CU21" s="58"/>
      <c r="CV21" s="58"/>
      <c r="CW21" s="38">
        <v>40.232171626180254</v>
      </c>
      <c r="CX21" s="320">
        <f>AVERAGE(CW21:CW24)</f>
        <v>39.913722402522659</v>
      </c>
      <c r="CY21" s="320">
        <f>STDEV(CW21:CW24)</f>
        <v>0.37571671877334867</v>
      </c>
      <c r="CZ21" s="328">
        <f>CY21/CX21</f>
        <v>9.4132217232037046E-3</v>
      </c>
      <c r="DA21" s="38">
        <f t="shared" si="37"/>
        <v>371.56140247069436</v>
      </c>
      <c r="DB21" s="38"/>
      <c r="DC21" s="38"/>
      <c r="DD21" s="38"/>
      <c r="DE21" s="38">
        <f t="shared" si="38"/>
        <v>371.5614024706943</v>
      </c>
      <c r="DF21" s="38"/>
      <c r="DG21" s="38"/>
      <c r="DH21" s="38"/>
      <c r="DI21" s="38">
        <f t="shared" si="39"/>
        <v>-1.8280218525657144</v>
      </c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7"/>
      <c r="DV21" s="38">
        <f t="shared" si="107"/>
        <v>0</v>
      </c>
      <c r="DX21" s="38">
        <v>2.6928012205875764</v>
      </c>
      <c r="FK21" s="59"/>
      <c r="FM21" s="59"/>
      <c r="FO21" s="59"/>
      <c r="FQ21" s="59"/>
      <c r="FS21" s="64"/>
      <c r="FU21" s="58"/>
      <c r="FW21" s="58"/>
      <c r="FY21" s="59"/>
      <c r="FZ21" s="59"/>
      <c r="GA21" s="59"/>
    </row>
    <row r="22" spans="1:183" s="56" customFormat="1" ht="15.75" thickBot="1" x14ac:dyDescent="0.25">
      <c r="A22" s="202">
        <v>15</v>
      </c>
      <c r="B22" s="203">
        <v>43636</v>
      </c>
      <c r="C22" s="60">
        <v>0.4861111111111111</v>
      </c>
      <c r="D22" s="87">
        <f t="shared" si="64"/>
        <v>361.16666666662786</v>
      </c>
      <c r="E22" s="87">
        <f t="shared" si="65"/>
        <v>15.048611111109494</v>
      </c>
      <c r="F22" s="116">
        <v>1</v>
      </c>
      <c r="G22" s="258">
        <v>3760000</v>
      </c>
      <c r="H22" s="258">
        <v>2980000</v>
      </c>
      <c r="I22" s="258">
        <v>3320000</v>
      </c>
      <c r="J22" s="61">
        <f>AVERAGE(G22:I22)</f>
        <v>3353333.3333333335</v>
      </c>
      <c r="K22" s="61">
        <f>STDEV(G22:I22)</f>
        <v>391066.91669499909</v>
      </c>
      <c r="L22" s="257">
        <f t="shared" si="66"/>
        <v>0.1166203528911528</v>
      </c>
      <c r="M22" s="118">
        <f t="shared" si="67"/>
        <v>3353333.3333333335</v>
      </c>
      <c r="N22" s="204">
        <v>520000</v>
      </c>
      <c r="O22" s="88">
        <f t="shared" si="68"/>
        <v>520000</v>
      </c>
      <c r="P22" s="38">
        <v>7.11</v>
      </c>
      <c r="Q22" s="38">
        <v>41.4</v>
      </c>
      <c r="R22" s="84">
        <f t="shared" si="69"/>
        <v>2.3874559651827627E-2</v>
      </c>
      <c r="S22" s="84"/>
      <c r="T22" s="311">
        <f t="shared" si="15"/>
        <v>8256313.1313131293</v>
      </c>
      <c r="U22" s="84" t="e">
        <f>#REF!</f>
        <v>#REF!</v>
      </c>
      <c r="V22" s="63">
        <f t="shared" si="70"/>
        <v>3873333.3333333335</v>
      </c>
      <c r="W22" s="89">
        <f t="shared" si="71"/>
        <v>3873333.3333333335</v>
      </c>
      <c r="X22" s="90">
        <f t="shared" si="72"/>
        <v>0.86574870912220314</v>
      </c>
      <c r="Y22" s="61">
        <f t="shared" si="73"/>
        <v>931000576.38872457</v>
      </c>
      <c r="Z22" s="148">
        <f t="shared" si="74"/>
        <v>70436522.222179964</v>
      </c>
      <c r="AA22" s="27">
        <v>11.25</v>
      </c>
      <c r="AB22" s="27">
        <v>0</v>
      </c>
      <c r="AC22" s="27">
        <v>0</v>
      </c>
      <c r="AD22" s="27">
        <v>0</v>
      </c>
      <c r="AE22" s="27">
        <f t="shared" si="75"/>
        <v>2.03125</v>
      </c>
      <c r="AF22" s="27">
        <f t="shared" si="76"/>
        <v>1.6500000000000004</v>
      </c>
      <c r="AG22" s="27">
        <f t="shared" si="77"/>
        <v>11.25</v>
      </c>
      <c r="AH22" s="27">
        <f t="shared" si="78"/>
        <v>0.81230769230769251</v>
      </c>
      <c r="AI22" s="27">
        <f t="shared" si="79"/>
        <v>0.40615384615384625</v>
      </c>
      <c r="AJ22" s="109">
        <f t="shared" si="80"/>
        <v>1.6923076923076926E-2</v>
      </c>
      <c r="AK22" s="109">
        <f t="shared" si="81"/>
        <v>0.12111943722281697</v>
      </c>
      <c r="AL22" s="27">
        <f t="shared" si="82"/>
        <v>1.6500000000000004</v>
      </c>
      <c r="AM22" s="27">
        <f t="shared" si="83"/>
        <v>11.25</v>
      </c>
      <c r="AN22" s="27">
        <f t="shared" si="84"/>
        <v>0.81230769230769251</v>
      </c>
      <c r="AO22" s="27">
        <f t="shared" si="85"/>
        <v>0.40615384615384625</v>
      </c>
      <c r="AP22" s="27">
        <f t="shared" si="86"/>
        <v>1.6923076923076926E-2</v>
      </c>
      <c r="AQ22" s="27">
        <f t="shared" si="87"/>
        <v>0</v>
      </c>
      <c r="AR22" s="27">
        <f t="shared" si="88"/>
        <v>0</v>
      </c>
      <c r="AS22" s="27">
        <f t="shared" si="89"/>
        <v>0</v>
      </c>
      <c r="AT22" s="27">
        <f t="shared" si="90"/>
        <v>0</v>
      </c>
      <c r="AU22" s="145">
        <f t="shared" si="91"/>
        <v>3353333.3333333335</v>
      </c>
      <c r="AV22" s="27">
        <v>1</v>
      </c>
      <c r="AW22" s="27">
        <f t="shared" si="92"/>
        <v>1.6923076923076926E-2</v>
      </c>
      <c r="AX22" s="145">
        <f t="shared" si="93"/>
        <v>56748.71794871796</v>
      </c>
      <c r="AY22" s="145">
        <f t="shared" si="94"/>
        <v>13872165.383371562</v>
      </c>
      <c r="AZ22" s="27">
        <f t="shared" si="95"/>
        <v>0</v>
      </c>
      <c r="BA22" s="145">
        <f t="shared" si="96"/>
        <v>0</v>
      </c>
      <c r="BB22" s="145">
        <f t="shared" si="97"/>
        <v>0</v>
      </c>
      <c r="BC22" s="145">
        <f t="shared" si="98"/>
        <v>17225498.716704894</v>
      </c>
      <c r="BD22" s="145">
        <f t="shared" si="99"/>
        <v>931000576.38872457</v>
      </c>
      <c r="BE22" s="84">
        <f t="shared" si="100"/>
        <v>2.3811148561357947E-2</v>
      </c>
      <c r="BF22" s="84">
        <f t="shared" si="101"/>
        <v>2.3808787527380495E-2</v>
      </c>
      <c r="BG22" s="84">
        <f t="shared" si="102"/>
        <v>2.3874559651827627E-2</v>
      </c>
      <c r="BH22" s="38">
        <f t="shared" si="103"/>
        <v>1.27647</v>
      </c>
      <c r="BI22" s="38"/>
      <c r="BJ22" s="38">
        <f t="shared" si="61"/>
        <v>0.57441149999999996</v>
      </c>
      <c r="BK22" s="38"/>
      <c r="BL22" s="38">
        <f>'Analisis economico'!$C$5/BJ22</f>
        <v>6.1976475053163114</v>
      </c>
      <c r="BM22" s="38"/>
      <c r="BN22" s="38">
        <f t="shared" si="10"/>
        <v>1.27647</v>
      </c>
      <c r="BO22" s="38">
        <f t="shared" si="11"/>
        <v>2.1601800000000004E-2</v>
      </c>
      <c r="BP22" s="38">
        <f t="shared" si="28"/>
        <v>70.677393043078524</v>
      </c>
      <c r="BQ22" s="27">
        <f t="shared" si="104"/>
        <v>71.953863043078528</v>
      </c>
      <c r="BR22" s="211">
        <v>1.27647</v>
      </c>
      <c r="BS22" s="61">
        <f t="shared" si="59"/>
        <v>-2.7328069618366113E-8</v>
      </c>
      <c r="BT22" s="61"/>
      <c r="BU22" s="342">
        <f t="shared" si="62"/>
        <v>-0.65587367084078674</v>
      </c>
      <c r="BV22" s="342"/>
      <c r="BW22" s="342"/>
      <c r="BX22" s="27">
        <f t="shared" si="30"/>
        <v>0.14311847539166664</v>
      </c>
      <c r="BZ22" s="38">
        <f t="shared" si="12"/>
        <v>1.27647</v>
      </c>
      <c r="CA22" s="38">
        <f t="shared" si="13"/>
        <v>2.1601800000000004E-2</v>
      </c>
      <c r="CB22" s="245">
        <f t="shared" si="31"/>
        <v>69.17317765845867</v>
      </c>
      <c r="CC22" s="58">
        <f t="shared" si="105"/>
        <v>70.449647658458673</v>
      </c>
      <c r="CD22" s="38">
        <v>31.119</v>
      </c>
      <c r="CE22" s="35"/>
      <c r="CF22" s="80">
        <f t="shared" si="33"/>
        <v>69997855.555513114</v>
      </c>
      <c r="CG22" s="77">
        <f t="shared" si="34"/>
        <v>69997855.555513114</v>
      </c>
      <c r="CH22" s="62"/>
      <c r="CI22" s="93">
        <f t="shared" si="106"/>
        <v>21937499.999999993</v>
      </c>
      <c r="CJ22" s="58"/>
      <c r="CK22" s="38">
        <v>0.67161581715217067</v>
      </c>
      <c r="CL22" s="38"/>
      <c r="CM22" s="38"/>
      <c r="CN22" s="38"/>
      <c r="CO22" s="38">
        <f t="shared" si="35"/>
        <v>-143.26511511863467</v>
      </c>
      <c r="CP22" s="37"/>
      <c r="CQ22" s="37"/>
      <c r="CS22" s="58">
        <f t="shared" si="36"/>
        <v>-143.26511511863467</v>
      </c>
      <c r="CT22" s="58"/>
      <c r="CU22" s="58"/>
      <c r="CV22" s="58"/>
      <c r="CW22" s="38">
        <v>40.241545057287134</v>
      </c>
      <c r="CX22" s="38"/>
      <c r="CY22" s="38"/>
      <c r="CZ22" s="38"/>
      <c r="DA22" s="38">
        <f t="shared" si="37"/>
        <v>237.60129919883494</v>
      </c>
      <c r="DB22" s="38"/>
      <c r="DC22" s="38"/>
      <c r="DD22" s="38"/>
      <c r="DE22" s="38">
        <f t="shared" si="38"/>
        <v>237.60129919883494</v>
      </c>
      <c r="DF22" s="38"/>
      <c r="DG22" s="38"/>
      <c r="DH22" s="38"/>
      <c r="DI22" s="38">
        <f t="shared" si="39"/>
        <v>-1.7250035296861532</v>
      </c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7"/>
      <c r="DV22" s="38">
        <f t="shared" si="107"/>
        <v>0</v>
      </c>
      <c r="DX22" s="38">
        <v>2.443390436859302</v>
      </c>
      <c r="FK22" s="59"/>
      <c r="FM22" s="59"/>
      <c r="FO22" s="59"/>
      <c r="FQ22" s="59"/>
      <c r="FS22" s="64"/>
      <c r="FU22" s="58"/>
      <c r="FW22" s="58"/>
      <c r="FY22" s="59"/>
      <c r="FZ22" s="59"/>
      <c r="GA22" s="59"/>
    </row>
    <row r="23" spans="1:183" s="56" customFormat="1" ht="15.75" thickBot="1" x14ac:dyDescent="0.25">
      <c r="A23" s="202">
        <v>16</v>
      </c>
      <c r="B23" s="203">
        <v>43637</v>
      </c>
      <c r="C23" s="60">
        <v>0.375</v>
      </c>
      <c r="D23" s="87">
        <f t="shared" si="64"/>
        <v>382.5</v>
      </c>
      <c r="E23" s="87">
        <f t="shared" si="65"/>
        <v>15.9375</v>
      </c>
      <c r="F23" s="116">
        <v>1</v>
      </c>
      <c r="G23" s="258">
        <v>3260000</v>
      </c>
      <c r="H23" s="258">
        <v>3840000</v>
      </c>
      <c r="I23" s="258">
        <v>3920000</v>
      </c>
      <c r="J23" s="61">
        <f>AVERAGE(G23:I23)</f>
        <v>3673333.3333333335</v>
      </c>
      <c r="K23" s="61">
        <f>STDEV(G23:I23)</f>
        <v>360185.13757973595</v>
      </c>
      <c r="L23" s="257">
        <f t="shared" si="66"/>
        <v>9.8054030194120484E-2</v>
      </c>
      <c r="M23" s="118">
        <f t="shared" si="67"/>
        <v>3673333.3333333335</v>
      </c>
      <c r="N23" s="204">
        <v>373000</v>
      </c>
      <c r="O23" s="88">
        <f t="shared" si="68"/>
        <v>373000</v>
      </c>
      <c r="P23" s="38">
        <v>7.11</v>
      </c>
      <c r="Q23" s="38">
        <v>45.4</v>
      </c>
      <c r="R23" s="84">
        <f t="shared" si="69"/>
        <v>1.8454483991774257E-2</v>
      </c>
      <c r="S23" s="84"/>
      <c r="T23" s="311">
        <f t="shared" si="15"/>
        <v>9329100.5291175079</v>
      </c>
      <c r="U23" s="84" t="e">
        <f>#REF!</f>
        <v>#REF!</v>
      </c>
      <c r="V23" s="63">
        <f t="shared" si="70"/>
        <v>4046333.3333333335</v>
      </c>
      <c r="W23" s="89">
        <f t="shared" si="71"/>
        <v>4046333.3333333335</v>
      </c>
      <c r="X23" s="90">
        <f t="shared" si="72"/>
        <v>0.90781777741164837</v>
      </c>
      <c r="Y23" s="61">
        <f t="shared" si="73"/>
        <v>1005951687.499972</v>
      </c>
      <c r="Z23" s="148">
        <f t="shared" si="74"/>
        <v>79961855.555530623</v>
      </c>
      <c r="AA23" s="27">
        <v>11.95</v>
      </c>
      <c r="AB23" s="27">
        <v>0</v>
      </c>
      <c r="AC23" s="27">
        <v>0</v>
      </c>
      <c r="AD23" s="27">
        <v>0</v>
      </c>
      <c r="AE23" s="27">
        <f t="shared" si="75"/>
        <v>0.88888888889050577</v>
      </c>
      <c r="AF23" s="27">
        <f t="shared" si="76"/>
        <v>0.69999999999999929</v>
      </c>
      <c r="AG23" s="27">
        <f t="shared" si="77"/>
        <v>11.95</v>
      </c>
      <c r="AH23" s="27">
        <f t="shared" si="78"/>
        <v>0.78749999999856679</v>
      </c>
      <c r="AI23" s="27">
        <f t="shared" si="79"/>
        <v>0.3937499999992834</v>
      </c>
      <c r="AJ23" s="109">
        <f t="shared" si="80"/>
        <v>1.6406249999970143E-2</v>
      </c>
      <c r="AK23" s="109">
        <f t="shared" si="81"/>
        <v>0.10719147005425138</v>
      </c>
      <c r="AL23" s="27">
        <f t="shared" si="82"/>
        <v>0.69999999999999929</v>
      </c>
      <c r="AM23" s="27">
        <f t="shared" si="83"/>
        <v>11.95</v>
      </c>
      <c r="AN23" s="27">
        <f t="shared" si="84"/>
        <v>0.78749999999856679</v>
      </c>
      <c r="AO23" s="27">
        <f t="shared" si="85"/>
        <v>0.3937499999992834</v>
      </c>
      <c r="AP23" s="27">
        <f t="shared" si="86"/>
        <v>1.6406249999970143E-2</v>
      </c>
      <c r="AQ23" s="27">
        <f t="shared" si="87"/>
        <v>0</v>
      </c>
      <c r="AR23" s="27">
        <f t="shared" si="88"/>
        <v>0</v>
      </c>
      <c r="AS23" s="27">
        <f t="shared" si="89"/>
        <v>0</v>
      </c>
      <c r="AT23" s="27">
        <f t="shared" si="90"/>
        <v>0</v>
      </c>
      <c r="AU23" s="145">
        <f t="shared" si="91"/>
        <v>3673333.3333333335</v>
      </c>
      <c r="AV23" s="27">
        <v>1</v>
      </c>
      <c r="AW23" s="27">
        <f t="shared" si="92"/>
        <v>1.6406249999970143E-2</v>
      </c>
      <c r="AX23" s="145">
        <f t="shared" si="93"/>
        <v>60265.624999890329</v>
      </c>
      <c r="AY23" s="145">
        <f t="shared" si="94"/>
        <v>15120318.374825655</v>
      </c>
      <c r="AZ23" s="27">
        <f t="shared" si="95"/>
        <v>0</v>
      </c>
      <c r="BA23" s="145">
        <f t="shared" si="96"/>
        <v>0</v>
      </c>
      <c r="BB23" s="145">
        <f t="shared" si="97"/>
        <v>0</v>
      </c>
      <c r="BC23" s="145">
        <f t="shared" si="98"/>
        <v>18793651.708158989</v>
      </c>
      <c r="BD23" s="145">
        <f t="shared" si="99"/>
        <v>1005951687.499972</v>
      </c>
      <c r="BE23" s="84">
        <f t="shared" si="100"/>
        <v>2.0922344821900474E-2</v>
      </c>
      <c r="BF23" s="84">
        <f t="shared" si="101"/>
        <v>1.8454158161084311E-2</v>
      </c>
      <c r="BG23" s="84">
        <f t="shared" si="102"/>
        <v>1.8454483991774257E-2</v>
      </c>
      <c r="BH23" s="38">
        <f t="shared" si="103"/>
        <v>1.2389881666666667</v>
      </c>
      <c r="BI23" s="38"/>
      <c r="BJ23" s="38">
        <f t="shared" si="61"/>
        <v>0.55754467500000005</v>
      </c>
      <c r="BK23" s="38"/>
      <c r="BL23" s="38">
        <f>'Analisis economico'!$C$5/BJ23</f>
        <v>6.3851385541436656</v>
      </c>
      <c r="BM23" s="38"/>
      <c r="BN23" s="38">
        <f t="shared" si="10"/>
        <v>1.2389881666666667</v>
      </c>
      <c r="BO23" s="38">
        <f t="shared" si="11"/>
        <v>2.0327149609338006E-2</v>
      </c>
      <c r="BP23" s="38">
        <f t="shared" si="28"/>
        <v>71.124635172245604</v>
      </c>
      <c r="BQ23" s="27">
        <f t="shared" si="104"/>
        <v>72.363623338912276</v>
      </c>
      <c r="BR23" s="234">
        <f>AVERAGE(BR22,BR24)</f>
        <v>1.2389881666666667</v>
      </c>
      <c r="BS23" s="230">
        <f t="shared" si="59"/>
        <v>5.3731471069933051E-9</v>
      </c>
      <c r="BT23" s="230"/>
      <c r="BU23" s="341">
        <f t="shared" si="62"/>
        <v>0.12895553056783932</v>
      </c>
      <c r="BV23" s="341"/>
      <c r="BW23" s="341"/>
      <c r="BX23" s="27">
        <f t="shared" si="30"/>
        <v>0.14399888574999997</v>
      </c>
      <c r="BZ23" s="38">
        <f t="shared" si="12"/>
        <v>1.2389881666666667</v>
      </c>
      <c r="CA23" s="38">
        <f t="shared" si="13"/>
        <v>2.0327149609338006E-2</v>
      </c>
      <c r="CB23" s="245">
        <f t="shared" si="31"/>
        <v>69.62041978762575</v>
      </c>
      <c r="CC23" s="58">
        <f t="shared" si="105"/>
        <v>70.859407954292422</v>
      </c>
      <c r="CD23" s="38">
        <v>32.119</v>
      </c>
      <c r="CE23" s="35"/>
      <c r="CF23" s="80">
        <f t="shared" si="33"/>
        <v>79523188.888863772</v>
      </c>
      <c r="CG23" s="77">
        <f t="shared" si="34"/>
        <v>79523188.888863772</v>
      </c>
      <c r="CH23" s="62"/>
      <c r="CI23" s="93">
        <f t="shared" si="106"/>
        <v>9525333.3333506584</v>
      </c>
      <c r="CJ23" s="58"/>
      <c r="CK23" s="38">
        <v>0.46177550495447856</v>
      </c>
      <c r="CL23" s="38"/>
      <c r="CM23" s="38"/>
      <c r="CN23" s="38"/>
      <c r="CO23" s="38">
        <f t="shared" si="35"/>
        <v>-112.22644609422953</v>
      </c>
      <c r="CP23" s="37"/>
      <c r="CQ23" s="37"/>
      <c r="CS23" s="58">
        <f t="shared" si="36"/>
        <v>-112.22644609422954</v>
      </c>
      <c r="CT23" s="58"/>
      <c r="CU23" s="58"/>
      <c r="CV23" s="58"/>
      <c r="CW23" s="38">
        <v>39.644335355639242</v>
      </c>
      <c r="CX23" s="38"/>
      <c r="CY23" s="38"/>
      <c r="CZ23" s="38"/>
      <c r="DA23" s="38">
        <f t="shared" si="37"/>
        <v>178.55398235191655</v>
      </c>
      <c r="DB23" s="38"/>
      <c r="DC23" s="38"/>
      <c r="DD23" s="38"/>
      <c r="DE23" s="38">
        <f t="shared" si="38"/>
        <v>178.55398235191655</v>
      </c>
      <c r="DF23" s="38"/>
      <c r="DG23" s="38"/>
      <c r="DH23" s="38"/>
      <c r="DI23" s="38">
        <f t="shared" si="39"/>
        <v>-1.6842534305841053</v>
      </c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7"/>
      <c r="DV23" s="38">
        <f t="shared" si="107"/>
        <v>0</v>
      </c>
      <c r="DX23" s="38">
        <v>2.3047370452537872</v>
      </c>
      <c r="FK23" s="59"/>
      <c r="FM23" s="59"/>
      <c r="FO23" s="59"/>
      <c r="FQ23" s="59"/>
      <c r="FS23" s="64"/>
      <c r="FU23" s="58"/>
      <c r="FW23" s="58"/>
      <c r="FY23" s="59"/>
      <c r="FZ23" s="59"/>
      <c r="GA23" s="59"/>
    </row>
    <row r="24" spans="1:183" ht="12.75" customHeight="1" thickBot="1" x14ac:dyDescent="0.25">
      <c r="A24" s="202">
        <v>17</v>
      </c>
      <c r="B24" s="203">
        <v>43638</v>
      </c>
      <c r="C24" s="60">
        <v>0.33680555555555558</v>
      </c>
      <c r="D24" s="87">
        <f>(B24+C24-(Inoculo_Fecha+Inoculo_Hora))*24</f>
        <v>405.58333333331393</v>
      </c>
      <c r="E24" s="87">
        <f>D24/24</f>
        <v>16.899305555554747</v>
      </c>
      <c r="F24" s="116">
        <v>1</v>
      </c>
      <c r="G24" s="258">
        <v>4260000</v>
      </c>
      <c r="H24" s="258">
        <v>4240000</v>
      </c>
      <c r="I24" s="258"/>
      <c r="J24" s="61">
        <f>AVERAGE(G24:H24)</f>
        <v>4250000</v>
      </c>
      <c r="K24" s="61">
        <f>STDEV(G24:H24)</f>
        <v>14142.13562373095</v>
      </c>
      <c r="L24" s="257">
        <f t="shared" ref="L24:L50" si="108">K24/J24</f>
        <v>3.3275613232308116E-3</v>
      </c>
      <c r="M24" s="118">
        <f t="shared" ref="M24:M50" si="109">F24*J24</f>
        <v>4250000</v>
      </c>
      <c r="N24" s="204">
        <v>350000</v>
      </c>
      <c r="O24" s="88">
        <f t="shared" ref="O24:O50" si="110">N24*F24</f>
        <v>350000</v>
      </c>
      <c r="P24" s="38">
        <v>7.12</v>
      </c>
      <c r="Q24" s="38">
        <v>45.5</v>
      </c>
      <c r="R24" s="84">
        <f t="shared" ref="R24:R50" si="111">BG24</f>
        <v>2.1801235332039693E-2</v>
      </c>
      <c r="S24" s="84"/>
      <c r="T24" s="311">
        <f t="shared" si="15"/>
        <v>10900462.9629538</v>
      </c>
      <c r="U24" s="84" t="e">
        <f>#REF!</f>
        <v>#REF!</v>
      </c>
      <c r="V24" s="63">
        <f t="shared" ref="V24:V50" si="112">J24+N24</f>
        <v>4600000</v>
      </c>
      <c r="W24" s="89">
        <f t="shared" ref="W24:W50" si="113">V24*F24</f>
        <v>4600000</v>
      </c>
      <c r="X24" s="90">
        <f t="shared" ref="X24:X50" si="114">J24/V24</f>
        <v>0.92391304347826086</v>
      </c>
      <c r="Y24" s="61">
        <f t="shared" ref="Y24:Y50" si="115">AVERAGE(M24,M23)*(D24-D23)+Y23</f>
        <v>1097400159.7221174</v>
      </c>
      <c r="Z24" s="148">
        <f t="shared" ref="Z24:Z50" si="116">AVERAGE(O24,O23)*(D24-D23)+Z23</f>
        <v>88306480.555523604</v>
      </c>
      <c r="AA24" s="27">
        <v>12.7</v>
      </c>
      <c r="AB24" s="27">
        <v>0</v>
      </c>
      <c r="AC24" s="27">
        <v>0</v>
      </c>
      <c r="AD24" s="27">
        <v>0</v>
      </c>
      <c r="AE24" s="27">
        <f t="shared" ref="AE24:AE50" si="117">E24-E23</f>
        <v>0.96180555555474712</v>
      </c>
      <c r="AF24" s="27">
        <f t="shared" ref="AF24:AF50" si="118">(AD23+AC23+AA24+AB24)-AA23-AB23</f>
        <v>0.75</v>
      </c>
      <c r="AG24" s="27">
        <f t="shared" ref="AG24:AG50" si="119">AF24+AG23</f>
        <v>12.7</v>
      </c>
      <c r="AH24" s="27">
        <f t="shared" ref="AH24:AH50" si="120">AF24/AE24</f>
        <v>0.77978339350246051</v>
      </c>
      <c r="AI24" s="27">
        <f t="shared" ref="AI24:AI50" si="121">AH24/2</f>
        <v>0.38989169675123025</v>
      </c>
      <c r="AJ24" s="109">
        <f t="shared" ref="AJ24:AJ50" si="122">AI24/24</f>
        <v>1.6245487364634593E-2</v>
      </c>
      <c r="AK24" s="109">
        <f t="shared" ref="AK24:AK50" si="123">AI24*1000000/M24</f>
        <v>9.1739222764995354E-2</v>
      </c>
      <c r="AL24" s="27">
        <f t="shared" ref="AL24:AL50" si="124">(AA24+AC23)-AA23</f>
        <v>0.75</v>
      </c>
      <c r="AM24" s="27">
        <f t="shared" ref="AM24:AM50" si="125">AL24+AM23</f>
        <v>12.7</v>
      </c>
      <c r="AN24" s="27">
        <f t="shared" ref="AN24:AN50" si="126">AL24/AE24</f>
        <v>0.77978339350246051</v>
      </c>
      <c r="AO24" s="27">
        <f t="shared" ref="AO24:AO50" si="127">AN24/2</f>
        <v>0.38989169675123025</v>
      </c>
      <c r="AP24" s="27">
        <f t="shared" ref="AP24:AP50" si="128">AO24/24</f>
        <v>1.6245487364634593E-2</v>
      </c>
      <c r="AQ24" s="27">
        <f t="shared" ref="AQ24:AQ50" si="129">(AB24+AD23)-AB23</f>
        <v>0</v>
      </c>
      <c r="AR24" s="27">
        <f t="shared" ref="AR24:AR50" si="130">AQ24+AR23</f>
        <v>0</v>
      </c>
      <c r="AS24" s="27">
        <f t="shared" ref="AS24:AS50" si="131">AQ24/AE24</f>
        <v>0</v>
      </c>
      <c r="AT24" s="27">
        <f t="shared" ref="AT24:AT50" si="132">AS24/2</f>
        <v>0</v>
      </c>
      <c r="AU24" s="145">
        <f t="shared" ref="AU24:AU50" si="133">M24</f>
        <v>4250000</v>
      </c>
      <c r="AV24" s="27">
        <v>1</v>
      </c>
      <c r="AW24" s="27">
        <f t="shared" ref="AW24:AW50" si="134">AO24/24</f>
        <v>1.6245487364634593E-2</v>
      </c>
      <c r="AX24" s="145">
        <f t="shared" ref="AX24:AX50" si="135">AV24*AW24*AU24</f>
        <v>69043.321299697025</v>
      </c>
      <c r="AY24" s="145">
        <f t="shared" ref="AY24:AY50" si="136">AVERAGE(AX24,AX23)*(D24-D23)+AY23</f>
        <v>16612759.130032137</v>
      </c>
      <c r="AZ24" s="27">
        <f t="shared" ref="AZ24:AZ50" si="137">AT24/24</f>
        <v>0</v>
      </c>
      <c r="BA24" s="145">
        <f t="shared" ref="BA24:BA50" si="138">AZ24*AU24</f>
        <v>0</v>
      </c>
      <c r="BB24" s="145">
        <f t="shared" ref="BB24:BB50" si="139">AVERAGE(BA24,BA23)*(D24-D23)+BB23</f>
        <v>0</v>
      </c>
      <c r="BC24" s="145">
        <f t="shared" ref="BC24:BC50" si="140">AU24+AY24+BB24</f>
        <v>20862759.130032137</v>
      </c>
      <c r="BD24" s="145">
        <f t="shared" ref="BD24:BD50" si="141">Y24</f>
        <v>1097400159.7221174</v>
      </c>
      <c r="BE24" s="84">
        <f t="shared" ref="BE24:BE50" si="142">(BC24-BC23)/(BD24-BD23)</f>
        <v>2.2625937553630199E-2</v>
      </c>
      <c r="BF24" s="84">
        <f t="shared" ref="BF24:BF50" si="143">(W24-W23)/(((W24+W23)/2)*(D24-D23))+AZ24+(AW24*AV24)</f>
        <v>2.1793633299360023E-2</v>
      </c>
      <c r="BG24" s="84">
        <f t="shared" ref="BG24:BG50" si="144">((LN(W24)-LN(W23))/(D24-D23))+AZ24+(AW24*AV24)</f>
        <v>2.1801235332039693E-2</v>
      </c>
      <c r="BH24" s="38">
        <f t="shared" ref="BH24:BH50" si="145">BR24</f>
        <v>1.2015063333333336</v>
      </c>
      <c r="BI24" s="38"/>
      <c r="BJ24" s="38">
        <f t="shared" si="61"/>
        <v>0.54067785000000013</v>
      </c>
      <c r="BK24" s="38"/>
      <c r="BL24" s="38">
        <f>'Analisis economico'!$C$5/BJ24</f>
        <v>6.584327432684729</v>
      </c>
      <c r="BM24" s="38"/>
      <c r="BN24" s="38">
        <f t="shared" si="10"/>
        <v>1.2015063333333336</v>
      </c>
      <c r="BO24" s="38">
        <f t="shared" si="11"/>
        <v>1.9519055956695109E-2</v>
      </c>
      <c r="BP24" s="38">
        <f t="shared" si="28"/>
        <v>71.584526794819851</v>
      </c>
      <c r="BQ24" s="27">
        <f t="shared" ref="BQ24:BQ50" si="146">BP24+BN24</f>
        <v>72.786033128153178</v>
      </c>
      <c r="BR24" s="211">
        <v>1.2015063333333336</v>
      </c>
      <c r="BS24" s="61">
        <f t="shared" si="59"/>
        <v>4.5939628646407488E-9</v>
      </c>
      <c r="BT24" s="61"/>
      <c r="BU24" s="342">
        <f t="shared" si="62"/>
        <v>0.11025510875137796</v>
      </c>
      <c r="BV24" s="342"/>
      <c r="BW24" s="342"/>
      <c r="BX24" s="27">
        <f t="shared" si="30"/>
        <v>0.14491407118749997</v>
      </c>
      <c r="BY24" s="56"/>
      <c r="BZ24" s="38">
        <f t="shared" si="12"/>
        <v>1.2015063333333336</v>
      </c>
      <c r="CA24" s="38">
        <f t="shared" si="13"/>
        <v>1.9519055956695109E-2</v>
      </c>
      <c r="CB24" s="245">
        <f t="shared" si="31"/>
        <v>70.080311410199997</v>
      </c>
      <c r="CC24" s="58">
        <f t="shared" ref="CC24:CC50" si="147">CB24+BZ24</f>
        <v>71.281817743533324</v>
      </c>
      <c r="CD24" s="38">
        <v>33.119</v>
      </c>
      <c r="CE24" s="35"/>
      <c r="CF24" s="80">
        <f t="shared" si="33"/>
        <v>87867813.888856754</v>
      </c>
      <c r="CG24" s="77">
        <f t="shared" si="34"/>
        <v>87867813.888856754</v>
      </c>
      <c r="CH24" s="62"/>
      <c r="CI24" s="93">
        <f t="shared" ref="CI24:CI50" si="148">CF24-CF23</f>
        <v>8344624.9999929816</v>
      </c>
      <c r="CJ24" s="58"/>
      <c r="CK24" s="38">
        <v>0.45098787950424213</v>
      </c>
      <c r="CL24" s="38"/>
      <c r="CM24" s="38"/>
      <c r="CN24" s="38"/>
      <c r="CO24" s="38">
        <f t="shared" si="35"/>
        <v>-96.662571566981285</v>
      </c>
      <c r="CP24" s="37"/>
      <c r="CQ24" s="37"/>
      <c r="CR24" s="56"/>
      <c r="CS24" s="58">
        <f t="shared" si="36"/>
        <v>-96.662571566981285</v>
      </c>
      <c r="CT24" s="58"/>
      <c r="CU24" s="58"/>
      <c r="CV24" s="58"/>
      <c r="CW24" s="38">
        <v>39.536837570984012</v>
      </c>
      <c r="CX24" s="38"/>
      <c r="CY24" s="38"/>
      <c r="CZ24" s="38"/>
      <c r="DA24" s="38">
        <f t="shared" si="37"/>
        <v>161.17242618644212</v>
      </c>
      <c r="DB24" s="38"/>
      <c r="DC24" s="38"/>
      <c r="DD24" s="38"/>
      <c r="DE24" s="38">
        <f t="shared" si="38"/>
        <v>161.17242618644212</v>
      </c>
      <c r="DF24" s="38"/>
      <c r="DG24" s="38"/>
      <c r="DH24" s="38"/>
      <c r="DI24" s="38">
        <f t="shared" si="39"/>
        <v>-1.6789170334909012</v>
      </c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V24" s="38">
        <f t="shared" ref="DV24:DV41" si="149">DU24/1000</f>
        <v>0</v>
      </c>
      <c r="DW24" s="56"/>
      <c r="DX24" s="38">
        <v>2.0633042286666607</v>
      </c>
    </row>
    <row r="25" spans="1:183" ht="12.75" customHeight="1" thickBot="1" x14ac:dyDescent="0.25">
      <c r="A25" s="202">
        <v>18</v>
      </c>
      <c r="B25" s="203">
        <v>43640</v>
      </c>
      <c r="C25" s="60">
        <v>0.5</v>
      </c>
      <c r="D25" s="87">
        <f>(B25+C25-(Inoculo_Fecha+Inoculo_Hora))*24</f>
        <v>457.5</v>
      </c>
      <c r="E25" s="87">
        <f>D25/24</f>
        <v>19.0625</v>
      </c>
      <c r="F25" s="116">
        <v>1</v>
      </c>
      <c r="G25" s="258">
        <v>5940000</v>
      </c>
      <c r="H25" s="258">
        <v>5190000</v>
      </c>
      <c r="I25" s="258">
        <v>4440000</v>
      </c>
      <c r="J25" s="61">
        <f>AVERAGE(G25:I25)</f>
        <v>5190000</v>
      </c>
      <c r="K25" s="61">
        <f>STDEV(G25:I25)</f>
        <v>750000</v>
      </c>
      <c r="L25" s="257">
        <f t="shared" si="108"/>
        <v>0.14450867052023122</v>
      </c>
      <c r="M25" s="118">
        <f t="shared" si="109"/>
        <v>5190000</v>
      </c>
      <c r="N25" s="204">
        <v>443000</v>
      </c>
      <c r="O25" s="88">
        <f t="shared" si="110"/>
        <v>443000</v>
      </c>
      <c r="P25" s="38">
        <v>7.13</v>
      </c>
      <c r="Q25" s="38">
        <v>40.9</v>
      </c>
      <c r="R25" s="84">
        <f t="shared" si="111"/>
        <v>2.0756067860361965E-2</v>
      </c>
      <c r="S25" s="84"/>
      <c r="T25" s="311">
        <f t="shared" si="15"/>
        <v>12830833.333338128</v>
      </c>
      <c r="U25" s="84" t="e">
        <f>#REF!</f>
        <v>#REF!</v>
      </c>
      <c r="V25" s="63">
        <f t="shared" si="112"/>
        <v>5633000</v>
      </c>
      <c r="W25" s="89">
        <f t="shared" si="113"/>
        <v>5633000</v>
      </c>
      <c r="X25" s="90">
        <f t="shared" si="114"/>
        <v>0.92135629327179125</v>
      </c>
      <c r="Y25" s="61">
        <f t="shared" si="115"/>
        <v>1342446826.3888757</v>
      </c>
      <c r="Z25" s="148">
        <f t="shared" si="116"/>
        <v>108891438.88886464</v>
      </c>
      <c r="AA25" s="27">
        <v>14.45</v>
      </c>
      <c r="AB25" s="27">
        <v>0</v>
      </c>
      <c r="AC25" s="27">
        <v>0</v>
      </c>
      <c r="AD25" s="27">
        <v>0</v>
      </c>
      <c r="AE25" s="27">
        <f t="shared" si="117"/>
        <v>2.1631944444452529</v>
      </c>
      <c r="AF25" s="27">
        <f t="shared" si="118"/>
        <v>1.75</v>
      </c>
      <c r="AG25" s="27">
        <f t="shared" si="119"/>
        <v>14.45</v>
      </c>
      <c r="AH25" s="27">
        <f t="shared" si="120"/>
        <v>0.80898876404464148</v>
      </c>
      <c r="AI25" s="27">
        <f t="shared" si="121"/>
        <v>0.40449438202232074</v>
      </c>
      <c r="AJ25" s="109">
        <f t="shared" si="122"/>
        <v>1.6853932584263365E-2</v>
      </c>
      <c r="AK25" s="109">
        <f t="shared" si="123"/>
        <v>7.7937260505264117E-2</v>
      </c>
      <c r="AL25" s="27">
        <f t="shared" si="124"/>
        <v>1.75</v>
      </c>
      <c r="AM25" s="27">
        <f t="shared" si="125"/>
        <v>14.45</v>
      </c>
      <c r="AN25" s="27">
        <f t="shared" si="126"/>
        <v>0.80898876404464148</v>
      </c>
      <c r="AO25" s="27">
        <f t="shared" si="127"/>
        <v>0.40449438202232074</v>
      </c>
      <c r="AP25" s="27">
        <f t="shared" si="128"/>
        <v>1.6853932584263365E-2</v>
      </c>
      <c r="AQ25" s="27">
        <f t="shared" si="129"/>
        <v>0</v>
      </c>
      <c r="AR25" s="27">
        <f t="shared" si="130"/>
        <v>0</v>
      </c>
      <c r="AS25" s="27">
        <f t="shared" si="131"/>
        <v>0</v>
      </c>
      <c r="AT25" s="27">
        <f t="shared" si="132"/>
        <v>0</v>
      </c>
      <c r="AU25" s="145">
        <f t="shared" si="133"/>
        <v>5190000</v>
      </c>
      <c r="AV25" s="27">
        <v>1</v>
      </c>
      <c r="AW25" s="27">
        <f t="shared" si="134"/>
        <v>1.6853932584263365E-2</v>
      </c>
      <c r="AX25" s="145">
        <f t="shared" si="135"/>
        <v>87471.910112326863</v>
      </c>
      <c r="AY25" s="145">
        <f t="shared" si="136"/>
        <v>20675633.678770777</v>
      </c>
      <c r="AZ25" s="27">
        <f t="shared" si="137"/>
        <v>0</v>
      </c>
      <c r="BA25" s="145">
        <f t="shared" si="138"/>
        <v>0</v>
      </c>
      <c r="BB25" s="145">
        <f t="shared" si="139"/>
        <v>0</v>
      </c>
      <c r="BC25" s="145">
        <f t="shared" si="140"/>
        <v>25865633.678770777</v>
      </c>
      <c r="BD25" s="145">
        <f t="shared" si="141"/>
        <v>1342446826.3888757</v>
      </c>
      <c r="BE25" s="84">
        <f t="shared" si="142"/>
        <v>2.0416007353987412E-2</v>
      </c>
      <c r="BF25" s="84">
        <f t="shared" si="143"/>
        <v>2.0742776768383438E-2</v>
      </c>
      <c r="BG25" s="84">
        <f t="shared" si="144"/>
        <v>2.0756067860361965E-2</v>
      </c>
      <c r="BH25" s="38">
        <f t="shared" si="145"/>
        <v>0.92943833333333337</v>
      </c>
      <c r="BI25" s="38"/>
      <c r="BJ25" s="38">
        <f t="shared" si="61"/>
        <v>0.41824725000000001</v>
      </c>
      <c r="BK25" s="38"/>
      <c r="BL25" s="38">
        <f>'Analisis economico'!$C$5/BJ25</f>
        <v>8.5117116729398692</v>
      </c>
      <c r="BM25" s="38"/>
      <c r="BN25" s="38">
        <f t="shared" si="10"/>
        <v>0.92943833333333337</v>
      </c>
      <c r="BO25" s="38">
        <f t="shared" si="11"/>
        <v>1.5664691011230102E-2</v>
      </c>
      <c r="BP25" s="38">
        <f t="shared" si="28"/>
        <v>72.497838226529254</v>
      </c>
      <c r="BQ25" s="27">
        <f t="shared" si="146"/>
        <v>73.427276559862591</v>
      </c>
      <c r="BR25" s="211">
        <v>0.92943833333333337</v>
      </c>
      <c r="BS25" s="61">
        <f t="shared" si="59"/>
        <v>2.6942635076301928E-9</v>
      </c>
      <c r="BT25" s="61"/>
      <c r="BU25" s="342">
        <f t="shared" si="62"/>
        <v>6.4662324183124634E-2</v>
      </c>
      <c r="BV25" s="342"/>
      <c r="BW25" s="342"/>
      <c r="BX25" s="27">
        <f t="shared" si="30"/>
        <v>0.1467786477708333</v>
      </c>
      <c r="BY25" s="56"/>
      <c r="BZ25" s="38">
        <f t="shared" si="12"/>
        <v>0.92943833333333337</v>
      </c>
      <c r="CA25" s="38">
        <f t="shared" si="13"/>
        <v>1.5664691011230102E-2</v>
      </c>
      <c r="CB25" s="245">
        <f t="shared" si="31"/>
        <v>70.993622841909399</v>
      </c>
      <c r="CC25" s="58">
        <f t="shared" si="147"/>
        <v>71.923061175242736</v>
      </c>
      <c r="CD25" s="38">
        <v>34.119</v>
      </c>
      <c r="CE25" s="35"/>
      <c r="CF25" s="80">
        <f t="shared" si="33"/>
        <v>108452772.22219777</v>
      </c>
      <c r="CG25" s="77">
        <f t="shared" si="34"/>
        <v>108452772.22219777</v>
      </c>
      <c r="CH25" s="62"/>
      <c r="CI25" s="93">
        <f t="shared" si="148"/>
        <v>20584958.333341017</v>
      </c>
      <c r="CJ25" s="58"/>
      <c r="CK25" s="38">
        <v>0.44557999308862317</v>
      </c>
      <c r="CL25" s="38"/>
      <c r="CM25" s="38"/>
      <c r="CN25" s="38"/>
      <c r="CO25" s="38">
        <f t="shared" si="35"/>
        <v>-84.119321933843366</v>
      </c>
      <c r="CP25" s="37"/>
      <c r="CQ25" s="37"/>
      <c r="CR25" s="56"/>
      <c r="CS25" s="58">
        <f t="shared" si="36"/>
        <v>-84.119321933843366</v>
      </c>
      <c r="CT25" s="58"/>
      <c r="CU25" s="58"/>
      <c r="CV25" s="58"/>
      <c r="CW25" s="38">
        <v>31.176056735963389</v>
      </c>
      <c r="CX25" s="38"/>
      <c r="CY25" s="38"/>
      <c r="CZ25" s="38"/>
      <c r="DA25" s="38">
        <f t="shared" si="37"/>
        <v>92.129840945644773</v>
      </c>
      <c r="DB25" s="38"/>
      <c r="DC25" s="38"/>
      <c r="DD25" s="38"/>
      <c r="DE25" s="38">
        <f t="shared" si="38"/>
        <v>92.129840945644773</v>
      </c>
      <c r="DF25" s="38"/>
      <c r="DG25" s="38"/>
      <c r="DH25" s="38"/>
      <c r="DI25" s="38">
        <f t="shared" si="39"/>
        <v>-1.3235756485116448</v>
      </c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V25" s="38">
        <f t="shared" si="149"/>
        <v>0</v>
      </c>
      <c r="DW25" s="56"/>
      <c r="DX25" s="38">
        <v>2.1138406794694413</v>
      </c>
    </row>
    <row r="26" spans="1:183" ht="14.25" customHeight="1" thickBot="1" x14ac:dyDescent="0.25">
      <c r="A26" s="202">
        <v>19</v>
      </c>
      <c r="B26" s="203">
        <v>43641</v>
      </c>
      <c r="C26" s="60">
        <v>0.41666666666666669</v>
      </c>
      <c r="D26" s="87">
        <f t="shared" ref="D26:D35" si="150">(B26+C26-(Inoculo_Fecha+Inoculo_Hora))*24</f>
        <v>479.49999999994179</v>
      </c>
      <c r="E26" s="87">
        <f t="shared" ref="E26:E35" si="151">D26/24</f>
        <v>19.979166666664241</v>
      </c>
      <c r="F26" s="116">
        <v>1</v>
      </c>
      <c r="G26" s="258">
        <v>6390000</v>
      </c>
      <c r="H26" s="258">
        <v>6360000</v>
      </c>
      <c r="I26" s="258"/>
      <c r="J26" s="317">
        <f>AVERAGE(G26:H26)</f>
        <v>6375000</v>
      </c>
      <c r="K26" s="61">
        <f>STDEV(G26:H26)</f>
        <v>21213.203435596424</v>
      </c>
      <c r="L26" s="257">
        <f t="shared" si="108"/>
        <v>3.3275613232308116E-3</v>
      </c>
      <c r="M26" s="118">
        <f t="shared" si="109"/>
        <v>6375000</v>
      </c>
      <c r="N26" s="204">
        <v>417000</v>
      </c>
      <c r="O26" s="88">
        <f t="shared" si="110"/>
        <v>417000</v>
      </c>
      <c r="P26" s="38">
        <v>7.14</v>
      </c>
      <c r="Q26" s="38">
        <v>58.6</v>
      </c>
      <c r="R26" s="84">
        <f t="shared" si="111"/>
        <v>2.5550149504452516E-2</v>
      </c>
      <c r="S26" s="84"/>
      <c r="T26" s="311">
        <f t="shared" si="15"/>
        <v>15583333.333292102</v>
      </c>
      <c r="U26" s="84" t="e">
        <f>#REF!</f>
        <v>#REF!</v>
      </c>
      <c r="V26" s="63">
        <f t="shared" si="112"/>
        <v>6792000</v>
      </c>
      <c r="W26" s="89">
        <f t="shared" si="113"/>
        <v>6792000</v>
      </c>
      <c r="X26" s="90">
        <f t="shared" si="114"/>
        <v>0.93860424028268552</v>
      </c>
      <c r="Y26" s="61">
        <f t="shared" si="115"/>
        <v>1469661826.3885391</v>
      </c>
      <c r="Z26" s="148">
        <f t="shared" si="116"/>
        <v>118351438.8888396</v>
      </c>
      <c r="AA26" s="27">
        <v>15.2</v>
      </c>
      <c r="AB26" s="27">
        <v>0</v>
      </c>
      <c r="AC26" s="27">
        <v>0</v>
      </c>
      <c r="AD26" s="27">
        <v>0</v>
      </c>
      <c r="AE26" s="27">
        <f t="shared" si="117"/>
        <v>0.91666666666424135</v>
      </c>
      <c r="AF26" s="27">
        <f t="shared" si="118"/>
        <v>0.75</v>
      </c>
      <c r="AG26" s="27">
        <f t="shared" si="119"/>
        <v>15.2</v>
      </c>
      <c r="AH26" s="27">
        <f t="shared" si="120"/>
        <v>0.81818181818398295</v>
      </c>
      <c r="AI26" s="27">
        <f t="shared" si="121"/>
        <v>0.40909090909199147</v>
      </c>
      <c r="AJ26" s="109">
        <f t="shared" si="122"/>
        <v>1.7045454545499644E-2</v>
      </c>
      <c r="AK26" s="109">
        <f t="shared" si="123"/>
        <v>6.4171122994822194E-2</v>
      </c>
      <c r="AL26" s="27">
        <f t="shared" si="124"/>
        <v>0.75</v>
      </c>
      <c r="AM26" s="27">
        <f t="shared" si="125"/>
        <v>15.2</v>
      </c>
      <c r="AN26" s="27">
        <f t="shared" si="126"/>
        <v>0.81818181818398295</v>
      </c>
      <c r="AO26" s="27">
        <f t="shared" si="127"/>
        <v>0.40909090909199147</v>
      </c>
      <c r="AP26" s="27">
        <f t="shared" si="128"/>
        <v>1.7045454545499644E-2</v>
      </c>
      <c r="AQ26" s="27">
        <f t="shared" si="129"/>
        <v>0</v>
      </c>
      <c r="AR26" s="27">
        <f t="shared" si="130"/>
        <v>0</v>
      </c>
      <c r="AS26" s="27">
        <f t="shared" si="131"/>
        <v>0</v>
      </c>
      <c r="AT26" s="27">
        <f t="shared" si="132"/>
        <v>0</v>
      </c>
      <c r="AU26" s="145">
        <f t="shared" si="133"/>
        <v>6375000</v>
      </c>
      <c r="AV26" s="27">
        <v>1</v>
      </c>
      <c r="AW26" s="27">
        <f t="shared" si="134"/>
        <v>1.7045454545499644E-2</v>
      </c>
      <c r="AX26" s="145">
        <f t="shared" si="135"/>
        <v>108664.77272756022</v>
      </c>
      <c r="AY26" s="145">
        <f t="shared" si="136"/>
        <v>22833137.190003827</v>
      </c>
      <c r="AZ26" s="27">
        <f t="shared" si="137"/>
        <v>0</v>
      </c>
      <c r="BA26" s="145">
        <f t="shared" si="138"/>
        <v>0</v>
      </c>
      <c r="BB26" s="145">
        <f t="shared" si="139"/>
        <v>0</v>
      </c>
      <c r="BC26" s="145">
        <f t="shared" si="140"/>
        <v>29208137.190003827</v>
      </c>
      <c r="BD26" s="145">
        <f t="shared" si="141"/>
        <v>1469661826.3885391</v>
      </c>
      <c r="BE26" s="84">
        <f t="shared" si="142"/>
        <v>2.6274444925849117E-2</v>
      </c>
      <c r="BF26" s="84">
        <f t="shared" si="143"/>
        <v>2.5525425279013941E-2</v>
      </c>
      <c r="BG26" s="84">
        <f t="shared" si="144"/>
        <v>2.5550149504452516E-2</v>
      </c>
      <c r="BH26" s="38">
        <f t="shared" si="145"/>
        <v>2.6502060000000003</v>
      </c>
      <c r="BI26" s="38"/>
      <c r="BJ26" s="38">
        <f t="shared" si="61"/>
        <v>1.1925927000000001</v>
      </c>
      <c r="BK26" s="38"/>
      <c r="BL26" s="38">
        <f>'Analisis economico'!$C$5/BJ26</f>
        <v>2.9850928988580927</v>
      </c>
      <c r="BM26" s="38"/>
      <c r="BN26" s="38">
        <f t="shared" si="10"/>
        <v>2.6502060000000003</v>
      </c>
      <c r="BO26" s="38">
        <f t="shared" si="11"/>
        <v>4.5173965909210433E-2</v>
      </c>
      <c r="BP26" s="38">
        <f t="shared" si="28"/>
        <v>73.167063452652329</v>
      </c>
      <c r="BQ26" s="27">
        <f t="shared" si="146"/>
        <v>75.817269452652326</v>
      </c>
      <c r="BR26" s="211">
        <v>2.6502060000000003</v>
      </c>
      <c r="BS26" s="61">
        <f t="shared" si="59"/>
        <v>1.8802428795134189E-8</v>
      </c>
      <c r="BT26" s="61"/>
      <c r="BU26" s="342">
        <f t="shared" si="62"/>
        <v>0.45125829108322052</v>
      </c>
      <c r="BV26" s="342"/>
      <c r="BW26" s="342"/>
      <c r="BX26" s="27">
        <f t="shared" si="30"/>
        <v>0.14812101439583331</v>
      </c>
      <c r="BY26" s="56"/>
      <c r="BZ26" s="38">
        <f t="shared" si="12"/>
        <v>2.6502060000000003</v>
      </c>
      <c r="CA26" s="38">
        <f t="shared" si="13"/>
        <v>4.5173965909210433E-2</v>
      </c>
      <c r="CB26" s="245">
        <f t="shared" si="31"/>
        <v>71.662848068032474</v>
      </c>
      <c r="CC26" s="58">
        <f t="shared" si="147"/>
        <v>74.313054068032471</v>
      </c>
      <c r="CD26" s="38">
        <v>35.119</v>
      </c>
      <c r="CE26" s="35"/>
      <c r="CF26" s="80">
        <f t="shared" si="33"/>
        <v>117912772.22217274</v>
      </c>
      <c r="CG26" s="77">
        <f t="shared" si="34"/>
        <v>117912772.22217274</v>
      </c>
      <c r="CH26" s="62"/>
      <c r="CI26" s="93">
        <f t="shared" si="148"/>
        <v>9459999.999974966</v>
      </c>
      <c r="CJ26" s="58"/>
      <c r="CK26" s="325">
        <v>0.43779242507250293</v>
      </c>
      <c r="CL26" s="320">
        <f>AVERAGE(CK26:CK29)</f>
        <v>0.27539597814887845</v>
      </c>
      <c r="CM26" s="320">
        <f>STDEV(CK26:CK29)</f>
        <v>0.16030252484193883</v>
      </c>
      <c r="CN26" s="328">
        <f>CM26/CL26</f>
        <v>0.58208012302663203</v>
      </c>
      <c r="CO26" s="38">
        <f t="shared" si="35"/>
        <v>-69.505602638323339</v>
      </c>
      <c r="CP26" s="325">
        <f>AVERAGE(CO26:CO30)</f>
        <v>-52.545709991256842</v>
      </c>
      <c r="CQ26" s="325">
        <f>STDEV(CO26:CO30)</f>
        <v>20.894843260151973</v>
      </c>
      <c r="CR26" s="329">
        <f>CQ26/CP26</f>
        <v>-0.39765079325464814</v>
      </c>
      <c r="CS26" s="58">
        <f t="shared" si="36"/>
        <v>-69.505602638323339</v>
      </c>
      <c r="CT26" s="325">
        <f>AVERAGE(CS26:CS30)</f>
        <v>-52.545709991256842</v>
      </c>
      <c r="CU26" s="325">
        <f>STDEV(CS26:CS30)</f>
        <v>20.894843260151983</v>
      </c>
      <c r="CV26" s="329">
        <f>CU26/CT26</f>
        <v>-0.3976507932546483</v>
      </c>
      <c r="CW26" s="325">
        <v>35.087924125918661</v>
      </c>
      <c r="CX26" s="325">
        <f>AVERAGE(CW26:CW30)</f>
        <v>28.83400837312896</v>
      </c>
      <c r="CY26" s="325">
        <f>STDEV(CW26:CW30)</f>
        <v>8.2549703230037466</v>
      </c>
      <c r="CZ26" s="329">
        <f>CY26/CX26</f>
        <v>0.28629284614818706</v>
      </c>
      <c r="DA26" s="38">
        <f t="shared" si="37"/>
        <v>128.41538970719947</v>
      </c>
      <c r="DB26" s="325">
        <f>AVERAGE(DA26:DA28)</f>
        <v>96.975900476352308</v>
      </c>
      <c r="DC26" s="325">
        <f>STDEV(DA26:DA28)</f>
        <v>27.500304831344973</v>
      </c>
      <c r="DD26" s="329">
        <f>DC26/DB26</f>
        <v>0.28357875200190541</v>
      </c>
      <c r="DE26" s="38">
        <f t="shared" si="38"/>
        <v>128.41538970719944</v>
      </c>
      <c r="DF26" s="325">
        <f>AVERAGE(DE26:DE30)</f>
        <v>58.406541699218124</v>
      </c>
      <c r="DG26" s="325">
        <f>STDEV(DE26:DE30)</f>
        <v>56.280047603019419</v>
      </c>
      <c r="DH26" s="329">
        <f>DG26/DF26</f>
        <v>0.96359150817129835</v>
      </c>
      <c r="DI26" s="325">
        <f t="shared" si="39"/>
        <v>-1.4891611498769604</v>
      </c>
      <c r="DJ26" s="325">
        <f>-AVERAGE(DI26:DI30)</f>
        <v>1.2540414662618531</v>
      </c>
      <c r="DK26" s="325">
        <f>STDEV(DI26:DI30)</f>
        <v>0.27907382464209085</v>
      </c>
      <c r="DL26" s="329">
        <f>DK26/DJ26</f>
        <v>0.22253955084434041</v>
      </c>
      <c r="DM26" s="353">
        <f>(-(J26/(CK26-$CP$5))/POWER(10,6))</f>
        <v>0.27056038699801738</v>
      </c>
      <c r="DN26" s="329"/>
      <c r="DO26" s="329"/>
      <c r="DP26" s="329"/>
      <c r="DQ26" s="353">
        <f>(-(N26/(CO26-$CP$5))/POWER(10,6))</f>
        <v>4.4596258217054928E-3</v>
      </c>
      <c r="DR26" s="329"/>
      <c r="DS26" s="329"/>
      <c r="DT26" s="329"/>
      <c r="DV26" s="38">
        <f t="shared" si="149"/>
        <v>0</v>
      </c>
      <c r="DW26" s="56"/>
      <c r="DX26" s="38">
        <v>1.5690409970556396</v>
      </c>
    </row>
    <row r="27" spans="1:183" ht="13.5" customHeight="1" thickBot="1" x14ac:dyDescent="0.25">
      <c r="A27" s="202">
        <v>20</v>
      </c>
      <c r="B27" s="203">
        <v>43642</v>
      </c>
      <c r="C27" s="60">
        <v>0.66319444444444442</v>
      </c>
      <c r="D27" s="87">
        <f t="shared" si="150"/>
        <v>509.41666666668607</v>
      </c>
      <c r="E27" s="87">
        <f t="shared" si="151"/>
        <v>21.225694444445253</v>
      </c>
      <c r="F27" s="116">
        <v>1</v>
      </c>
      <c r="G27" s="258">
        <v>7050000</v>
      </c>
      <c r="H27" s="258">
        <v>7440000</v>
      </c>
      <c r="I27" s="258"/>
      <c r="J27" s="317">
        <f>AVERAGE(G27:H27)</f>
        <v>7245000</v>
      </c>
      <c r="K27" s="61">
        <f>STDEV(G27:H27)</f>
        <v>275771.64466275356</v>
      </c>
      <c r="L27" s="257">
        <f t="shared" si="108"/>
        <v>3.806371907008331E-2</v>
      </c>
      <c r="M27" s="118">
        <f t="shared" si="109"/>
        <v>7245000</v>
      </c>
      <c r="N27" s="204">
        <v>330000</v>
      </c>
      <c r="O27" s="88">
        <f t="shared" si="110"/>
        <v>330000</v>
      </c>
      <c r="P27" s="38">
        <v>7.13</v>
      </c>
      <c r="Q27" s="38">
        <v>49.5</v>
      </c>
      <c r="R27" s="84">
        <f t="shared" si="111"/>
        <v>2.036015272595457E-2</v>
      </c>
      <c r="S27" s="84"/>
      <c r="T27" s="311">
        <f t="shared" si="15"/>
        <v>18062187.500046857</v>
      </c>
      <c r="U27" s="84" t="e">
        <f>#REF!</f>
        <v>#REF!</v>
      </c>
      <c r="V27" s="63">
        <f t="shared" si="112"/>
        <v>7575000</v>
      </c>
      <c r="W27" s="89">
        <f t="shared" si="113"/>
        <v>7575000</v>
      </c>
      <c r="X27" s="90">
        <f t="shared" si="114"/>
        <v>0.9564356435643564</v>
      </c>
      <c r="Y27" s="61">
        <f t="shared" si="115"/>
        <v>1673394326.3890676</v>
      </c>
      <c r="Z27" s="148">
        <f t="shared" si="116"/>
        <v>129525313.88886859</v>
      </c>
      <c r="AA27" s="27">
        <v>16.2</v>
      </c>
      <c r="AB27" s="27">
        <v>0</v>
      </c>
      <c r="AC27" s="27">
        <v>0</v>
      </c>
      <c r="AD27" s="27">
        <v>0</v>
      </c>
      <c r="AE27" s="27">
        <f t="shared" si="117"/>
        <v>1.2465277777810115</v>
      </c>
      <c r="AF27" s="27">
        <f t="shared" si="118"/>
        <v>1</v>
      </c>
      <c r="AG27" s="27">
        <f t="shared" si="119"/>
        <v>16.2</v>
      </c>
      <c r="AH27" s="27">
        <f t="shared" si="120"/>
        <v>0.80222841225418628</v>
      </c>
      <c r="AI27" s="27">
        <f t="shared" si="121"/>
        <v>0.40111420612709314</v>
      </c>
      <c r="AJ27" s="109">
        <f t="shared" si="122"/>
        <v>1.6713091921962214E-2</v>
      </c>
      <c r="AK27" s="109">
        <f t="shared" si="123"/>
        <v>5.5364279658674E-2</v>
      </c>
      <c r="AL27" s="27">
        <f t="shared" si="124"/>
        <v>1</v>
      </c>
      <c r="AM27" s="27">
        <f t="shared" si="125"/>
        <v>16.2</v>
      </c>
      <c r="AN27" s="27">
        <f t="shared" si="126"/>
        <v>0.80222841225418628</v>
      </c>
      <c r="AO27" s="27">
        <f t="shared" si="127"/>
        <v>0.40111420612709314</v>
      </c>
      <c r="AP27" s="27">
        <f t="shared" si="128"/>
        <v>1.6713091921962214E-2</v>
      </c>
      <c r="AQ27" s="27">
        <f t="shared" si="129"/>
        <v>0</v>
      </c>
      <c r="AR27" s="27">
        <f t="shared" si="130"/>
        <v>0</v>
      </c>
      <c r="AS27" s="27">
        <f t="shared" si="131"/>
        <v>0</v>
      </c>
      <c r="AT27" s="27">
        <f t="shared" si="132"/>
        <v>0</v>
      </c>
      <c r="AU27" s="145">
        <f t="shared" si="133"/>
        <v>7245000</v>
      </c>
      <c r="AV27" s="27">
        <v>1</v>
      </c>
      <c r="AW27" s="27">
        <f t="shared" si="134"/>
        <v>1.6713091921962214E-2</v>
      </c>
      <c r="AX27" s="145">
        <f t="shared" si="135"/>
        <v>121086.35097461625</v>
      </c>
      <c r="AY27" s="145">
        <f t="shared" si="136"/>
        <v>26269831.0820578</v>
      </c>
      <c r="AZ27" s="27">
        <f t="shared" si="137"/>
        <v>0</v>
      </c>
      <c r="BA27" s="145">
        <f t="shared" si="138"/>
        <v>0</v>
      </c>
      <c r="BB27" s="145">
        <f t="shared" si="139"/>
        <v>0</v>
      </c>
      <c r="BC27" s="145">
        <f t="shared" si="140"/>
        <v>33514831.0820578</v>
      </c>
      <c r="BD27" s="145">
        <f t="shared" si="141"/>
        <v>1673394326.3890676</v>
      </c>
      <c r="BE27" s="84">
        <f t="shared" si="142"/>
        <v>2.1138963552907855E-2</v>
      </c>
      <c r="BF27" s="84">
        <f t="shared" si="143"/>
        <v>2.035653898116634E-2</v>
      </c>
      <c r="BG27" s="84">
        <f t="shared" si="144"/>
        <v>2.036015272595457E-2</v>
      </c>
      <c r="BH27" s="38">
        <f t="shared" si="145"/>
        <v>3.0100790000000002</v>
      </c>
      <c r="BI27" s="38"/>
      <c r="BJ27" s="38">
        <f t="shared" si="61"/>
        <v>1.35453555</v>
      </c>
      <c r="BK27" s="38"/>
      <c r="BL27" s="38">
        <f>'Analisis economico'!$C$5/BJ27</f>
        <v>2.6282071371253415</v>
      </c>
      <c r="BM27" s="38"/>
      <c r="BN27" s="38">
        <f t="shared" si="10"/>
        <v>3.0100790000000002</v>
      </c>
      <c r="BO27" s="38">
        <f t="shared" si="11"/>
        <v>5.0307727019368101E-2</v>
      </c>
      <c r="BP27" s="38">
        <f t="shared" si="28"/>
        <v>74.595310442712687</v>
      </c>
      <c r="BQ27" s="27">
        <f t="shared" si="146"/>
        <v>77.605389442712692</v>
      </c>
      <c r="BR27" s="211">
        <v>3.0100790000000002</v>
      </c>
      <c r="BS27" s="61">
        <f t="shared" si="59"/>
        <v>8.7121311032623434E-9</v>
      </c>
      <c r="BT27" s="61"/>
      <c r="BU27" s="342">
        <f t="shared" si="62"/>
        <v>0.20909114647829624</v>
      </c>
      <c r="BV27" s="342"/>
      <c r="BW27" s="342"/>
      <c r="BX27" s="27">
        <f t="shared" si="30"/>
        <v>0.1509511568958333</v>
      </c>
      <c r="BY27" s="56"/>
      <c r="BZ27" s="38">
        <f t="shared" si="12"/>
        <v>3.0100790000000002</v>
      </c>
      <c r="CA27" s="38">
        <f t="shared" si="13"/>
        <v>5.0307727019368101E-2</v>
      </c>
      <c r="CB27" s="245">
        <f t="shared" si="31"/>
        <v>73.091095058092833</v>
      </c>
      <c r="CC27" s="58">
        <f t="shared" si="147"/>
        <v>76.101174058092838</v>
      </c>
      <c r="CD27" s="38">
        <v>36.119</v>
      </c>
      <c r="CE27" s="35"/>
      <c r="CF27" s="80">
        <f t="shared" si="33"/>
        <v>129086647.22220172</v>
      </c>
      <c r="CG27" s="77">
        <f t="shared" si="34"/>
        <v>129086647.22220172</v>
      </c>
      <c r="CH27" s="62"/>
      <c r="CI27" s="93">
        <f t="shared" si="148"/>
        <v>11173875.000028983</v>
      </c>
      <c r="CJ27" s="58"/>
      <c r="CK27" s="325">
        <v>0.15764067298597095</v>
      </c>
      <c r="CL27" s="325"/>
      <c r="CM27" s="325"/>
      <c r="CN27" s="325"/>
      <c r="CO27" s="38">
        <f t="shared" si="35"/>
        <v>-59.545204999400895</v>
      </c>
      <c r="CP27" s="326"/>
      <c r="CQ27" s="326"/>
      <c r="CR27" s="327"/>
      <c r="CS27" s="58">
        <f t="shared" si="36"/>
        <v>-59.545204999400902</v>
      </c>
      <c r="CT27" s="58"/>
      <c r="CU27" s="58"/>
      <c r="CV27" s="58"/>
      <c r="CW27" s="325">
        <v>34.926256962558384</v>
      </c>
      <c r="CX27" s="325"/>
      <c r="CY27" s="325"/>
      <c r="CZ27" s="325"/>
      <c r="DA27" s="38">
        <f t="shared" si="37"/>
        <v>85.120823180955398</v>
      </c>
      <c r="DB27" s="325"/>
      <c r="DC27" s="325"/>
      <c r="DD27" s="325"/>
      <c r="DE27" s="38">
        <f t="shared" si="38"/>
        <v>85.120823180955398</v>
      </c>
      <c r="DF27" s="325"/>
      <c r="DG27" s="325"/>
      <c r="DH27" s="325"/>
      <c r="DI27" s="325">
        <f t="shared" si="39"/>
        <v>-1.4648825849623868</v>
      </c>
      <c r="DJ27" s="325"/>
      <c r="DK27" s="325"/>
      <c r="DL27" s="325"/>
      <c r="DM27" s="353">
        <f>(-(J27/(CK27-$CP$5))/POWER(10,6))</f>
        <v>0.30387093410639199</v>
      </c>
      <c r="DN27" s="325"/>
      <c r="DO27" s="325"/>
      <c r="DP27" s="325"/>
      <c r="DQ27" s="353">
        <f>(-(N27/(CO27-$CP$5))/POWER(10,6))</f>
        <v>3.9499573913591617E-3</v>
      </c>
      <c r="DR27" s="325"/>
      <c r="DS27" s="325"/>
      <c r="DT27" s="325"/>
      <c r="DV27" s="38">
        <f t="shared" si="149"/>
        <v>0</v>
      </c>
      <c r="DW27" s="56"/>
      <c r="DX27" s="38">
        <v>1.5218938832201534</v>
      </c>
    </row>
    <row r="28" spans="1:183" ht="13.5" customHeight="1" thickBot="1" x14ac:dyDescent="0.25">
      <c r="A28" s="202">
        <v>21</v>
      </c>
      <c r="B28" s="203">
        <v>43643</v>
      </c>
      <c r="C28" s="60">
        <v>0.58333333333333337</v>
      </c>
      <c r="D28" s="87">
        <f t="shared" si="150"/>
        <v>531.50000000005821</v>
      </c>
      <c r="E28" s="87">
        <f t="shared" si="151"/>
        <v>22.145833333335759</v>
      </c>
      <c r="F28" s="116">
        <v>1</v>
      </c>
      <c r="G28" s="258">
        <v>6780000</v>
      </c>
      <c r="H28" s="258">
        <v>5940000</v>
      </c>
      <c r="I28" s="258"/>
      <c r="J28" s="317">
        <f>AVERAGE(G28:H28)</f>
        <v>6360000</v>
      </c>
      <c r="K28" s="61">
        <f>STDEV(G28:H28)</f>
        <v>593969.69619669986</v>
      </c>
      <c r="L28" s="257">
        <f t="shared" si="108"/>
        <v>9.3391461666147771E-2</v>
      </c>
      <c r="M28" s="118">
        <f t="shared" si="109"/>
        <v>6360000</v>
      </c>
      <c r="N28" s="204">
        <v>285000</v>
      </c>
      <c r="O28" s="88">
        <f t="shared" si="110"/>
        <v>285000</v>
      </c>
      <c r="P28" s="38">
        <v>7.13</v>
      </c>
      <c r="Q28" s="38">
        <v>38.1</v>
      </c>
      <c r="R28" s="84">
        <f t="shared" si="111"/>
        <v>1.104957014804589E-2</v>
      </c>
      <c r="S28" s="84"/>
      <c r="T28" s="311">
        <f t="shared" si="15"/>
        <v>15605555.555582978</v>
      </c>
      <c r="U28" s="84" t="e">
        <f>#REF!</f>
        <v>#REF!</v>
      </c>
      <c r="V28" s="63">
        <f t="shared" si="112"/>
        <v>6645000</v>
      </c>
      <c r="W28" s="89">
        <f t="shared" si="113"/>
        <v>6645000</v>
      </c>
      <c r="X28" s="90">
        <f t="shared" si="114"/>
        <v>0.95711060948081261</v>
      </c>
      <c r="Y28" s="61">
        <f t="shared" si="115"/>
        <v>1823616201.3893316</v>
      </c>
      <c r="Z28" s="148">
        <f t="shared" si="116"/>
        <v>136315938.88888052</v>
      </c>
      <c r="AA28" s="27">
        <v>16.95</v>
      </c>
      <c r="AB28" s="27">
        <v>0</v>
      </c>
      <c r="AC28" s="27">
        <v>0</v>
      </c>
      <c r="AD28" s="27">
        <v>0</v>
      </c>
      <c r="AE28" s="27">
        <f t="shared" si="117"/>
        <v>0.92013888889050577</v>
      </c>
      <c r="AF28" s="27">
        <f t="shared" si="118"/>
        <v>0.75</v>
      </c>
      <c r="AG28" s="27">
        <f t="shared" si="119"/>
        <v>16.95</v>
      </c>
      <c r="AH28" s="27">
        <f t="shared" si="120"/>
        <v>0.81509433962120925</v>
      </c>
      <c r="AI28" s="27">
        <f t="shared" si="121"/>
        <v>0.40754716981060463</v>
      </c>
      <c r="AJ28" s="109">
        <f t="shared" si="122"/>
        <v>1.6981132075441861E-2</v>
      </c>
      <c r="AK28" s="109">
        <f t="shared" si="123"/>
        <v>6.4079743680912682E-2</v>
      </c>
      <c r="AL28" s="27">
        <f t="shared" si="124"/>
        <v>0.75</v>
      </c>
      <c r="AM28" s="27">
        <f t="shared" si="125"/>
        <v>16.95</v>
      </c>
      <c r="AN28" s="27">
        <f t="shared" si="126"/>
        <v>0.81509433962120925</v>
      </c>
      <c r="AO28" s="27">
        <f t="shared" si="127"/>
        <v>0.40754716981060463</v>
      </c>
      <c r="AP28" s="27">
        <f t="shared" si="128"/>
        <v>1.6981132075441861E-2</v>
      </c>
      <c r="AQ28" s="27">
        <f t="shared" si="129"/>
        <v>0</v>
      </c>
      <c r="AR28" s="27">
        <f t="shared" si="130"/>
        <v>0</v>
      </c>
      <c r="AS28" s="27">
        <f t="shared" si="131"/>
        <v>0</v>
      </c>
      <c r="AT28" s="27">
        <f t="shared" si="132"/>
        <v>0</v>
      </c>
      <c r="AU28" s="145">
        <f t="shared" si="133"/>
        <v>6360000</v>
      </c>
      <c r="AV28" s="27">
        <v>1</v>
      </c>
      <c r="AW28" s="27">
        <f t="shared" si="134"/>
        <v>1.6981132075441861E-2</v>
      </c>
      <c r="AX28" s="145">
        <f t="shared" si="135"/>
        <v>107999.99999981023</v>
      </c>
      <c r="AY28" s="145">
        <f t="shared" si="136"/>
        <v>28799326.207404871</v>
      </c>
      <c r="AZ28" s="27">
        <f t="shared" si="137"/>
        <v>0</v>
      </c>
      <c r="BA28" s="145">
        <f t="shared" si="138"/>
        <v>0</v>
      </c>
      <c r="BB28" s="145">
        <f t="shared" si="139"/>
        <v>0</v>
      </c>
      <c r="BC28" s="145">
        <f t="shared" si="140"/>
        <v>35159326.207404867</v>
      </c>
      <c r="BD28" s="145">
        <f t="shared" si="141"/>
        <v>1823616201.3893316</v>
      </c>
      <c r="BE28" s="84">
        <f t="shared" si="142"/>
        <v>1.094710823802577E-2</v>
      </c>
      <c r="BF28" s="84">
        <f t="shared" si="143"/>
        <v>1.1058036780491677E-2</v>
      </c>
      <c r="BG28" s="84">
        <f t="shared" si="144"/>
        <v>1.104957014804589E-2</v>
      </c>
      <c r="BH28" s="38">
        <f t="shared" si="145"/>
        <v>3.1354280000000001</v>
      </c>
      <c r="BI28" s="38"/>
      <c r="BJ28" s="38">
        <f t="shared" si="61"/>
        <v>1.4109426</v>
      </c>
      <c r="BK28" s="38"/>
      <c r="BL28" s="38">
        <f>'Analisis economico'!$C$5/BJ28</f>
        <v>2.5231359518098042</v>
      </c>
      <c r="BM28" s="38"/>
      <c r="BN28" s="38">
        <f t="shared" si="10"/>
        <v>3.1354280000000001</v>
      </c>
      <c r="BO28" s="38">
        <f t="shared" si="11"/>
        <v>5.3243116981038521E-2</v>
      </c>
      <c r="BP28" s="38">
        <f t="shared" si="28"/>
        <v>75.738684345219184</v>
      </c>
      <c r="BQ28" s="27">
        <f t="shared" si="146"/>
        <v>78.874112345219189</v>
      </c>
      <c r="BR28" s="234">
        <f>AVERAGE(BR27,BR29)</f>
        <v>3.1354280000000001</v>
      </c>
      <c r="BS28" s="230">
        <f t="shared" si="59"/>
        <v>8.5049634914872087E-9</v>
      </c>
      <c r="BT28" s="230"/>
      <c r="BU28" s="341">
        <f t="shared" si="62"/>
        <v>0.204119123795693</v>
      </c>
      <c r="BV28" s="341"/>
      <c r="BW28" s="341"/>
      <c r="BX28" s="27">
        <f t="shared" si="30"/>
        <v>0.15325572202083329</v>
      </c>
      <c r="BY28" s="56"/>
      <c r="BZ28" s="38">
        <f t="shared" si="12"/>
        <v>3.1354280000000001</v>
      </c>
      <c r="CA28" s="38">
        <f t="shared" si="13"/>
        <v>5.3243116981038521E-2</v>
      </c>
      <c r="CB28" s="245">
        <f t="shared" si="31"/>
        <v>74.23446896059933</v>
      </c>
      <c r="CC28" s="58">
        <f t="shared" si="147"/>
        <v>77.369896960599334</v>
      </c>
      <c r="CD28" s="38">
        <v>37.119</v>
      </c>
      <c r="CE28" s="35"/>
      <c r="CF28" s="80">
        <f t="shared" si="33"/>
        <v>135877272.22221366</v>
      </c>
      <c r="CG28" s="77">
        <f t="shared" si="34"/>
        <v>135877272.22221366</v>
      </c>
      <c r="CH28" s="62"/>
      <c r="CI28" s="93">
        <f t="shared" si="148"/>
        <v>6790625.0000119358</v>
      </c>
      <c r="CJ28" s="58"/>
      <c r="CK28" s="325">
        <v>0.11918111169207667</v>
      </c>
      <c r="CL28" s="325"/>
      <c r="CM28" s="325"/>
      <c r="CN28" s="325"/>
      <c r="CO28" s="38">
        <f t="shared" si="35"/>
        <v>-59.821883308612485</v>
      </c>
      <c r="CP28" s="326"/>
      <c r="CQ28" s="326"/>
      <c r="CR28" s="327"/>
      <c r="CS28" s="58">
        <f t="shared" si="36"/>
        <v>-59.821883308612485</v>
      </c>
      <c r="CT28" s="58"/>
      <c r="CU28" s="58"/>
      <c r="CV28" s="58"/>
      <c r="CW28" s="325">
        <v>33.687139620845841</v>
      </c>
      <c r="CX28" s="325"/>
      <c r="CY28" s="325"/>
      <c r="CZ28" s="325"/>
      <c r="DA28" s="38">
        <f t="shared" si="37"/>
        <v>77.39148854090206</v>
      </c>
      <c r="DB28" s="325"/>
      <c r="DC28" s="325"/>
      <c r="DD28" s="325"/>
      <c r="DE28" s="38">
        <f t="shared" si="38"/>
        <v>77.39148854090206</v>
      </c>
      <c r="DF28" s="325"/>
      <c r="DG28" s="325"/>
      <c r="DH28" s="325"/>
      <c r="DI28" s="325">
        <f t="shared" si="39"/>
        <v>-1.4106358654785955</v>
      </c>
      <c r="DJ28" s="325"/>
      <c r="DK28" s="325"/>
      <c r="DL28" s="325"/>
      <c r="DM28" s="353">
        <f>(-(J28/(CK28-$CP$5))/POWER(10,6))</f>
        <v>0.26632252561129144</v>
      </c>
      <c r="DN28" s="325"/>
      <c r="DO28" s="325"/>
      <c r="DP28" s="325"/>
      <c r="DQ28" s="353">
        <f>(-(N28/(CO28-$CP$5))/POWER(10,6))</f>
        <v>3.4000667695653765E-3</v>
      </c>
      <c r="DR28" s="325"/>
      <c r="DS28" s="325"/>
      <c r="DT28" s="325"/>
      <c r="DV28" s="38">
        <f t="shared" si="149"/>
        <v>0</v>
      </c>
      <c r="DW28" s="56"/>
      <c r="DX28" s="38">
        <v>1.468814339407934</v>
      </c>
    </row>
    <row r="29" spans="1:183" ht="15.75" thickBot="1" x14ac:dyDescent="0.25">
      <c r="A29" s="202">
        <v>22</v>
      </c>
      <c r="B29" s="203">
        <v>43644</v>
      </c>
      <c r="C29" s="60">
        <v>0.45833333333333331</v>
      </c>
      <c r="D29" s="87">
        <f t="shared" si="150"/>
        <v>552.50000000005821</v>
      </c>
      <c r="E29" s="87">
        <f t="shared" si="151"/>
        <v>23.020833333335759</v>
      </c>
      <c r="F29" s="116">
        <v>1</v>
      </c>
      <c r="G29" s="258">
        <v>6720000</v>
      </c>
      <c r="H29" s="258">
        <v>7080000</v>
      </c>
      <c r="I29" s="258"/>
      <c r="J29" s="317">
        <f>AVERAGE(G29:H29)</f>
        <v>6900000</v>
      </c>
      <c r="K29" s="61">
        <f>STDEV(G29:H29)</f>
        <v>254558.44122715711</v>
      </c>
      <c r="L29" s="257">
        <f t="shared" si="108"/>
        <v>3.689252771408074E-2</v>
      </c>
      <c r="M29" s="118">
        <f t="shared" si="109"/>
        <v>6900000</v>
      </c>
      <c r="N29" s="204">
        <v>420000</v>
      </c>
      <c r="O29" s="88">
        <f t="shared" si="110"/>
        <v>420000</v>
      </c>
      <c r="P29" s="38">
        <v>7.11</v>
      </c>
      <c r="Q29" s="38">
        <v>44.9</v>
      </c>
      <c r="R29" s="84">
        <f t="shared" si="111"/>
        <v>2.1273601705143363E-2</v>
      </c>
      <c r="S29" s="84"/>
      <c r="T29" s="311">
        <f t="shared" si="15"/>
        <v>17250000.000000019</v>
      </c>
      <c r="U29" s="84" t="e">
        <f>#REF!</f>
        <v>#REF!</v>
      </c>
      <c r="V29" s="63">
        <f t="shared" si="112"/>
        <v>7320000</v>
      </c>
      <c r="W29" s="89">
        <f t="shared" si="113"/>
        <v>7320000</v>
      </c>
      <c r="X29" s="90">
        <f t="shared" si="114"/>
        <v>0.94262295081967218</v>
      </c>
      <c r="Y29" s="61">
        <f t="shared" si="115"/>
        <v>1962846201.3893316</v>
      </c>
      <c r="Z29" s="148">
        <f t="shared" si="116"/>
        <v>143718438.88888052</v>
      </c>
      <c r="AA29" s="27">
        <v>17.649999999999999</v>
      </c>
      <c r="AB29" s="27">
        <v>0</v>
      </c>
      <c r="AC29" s="27">
        <v>0</v>
      </c>
      <c r="AD29" s="27">
        <v>0</v>
      </c>
      <c r="AE29" s="27">
        <f t="shared" si="117"/>
        <v>0.875</v>
      </c>
      <c r="AF29" s="27">
        <f t="shared" si="118"/>
        <v>0.69999999999999929</v>
      </c>
      <c r="AG29" s="27">
        <f t="shared" si="119"/>
        <v>17.649999999999999</v>
      </c>
      <c r="AH29" s="27">
        <f t="shared" si="120"/>
        <v>0.79999999999999916</v>
      </c>
      <c r="AI29" s="27">
        <f t="shared" si="121"/>
        <v>0.39999999999999958</v>
      </c>
      <c r="AJ29" s="109">
        <f t="shared" si="122"/>
        <v>1.6666666666666649E-2</v>
      </c>
      <c r="AK29" s="109">
        <f t="shared" si="123"/>
        <v>5.7971014492753561E-2</v>
      </c>
      <c r="AL29" s="27">
        <f t="shared" si="124"/>
        <v>0.69999999999999929</v>
      </c>
      <c r="AM29" s="27">
        <f t="shared" si="125"/>
        <v>17.649999999999999</v>
      </c>
      <c r="AN29" s="27">
        <f t="shared" si="126"/>
        <v>0.79999999999999916</v>
      </c>
      <c r="AO29" s="27">
        <f t="shared" si="127"/>
        <v>0.39999999999999958</v>
      </c>
      <c r="AP29" s="27">
        <f t="shared" si="128"/>
        <v>1.6666666666666649E-2</v>
      </c>
      <c r="AQ29" s="27">
        <f t="shared" si="129"/>
        <v>0</v>
      </c>
      <c r="AR29" s="27">
        <f t="shared" si="130"/>
        <v>0</v>
      </c>
      <c r="AS29" s="27">
        <f t="shared" si="131"/>
        <v>0</v>
      </c>
      <c r="AT29" s="27">
        <f t="shared" si="132"/>
        <v>0</v>
      </c>
      <c r="AU29" s="145">
        <f t="shared" si="133"/>
        <v>6900000</v>
      </c>
      <c r="AV29" s="27">
        <v>1</v>
      </c>
      <c r="AW29" s="27">
        <f t="shared" si="134"/>
        <v>1.6666666666666649E-2</v>
      </c>
      <c r="AX29" s="145">
        <f t="shared" si="135"/>
        <v>114999.99999999988</v>
      </c>
      <c r="AY29" s="145">
        <f t="shared" si="136"/>
        <v>31140826.207402878</v>
      </c>
      <c r="AZ29" s="27">
        <f t="shared" si="137"/>
        <v>0</v>
      </c>
      <c r="BA29" s="145">
        <f t="shared" si="138"/>
        <v>0</v>
      </c>
      <c r="BB29" s="145">
        <f t="shared" si="139"/>
        <v>0</v>
      </c>
      <c r="BC29" s="145">
        <f t="shared" si="140"/>
        <v>38040826.207402878</v>
      </c>
      <c r="BD29" s="145">
        <f t="shared" si="141"/>
        <v>1962846201.3893316</v>
      </c>
      <c r="BE29" s="84">
        <f t="shared" si="142"/>
        <v>2.0695970695956408E-2</v>
      </c>
      <c r="BF29" s="84">
        <f t="shared" si="143"/>
        <v>2.1270011764104119E-2</v>
      </c>
      <c r="BG29" s="84">
        <f t="shared" si="144"/>
        <v>2.1273601705143363E-2</v>
      </c>
      <c r="BH29" s="38">
        <f t="shared" si="145"/>
        <v>3.260777</v>
      </c>
      <c r="BI29" s="38"/>
      <c r="BJ29" s="38">
        <f t="shared" si="61"/>
        <v>1.4673496500000001</v>
      </c>
      <c r="BK29" s="38"/>
      <c r="BL29" s="38">
        <f>'Analisis economico'!$C$5/BJ29</f>
        <v>2.4261429441851163</v>
      </c>
      <c r="BM29" s="38"/>
      <c r="BN29" s="38">
        <f t="shared" si="10"/>
        <v>3.260777</v>
      </c>
      <c r="BO29" s="38">
        <f t="shared" si="11"/>
        <v>5.434628333333328E-2</v>
      </c>
      <c r="BP29" s="38">
        <f t="shared" si="28"/>
        <v>76.868373048520084</v>
      </c>
      <c r="BQ29" s="27">
        <f t="shared" si="146"/>
        <v>80.129150048520088</v>
      </c>
      <c r="BR29" s="211">
        <v>3.260777</v>
      </c>
      <c r="BS29" s="61">
        <f t="shared" si="59"/>
        <v>8.9397750125691223E-9</v>
      </c>
      <c r="BT29" s="61"/>
      <c r="BU29" s="342">
        <f t="shared" si="62"/>
        <v>0.21455460030165893</v>
      </c>
      <c r="BV29" s="342"/>
      <c r="BW29" s="342"/>
      <c r="BX29" s="27">
        <f t="shared" si="30"/>
        <v>0.15549439377083329</v>
      </c>
      <c r="BY29" s="56"/>
      <c r="BZ29" s="38">
        <f t="shared" si="12"/>
        <v>3.260777</v>
      </c>
      <c r="CA29" s="38">
        <f t="shared" si="13"/>
        <v>5.434628333333328E-2</v>
      </c>
      <c r="CB29" s="245">
        <f t="shared" si="31"/>
        <v>75.36415766390023</v>
      </c>
      <c r="CC29" s="58">
        <f t="shared" si="147"/>
        <v>78.624934663900234</v>
      </c>
      <c r="CD29" s="38">
        <v>38.119</v>
      </c>
      <c r="CE29" s="35"/>
      <c r="CF29" s="80">
        <f t="shared" si="33"/>
        <v>143279772.22221366</v>
      </c>
      <c r="CG29" s="77">
        <f t="shared" si="34"/>
        <v>143279772.22221366</v>
      </c>
      <c r="CH29" s="62"/>
      <c r="CI29" s="93">
        <f t="shared" si="148"/>
        <v>7402500</v>
      </c>
      <c r="CJ29" s="58"/>
      <c r="CK29" s="325">
        <v>0.38696970284496329</v>
      </c>
      <c r="CL29" s="325"/>
      <c r="CM29" s="325"/>
      <c r="CN29" s="325"/>
      <c r="CO29" s="38">
        <f t="shared" si="35"/>
        <v>-57.772283389378174</v>
      </c>
      <c r="CP29" s="326"/>
      <c r="CQ29" s="326"/>
      <c r="CR29" s="327"/>
      <c r="CS29" s="58">
        <f t="shared" si="36"/>
        <v>-57.772283389378174</v>
      </c>
      <c r="CT29" s="58"/>
      <c r="CU29" s="58"/>
      <c r="CV29" s="58"/>
      <c r="CW29" s="325">
        <v>23.762137336526806</v>
      </c>
      <c r="CX29" s="325"/>
      <c r="CY29" s="325"/>
      <c r="CZ29" s="325"/>
      <c r="DA29" s="193">
        <f t="shared" si="37"/>
        <v>0.92380365740980397</v>
      </c>
      <c r="DB29" s="325"/>
      <c r="DC29" s="325"/>
      <c r="DD29" s="325"/>
      <c r="DE29" s="38">
        <f t="shared" si="38"/>
        <v>0.92380365740980153</v>
      </c>
      <c r="DF29" s="325"/>
      <c r="DG29" s="325"/>
      <c r="DH29" s="325"/>
      <c r="DI29" s="325">
        <f t="shared" si="39"/>
        <v>-1.0063146083960997</v>
      </c>
      <c r="DJ29" s="325"/>
      <c r="DK29" s="325"/>
      <c r="DL29" s="325"/>
      <c r="DM29" s="353">
        <f>(-(J29/(CK29-$CP$5))/POWER(10,6))</f>
        <v>0.29221154223612422</v>
      </c>
      <c r="DN29" s="325"/>
      <c r="DO29" s="325"/>
      <c r="DP29" s="325"/>
      <c r="DQ29" s="353">
        <f>(-(N29/(CO29-$CP$5))/POWER(10,6))</f>
        <v>5.1362146511192567E-3</v>
      </c>
      <c r="DR29" s="325"/>
      <c r="DS29" s="325"/>
      <c r="DT29" s="325"/>
      <c r="DV29" s="38">
        <f t="shared" si="149"/>
        <v>0</v>
      </c>
      <c r="DW29" s="56"/>
      <c r="DX29" s="38">
        <v>1.1310250127137502</v>
      </c>
    </row>
    <row r="30" spans="1:183" ht="15.75" thickBot="1" x14ac:dyDescent="0.25">
      <c r="A30" s="202">
        <v>23</v>
      </c>
      <c r="B30" s="203">
        <v>43645</v>
      </c>
      <c r="C30" s="60">
        <v>0.34375</v>
      </c>
      <c r="D30" s="87">
        <f t="shared" si="150"/>
        <v>573.75</v>
      </c>
      <c r="E30" s="87">
        <f t="shared" si="151"/>
        <v>23.90625</v>
      </c>
      <c r="F30" s="116">
        <v>1</v>
      </c>
      <c r="G30" s="258">
        <v>7560000</v>
      </c>
      <c r="H30" s="258">
        <v>6690000</v>
      </c>
      <c r="I30" s="258">
        <v>6300000</v>
      </c>
      <c r="J30" s="317">
        <f>AVERAGE(G30:I30)</f>
        <v>6850000</v>
      </c>
      <c r="K30" s="61">
        <f>STDEV(G30:I30)</f>
        <v>645058.13691480551</v>
      </c>
      <c r="L30" s="257">
        <f t="shared" si="108"/>
        <v>9.4169071082453357E-2</v>
      </c>
      <c r="M30" s="118">
        <f t="shared" si="109"/>
        <v>6850000</v>
      </c>
      <c r="N30" s="204">
        <v>390000</v>
      </c>
      <c r="O30" s="88">
        <f t="shared" si="110"/>
        <v>390000</v>
      </c>
      <c r="P30" s="38">
        <v>7.32</v>
      </c>
      <c r="Q30" s="38">
        <v>42.5</v>
      </c>
      <c r="R30" s="84">
        <f t="shared" si="111"/>
        <v>1.5953453102368738E-2</v>
      </c>
      <c r="S30" s="84"/>
      <c r="T30" s="311">
        <f t="shared" si="15"/>
        <v>17328869.04757151</v>
      </c>
      <c r="U30" s="84" t="e">
        <f>#REF!</f>
        <v>#REF!</v>
      </c>
      <c r="V30" s="63">
        <f t="shared" si="112"/>
        <v>7240000</v>
      </c>
      <c r="W30" s="89">
        <f t="shared" si="113"/>
        <v>7240000</v>
      </c>
      <c r="X30" s="90">
        <f t="shared" si="114"/>
        <v>0.94613259668508287</v>
      </c>
      <c r="Y30" s="61">
        <f t="shared" si="115"/>
        <v>2108939951.3889313</v>
      </c>
      <c r="Z30" s="148">
        <f t="shared" si="116"/>
        <v>152324688.88885695</v>
      </c>
      <c r="AA30" s="27">
        <v>18.350000000000001</v>
      </c>
      <c r="AB30" s="27">
        <v>0</v>
      </c>
      <c r="AC30" s="27">
        <v>0</v>
      </c>
      <c r="AD30" s="27">
        <v>0</v>
      </c>
      <c r="AE30" s="27">
        <f t="shared" si="117"/>
        <v>0.88541666666424135</v>
      </c>
      <c r="AF30" s="27">
        <f t="shared" si="118"/>
        <v>0.70000000000000284</v>
      </c>
      <c r="AG30" s="27">
        <f t="shared" si="119"/>
        <v>18.350000000000001</v>
      </c>
      <c r="AH30" s="27">
        <f t="shared" si="120"/>
        <v>0.79058823529628641</v>
      </c>
      <c r="AI30" s="27">
        <f t="shared" si="121"/>
        <v>0.39529411764814321</v>
      </c>
      <c r="AJ30" s="109">
        <f t="shared" si="122"/>
        <v>1.6470588235339301E-2</v>
      </c>
      <c r="AK30" s="109">
        <f t="shared" si="123"/>
        <v>5.770717045958295E-2</v>
      </c>
      <c r="AL30" s="27">
        <f t="shared" si="124"/>
        <v>0.70000000000000284</v>
      </c>
      <c r="AM30" s="27">
        <f t="shared" si="125"/>
        <v>18.350000000000001</v>
      </c>
      <c r="AN30" s="27">
        <f t="shared" si="126"/>
        <v>0.79058823529628641</v>
      </c>
      <c r="AO30" s="27">
        <f t="shared" si="127"/>
        <v>0.39529411764814321</v>
      </c>
      <c r="AP30" s="27">
        <f t="shared" si="128"/>
        <v>1.6470588235339301E-2</v>
      </c>
      <c r="AQ30" s="27">
        <f t="shared" si="129"/>
        <v>0</v>
      </c>
      <c r="AR30" s="27">
        <f t="shared" si="130"/>
        <v>0</v>
      </c>
      <c r="AS30" s="27">
        <f t="shared" si="131"/>
        <v>0</v>
      </c>
      <c r="AT30" s="27">
        <f t="shared" si="132"/>
        <v>0</v>
      </c>
      <c r="AU30" s="145">
        <f t="shared" si="133"/>
        <v>6850000</v>
      </c>
      <c r="AV30" s="27">
        <v>1</v>
      </c>
      <c r="AW30" s="27">
        <f t="shared" si="134"/>
        <v>1.6470588235339301E-2</v>
      </c>
      <c r="AX30" s="145">
        <f t="shared" si="135"/>
        <v>112823.52941207422</v>
      </c>
      <c r="AY30" s="145">
        <f t="shared" si="136"/>
        <v>33561451.207399532</v>
      </c>
      <c r="AZ30" s="27">
        <f t="shared" si="137"/>
        <v>0</v>
      </c>
      <c r="BA30" s="145">
        <f t="shared" si="138"/>
        <v>0</v>
      </c>
      <c r="BB30" s="145">
        <f t="shared" si="139"/>
        <v>0</v>
      </c>
      <c r="BC30" s="145">
        <f t="shared" si="140"/>
        <v>40411451.207399532</v>
      </c>
      <c r="BD30" s="145">
        <f t="shared" si="141"/>
        <v>2108939951.3889313</v>
      </c>
      <c r="BE30" s="84">
        <f t="shared" si="142"/>
        <v>1.6226737967936004E-2</v>
      </c>
      <c r="BF30" s="84">
        <f t="shared" si="143"/>
        <v>1.5953458306443249E-2</v>
      </c>
      <c r="BG30" s="84">
        <f t="shared" si="144"/>
        <v>1.5953453102368738E-2</v>
      </c>
      <c r="BH30" s="38">
        <f t="shared" si="145"/>
        <v>3.4426134999999998</v>
      </c>
      <c r="BI30" s="38"/>
      <c r="BJ30" s="38">
        <f t="shared" si="61"/>
        <v>1.5491760749999999</v>
      </c>
      <c r="BK30" s="38"/>
      <c r="BL30" s="38">
        <f>'Analisis economico'!$C$5/BJ30</f>
        <v>2.2979957265348294</v>
      </c>
      <c r="BM30" s="38"/>
      <c r="BN30" s="38">
        <f t="shared" si="10"/>
        <v>3.4426134999999998</v>
      </c>
      <c r="BO30" s="38">
        <f t="shared" si="11"/>
        <v>5.670186941192025E-2</v>
      </c>
      <c r="BP30" s="38">
        <f t="shared" si="28"/>
        <v>78.048259671435176</v>
      </c>
      <c r="BQ30" s="27">
        <f t="shared" si="146"/>
        <v>81.490873171435169</v>
      </c>
      <c r="BR30" s="211">
        <v>3.4426134999999998</v>
      </c>
      <c r="BS30" s="61">
        <f t="shared" si="59"/>
        <v>9.2743860535013718E-9</v>
      </c>
      <c r="BT30" s="61"/>
      <c r="BU30" s="342">
        <f t="shared" si="62"/>
        <v>0.22258526528403291</v>
      </c>
      <c r="BV30" s="342"/>
      <c r="BW30" s="342"/>
      <c r="BX30" s="27">
        <f t="shared" si="30"/>
        <v>0.1578405804458333</v>
      </c>
      <c r="BY30" s="56"/>
      <c r="BZ30" s="38">
        <f t="shared" si="12"/>
        <v>3.4426134999999998</v>
      </c>
      <c r="CA30" s="38">
        <f t="shared" si="13"/>
        <v>5.670186941192025E-2</v>
      </c>
      <c r="CB30" s="245">
        <f t="shared" si="31"/>
        <v>76.544044286815321</v>
      </c>
      <c r="CC30" s="58">
        <f t="shared" si="147"/>
        <v>79.986657786815314</v>
      </c>
      <c r="CD30" s="38">
        <v>39.119</v>
      </c>
      <c r="CE30" s="35"/>
      <c r="CF30" s="80">
        <f t="shared" si="33"/>
        <v>151886022.22219008</v>
      </c>
      <c r="CG30" s="77">
        <f t="shared" si="34"/>
        <v>151886022.22219008</v>
      </c>
      <c r="CH30" s="62"/>
      <c r="CI30" s="93">
        <f t="shared" si="148"/>
        <v>8606249.9999764264</v>
      </c>
      <c r="CJ30" s="58"/>
      <c r="CK30" s="325">
        <v>5.4208852162008627</v>
      </c>
      <c r="CL30" s="325"/>
      <c r="CM30" s="325"/>
      <c r="CN30" s="325"/>
      <c r="CO30" s="38">
        <f t="shared" si="35"/>
        <v>-16.083575620569313</v>
      </c>
      <c r="CP30" s="326"/>
      <c r="CQ30" s="326"/>
      <c r="CR30" s="327"/>
      <c r="CS30" s="58">
        <f t="shared" si="36"/>
        <v>-16.083575620569306</v>
      </c>
      <c r="CT30" s="58"/>
      <c r="CU30" s="58"/>
      <c r="CV30" s="58"/>
      <c r="CW30" s="325">
        <v>16.706583819795107</v>
      </c>
      <c r="CX30" s="325"/>
      <c r="CY30" s="325"/>
      <c r="CZ30" s="325"/>
      <c r="DA30" s="193">
        <f t="shared" si="37"/>
        <v>0.18120340962387543</v>
      </c>
      <c r="DB30" s="325"/>
      <c r="DC30" s="325"/>
      <c r="DD30" s="325"/>
      <c r="DE30" s="38">
        <f t="shared" si="38"/>
        <v>0.18120340962387066</v>
      </c>
      <c r="DF30" s="325"/>
      <c r="DG30" s="325"/>
      <c r="DH30" s="325"/>
      <c r="DI30" s="325">
        <f t="shared" si="39"/>
        <v>-0.89921312259522368</v>
      </c>
      <c r="DJ30" s="325"/>
      <c r="DK30" s="325"/>
      <c r="DL30" s="325"/>
      <c r="DM30" s="353">
        <f>(-(J30/(CK30-$CP$5))/POWER(10,6))</f>
        <v>0.36869356154541627</v>
      </c>
      <c r="DN30" s="325"/>
      <c r="DO30" s="325"/>
      <c r="DP30" s="325"/>
      <c r="DQ30" s="353">
        <f>(-(N30/(CO30-$CP$5))/POWER(10,6))</f>
        <v>9.7296709178775805E-3</v>
      </c>
      <c r="DR30" s="325"/>
      <c r="DS30" s="325"/>
      <c r="DT30" s="325"/>
      <c r="DV30" s="38">
        <f t="shared" si="149"/>
        <v>0</v>
      </c>
      <c r="DW30" s="56"/>
      <c r="DX30" s="38">
        <v>1.5765697911496774</v>
      </c>
    </row>
    <row r="31" spans="1:183" ht="14.25" customHeight="1" thickBot="1" x14ac:dyDescent="0.25">
      <c r="A31" s="202">
        <v>24</v>
      </c>
      <c r="B31" s="203">
        <v>43646</v>
      </c>
      <c r="C31" s="60">
        <v>0.36805555555555558</v>
      </c>
      <c r="D31" s="87">
        <f t="shared" si="150"/>
        <v>598.33333333331393</v>
      </c>
      <c r="E31" s="87">
        <f t="shared" si="151"/>
        <v>24.930555555554747</v>
      </c>
      <c r="F31" s="116">
        <v>1</v>
      </c>
      <c r="G31" s="258">
        <v>7920000</v>
      </c>
      <c r="H31" s="258">
        <v>8070000</v>
      </c>
      <c r="I31" s="258"/>
      <c r="J31" s="299">
        <f>AVERAGE(G31:H31)</f>
        <v>7995000</v>
      </c>
      <c r="K31" s="61">
        <f>STDEV(G31:H31)</f>
        <v>106066.01717798212</v>
      </c>
      <c r="L31" s="257">
        <f t="shared" si="108"/>
        <v>1.3266543737083443E-2</v>
      </c>
      <c r="M31" s="118">
        <f t="shared" si="109"/>
        <v>7995000</v>
      </c>
      <c r="N31" s="204">
        <v>600000</v>
      </c>
      <c r="O31" s="88">
        <f t="shared" si="110"/>
        <v>600000</v>
      </c>
      <c r="P31" s="38">
        <v>7.11</v>
      </c>
      <c r="Q31" s="38">
        <v>42.9</v>
      </c>
      <c r="R31" s="84">
        <f t="shared" si="111"/>
        <v>2.4266824370345351E-2</v>
      </c>
      <c r="S31" s="109">
        <f t="shared" ref="S31:S37" si="152">R31*24</f>
        <v>0.58240378488828837</v>
      </c>
      <c r="T31" s="311">
        <f t="shared" si="15"/>
        <v>19268995.098024055</v>
      </c>
      <c r="U31" s="84" t="e">
        <f>#REF!</f>
        <v>#REF!</v>
      </c>
      <c r="V31" s="63">
        <f t="shared" si="112"/>
        <v>8595000</v>
      </c>
      <c r="W31" s="89">
        <f t="shared" si="113"/>
        <v>8595000</v>
      </c>
      <c r="X31" s="90">
        <f t="shared" si="114"/>
        <v>0.93019197207678883</v>
      </c>
      <c r="Y31" s="61">
        <f t="shared" si="115"/>
        <v>2291409743.0554538</v>
      </c>
      <c r="Z31" s="148">
        <f t="shared" si="116"/>
        <v>164493438.88884735</v>
      </c>
      <c r="AA31" s="27">
        <v>19.2</v>
      </c>
      <c r="AB31" s="27">
        <v>0</v>
      </c>
      <c r="AC31" s="27">
        <v>0</v>
      </c>
      <c r="AD31" s="27">
        <v>0</v>
      </c>
      <c r="AE31" s="27">
        <f t="shared" si="117"/>
        <v>1.0243055555547471</v>
      </c>
      <c r="AF31" s="27">
        <f t="shared" si="118"/>
        <v>0.84999999999999787</v>
      </c>
      <c r="AG31" s="27">
        <f t="shared" si="119"/>
        <v>19.2</v>
      </c>
      <c r="AH31" s="27">
        <f t="shared" si="120"/>
        <v>0.8298305084752291</v>
      </c>
      <c r="AI31" s="27">
        <f t="shared" si="121"/>
        <v>0.41491525423761455</v>
      </c>
      <c r="AJ31" s="109">
        <f t="shared" si="122"/>
        <v>1.7288135593233941E-2</v>
      </c>
      <c r="AK31" s="109">
        <f t="shared" si="123"/>
        <v>5.1896842306143158E-2</v>
      </c>
      <c r="AL31" s="27">
        <f t="shared" si="124"/>
        <v>0.84999999999999787</v>
      </c>
      <c r="AM31" s="27">
        <f t="shared" si="125"/>
        <v>19.2</v>
      </c>
      <c r="AN31" s="27">
        <f t="shared" si="126"/>
        <v>0.8298305084752291</v>
      </c>
      <c r="AO31" s="27">
        <f t="shared" si="127"/>
        <v>0.41491525423761455</v>
      </c>
      <c r="AP31" s="27">
        <f t="shared" si="128"/>
        <v>1.7288135593233941E-2</v>
      </c>
      <c r="AQ31" s="27">
        <f t="shared" si="129"/>
        <v>0</v>
      </c>
      <c r="AR31" s="27">
        <f t="shared" si="130"/>
        <v>0</v>
      </c>
      <c r="AS31" s="27">
        <f t="shared" si="131"/>
        <v>0</v>
      </c>
      <c r="AT31" s="27">
        <f t="shared" si="132"/>
        <v>0</v>
      </c>
      <c r="AU31" s="145">
        <f t="shared" si="133"/>
        <v>7995000</v>
      </c>
      <c r="AV31" s="27">
        <v>1</v>
      </c>
      <c r="AW31" s="27">
        <f t="shared" si="134"/>
        <v>1.7288135593233941E-2</v>
      </c>
      <c r="AX31" s="145">
        <f t="shared" si="135"/>
        <v>138218.64406790535</v>
      </c>
      <c r="AY31" s="145">
        <f t="shared" si="136"/>
        <v>36647177.923088513</v>
      </c>
      <c r="AZ31" s="27">
        <f t="shared" si="137"/>
        <v>0</v>
      </c>
      <c r="BA31" s="145">
        <f t="shared" si="138"/>
        <v>0</v>
      </c>
      <c r="BB31" s="145">
        <f t="shared" si="139"/>
        <v>0</v>
      </c>
      <c r="BC31" s="145">
        <f t="shared" si="140"/>
        <v>44642177.923088513</v>
      </c>
      <c r="BD31" s="145">
        <f t="shared" si="141"/>
        <v>2291409743.0554538</v>
      </c>
      <c r="BE31" s="84">
        <f t="shared" si="142"/>
        <v>2.3185902044657109E-2</v>
      </c>
      <c r="BF31" s="84">
        <f t="shared" si="143"/>
        <v>2.4249757831041344E-2</v>
      </c>
      <c r="BG31" s="84">
        <f t="shared" si="144"/>
        <v>2.4266824370345351E-2</v>
      </c>
      <c r="BH31" s="347">
        <f t="shared" si="145"/>
        <v>1.8440715000000001</v>
      </c>
      <c r="BI31" s="193" t="s">
        <v>307</v>
      </c>
      <c r="BJ31" s="38"/>
      <c r="BK31" s="193" t="s">
        <v>307</v>
      </c>
      <c r="BL31" s="38"/>
      <c r="BM31" s="193" t="s">
        <v>307</v>
      </c>
      <c r="BN31" s="38">
        <f t="shared" si="10"/>
        <v>1.8440715000000001</v>
      </c>
      <c r="BO31" s="38">
        <f t="shared" si="11"/>
        <v>3.1880558135618305E-2</v>
      </c>
      <c r="BP31" s="38">
        <f t="shared" si="28"/>
        <v>79.137085343372817</v>
      </c>
      <c r="BQ31" s="27">
        <f t="shared" si="146"/>
        <v>80.981156843372816</v>
      </c>
      <c r="BR31" s="211">
        <v>1.8440715000000001</v>
      </c>
      <c r="BS31" s="61">
        <f t="shared" si="59"/>
        <v>-2.6038361372622304E-9</v>
      </c>
      <c r="BT31" s="230" t="s">
        <v>219</v>
      </c>
      <c r="BU31" s="342">
        <f t="shared" si="62"/>
        <v>-6.2492067294293532E-2</v>
      </c>
      <c r="BV31" s="230" t="s">
        <v>219</v>
      </c>
      <c r="BW31" s="342"/>
      <c r="BX31" s="27">
        <f t="shared" si="30"/>
        <v>0.16008742157083328</v>
      </c>
      <c r="BY31" s="56"/>
      <c r="BZ31" s="38">
        <f t="shared" si="12"/>
        <v>1.8440715000000001</v>
      </c>
      <c r="CA31" s="38">
        <f t="shared" si="13"/>
        <v>3.1880558135618305E-2</v>
      </c>
      <c r="CB31" s="245">
        <f t="shared" si="31"/>
        <v>77.632869958752963</v>
      </c>
      <c r="CC31" s="58">
        <f t="shared" si="147"/>
        <v>79.476941458752961</v>
      </c>
      <c r="CD31" s="38">
        <v>40.119</v>
      </c>
      <c r="CE31" s="35"/>
      <c r="CF31" s="80">
        <f t="shared" si="33"/>
        <v>164054772.22218049</v>
      </c>
      <c r="CG31" s="77">
        <f t="shared" si="34"/>
        <v>164054772.22218049</v>
      </c>
      <c r="CH31" s="62"/>
      <c r="CI31" s="93">
        <f t="shared" si="148"/>
        <v>12168749.999990404</v>
      </c>
      <c r="CJ31" s="58"/>
      <c r="CK31" s="320">
        <v>0.21247622941960481</v>
      </c>
      <c r="CL31" s="320">
        <f>AVERAGE(CK31:CK37)</f>
        <v>0.21402380013365632</v>
      </c>
      <c r="CM31" s="320">
        <f>STDEV(CK31:CK37)</f>
        <v>1.6301794154989599E-2</v>
      </c>
      <c r="CN31" s="328">
        <f>CM31/CL31</f>
        <v>7.6168137117503962E-2</v>
      </c>
      <c r="CO31" s="38">
        <f t="shared" si="35"/>
        <v>-77.883136434764737</v>
      </c>
      <c r="CP31" s="320">
        <f>AVERAGE(CO31:CO37)</f>
        <v>-50.929184291116819</v>
      </c>
      <c r="CQ31" s="320">
        <f>STDEV(CO31:CO37)</f>
        <v>12.626711112896192</v>
      </c>
      <c r="CR31" s="328">
        <f>CQ31/CP31</f>
        <v>-0.24792682797981846</v>
      </c>
      <c r="CS31" s="58">
        <f t="shared" si="36"/>
        <v>-77.883136434764765</v>
      </c>
      <c r="CT31" s="320">
        <f>AVERAGE(CS31:CS37)</f>
        <v>-50.929184291116826</v>
      </c>
      <c r="CU31" s="320">
        <f>STDEV(CS31:CS37)</f>
        <v>12.626711112896169</v>
      </c>
      <c r="CV31" s="328">
        <f>CU31/CT31</f>
        <v>-0.24792682797981797</v>
      </c>
      <c r="CW31" s="320">
        <v>32.867220295105632</v>
      </c>
      <c r="CX31" s="320">
        <f>AVERAGE(CW31:CW37)</f>
        <v>27.68389049839147</v>
      </c>
      <c r="CY31" s="320">
        <f>STDEV(CW31:CW37)</f>
        <v>3.8414152090424629</v>
      </c>
      <c r="CZ31" s="328">
        <f>CY31/CX31</f>
        <v>0.13875994811009898</v>
      </c>
      <c r="DA31" s="193">
        <f t="shared" si="37"/>
        <v>146.2985714288213</v>
      </c>
      <c r="DB31" s="320">
        <f>AVERAGE(DA32:DA35,DA37)</f>
        <v>46.947521979220689</v>
      </c>
      <c r="DC31" s="320">
        <f>STDEV(DA32:DA35,DA37)</f>
        <v>7.4009733890400557</v>
      </c>
      <c r="DD31" s="328">
        <f>DC31/DB31</f>
        <v>0.15764353637910389</v>
      </c>
      <c r="DE31" s="193">
        <f t="shared" si="38"/>
        <v>146.29857142882133</v>
      </c>
      <c r="DF31" s="320">
        <f>AVERAGE(DE32:DE35, DE37)</f>
        <v>46.947521979220689</v>
      </c>
      <c r="DG31" s="320">
        <f>STDEV(DE32:DE35, DE37)</f>
        <v>7.4009733890400557</v>
      </c>
      <c r="DH31" s="328">
        <f>DG31/DF31</f>
        <v>0.15764353637910389</v>
      </c>
      <c r="DI31" s="320">
        <f t="shared" si="39"/>
        <v>-1.3816999454039305</v>
      </c>
      <c r="DJ31" s="320">
        <f>-AVERAGE(DI31:DI37)</f>
        <v>1.1623912515255903</v>
      </c>
      <c r="DK31" s="320">
        <f>STDEV(DI31:DI37)</f>
        <v>0.16157986673141189</v>
      </c>
      <c r="DL31" s="328">
        <f>DK31/DJ31</f>
        <v>0.13900643739304216</v>
      </c>
      <c r="DM31" s="352">
        <f t="shared" ref="DM31:DM37" si="153">(-(J31/(CK31-$CP$5))/POWER(10,6))</f>
        <v>0.33610055746483147</v>
      </c>
      <c r="DN31" s="320">
        <f>AVERAGE(DM31:DM37)</f>
        <v>0.35359353698317342</v>
      </c>
      <c r="DO31" s="320">
        <f>STDEV(DM31:DM37)</f>
        <v>2.3150853377790617E-2</v>
      </c>
      <c r="DP31" s="328">
        <f>DO31/DN31</f>
        <v>6.547306711347585E-2</v>
      </c>
      <c r="DQ31" s="352">
        <f t="shared" ref="DQ31:DQ37" si="154">(-(J31/(DX31-$DY$6)))/POWER(10,6)</f>
        <v>2.044331314154713</v>
      </c>
      <c r="DR31" s="320">
        <f>AVERAGE(DQ31:DQ37)</f>
        <v>1.9451262861415846</v>
      </c>
      <c r="DS31" s="320">
        <f>STDEV(DQ31:DQ37)</f>
        <v>0.1079316351674333</v>
      </c>
      <c r="DT31" s="328">
        <f>DS31/DR31</f>
        <v>5.5488240499556453E-2</v>
      </c>
      <c r="DV31" s="38">
        <f t="shared" si="149"/>
        <v>0</v>
      </c>
      <c r="DW31" s="56"/>
      <c r="DX31" s="38">
        <v>1.6391857671779781</v>
      </c>
      <c r="EP31" s="30"/>
    </row>
    <row r="32" spans="1:183" ht="15.75" thickBot="1" x14ac:dyDescent="0.25">
      <c r="A32" s="202">
        <v>25</v>
      </c>
      <c r="B32" s="203">
        <v>43647</v>
      </c>
      <c r="C32" s="60">
        <v>0.68055555555555547</v>
      </c>
      <c r="D32" s="87">
        <f t="shared" si="150"/>
        <v>629.83333333331393</v>
      </c>
      <c r="E32" s="87">
        <f t="shared" si="151"/>
        <v>26.243055555554747</v>
      </c>
      <c r="F32" s="116">
        <v>1</v>
      </c>
      <c r="G32" s="258">
        <v>7350000</v>
      </c>
      <c r="H32" s="258">
        <v>7590000</v>
      </c>
      <c r="I32" s="258"/>
      <c r="J32" s="299">
        <f>AVERAGE(G32:H32)</f>
        <v>7470000</v>
      </c>
      <c r="K32" s="61">
        <f>STDEV(G32:H32)</f>
        <v>169705.62748477139</v>
      </c>
      <c r="L32" s="257">
        <f t="shared" si="108"/>
        <v>2.2718290158603934E-2</v>
      </c>
      <c r="M32" s="118">
        <f t="shared" si="109"/>
        <v>7470000</v>
      </c>
      <c r="N32" s="204">
        <v>460000</v>
      </c>
      <c r="O32" s="88">
        <f t="shared" si="110"/>
        <v>460000</v>
      </c>
      <c r="P32" s="38">
        <v>7.15</v>
      </c>
      <c r="Q32" s="38">
        <v>69.099999999999994</v>
      </c>
      <c r="R32" s="84">
        <f t="shared" si="111"/>
        <v>1.4110234819426805E-2</v>
      </c>
      <c r="S32" s="109">
        <f t="shared" si="152"/>
        <v>0.33864563566624334</v>
      </c>
      <c r="T32" s="311">
        <f t="shared" si="15"/>
        <v>18674999.999999989</v>
      </c>
      <c r="U32" s="84" t="e">
        <f>#REF!</f>
        <v>#REF!</v>
      </c>
      <c r="V32" s="63">
        <f t="shared" si="112"/>
        <v>7930000</v>
      </c>
      <c r="W32" s="89">
        <f t="shared" si="113"/>
        <v>7930000</v>
      </c>
      <c r="X32" s="90">
        <f t="shared" si="114"/>
        <v>0.94199243379571251</v>
      </c>
      <c r="Y32" s="61">
        <f t="shared" si="115"/>
        <v>2534983493.0554538</v>
      </c>
      <c r="Z32" s="148">
        <f t="shared" si="116"/>
        <v>181188438.88884735</v>
      </c>
      <c r="AA32" s="27">
        <v>20.25</v>
      </c>
      <c r="AB32" s="27">
        <v>0</v>
      </c>
      <c r="AC32" s="27">
        <v>0</v>
      </c>
      <c r="AD32" s="27">
        <v>0</v>
      </c>
      <c r="AE32" s="27">
        <f t="shared" si="117"/>
        <v>1.3125</v>
      </c>
      <c r="AF32" s="27">
        <f t="shared" si="118"/>
        <v>1.0500000000000007</v>
      </c>
      <c r="AG32" s="27">
        <f t="shared" si="119"/>
        <v>20.25</v>
      </c>
      <c r="AH32" s="27">
        <f t="shared" si="120"/>
        <v>0.80000000000000049</v>
      </c>
      <c r="AI32" s="27">
        <f t="shared" si="121"/>
        <v>0.40000000000000024</v>
      </c>
      <c r="AJ32" s="109">
        <f t="shared" si="122"/>
        <v>1.6666666666666677E-2</v>
      </c>
      <c r="AK32" s="109">
        <f t="shared" si="123"/>
        <v>5.3547523427041534E-2</v>
      </c>
      <c r="AL32" s="27">
        <f t="shared" si="124"/>
        <v>1.0500000000000007</v>
      </c>
      <c r="AM32" s="27">
        <f t="shared" si="125"/>
        <v>20.25</v>
      </c>
      <c r="AN32" s="27">
        <f t="shared" si="126"/>
        <v>0.80000000000000049</v>
      </c>
      <c r="AO32" s="27">
        <f t="shared" si="127"/>
        <v>0.40000000000000024</v>
      </c>
      <c r="AP32" s="27">
        <f t="shared" si="128"/>
        <v>1.6666666666666677E-2</v>
      </c>
      <c r="AQ32" s="27">
        <f t="shared" si="129"/>
        <v>0</v>
      </c>
      <c r="AR32" s="27">
        <f t="shared" si="130"/>
        <v>0</v>
      </c>
      <c r="AS32" s="27">
        <f t="shared" si="131"/>
        <v>0</v>
      </c>
      <c r="AT32" s="27">
        <f t="shared" si="132"/>
        <v>0</v>
      </c>
      <c r="AU32" s="145">
        <f t="shared" si="133"/>
        <v>7470000</v>
      </c>
      <c r="AV32" s="27">
        <v>1</v>
      </c>
      <c r="AW32" s="27">
        <f t="shared" si="134"/>
        <v>1.6666666666666677E-2</v>
      </c>
      <c r="AX32" s="145">
        <f t="shared" si="135"/>
        <v>124500.00000000007</v>
      </c>
      <c r="AY32" s="145">
        <f t="shared" si="136"/>
        <v>40784996.567158021</v>
      </c>
      <c r="AZ32" s="27">
        <f t="shared" si="137"/>
        <v>0</v>
      </c>
      <c r="BA32" s="145">
        <f t="shared" si="138"/>
        <v>0</v>
      </c>
      <c r="BB32" s="145">
        <f t="shared" si="139"/>
        <v>0</v>
      </c>
      <c r="BC32" s="145">
        <f t="shared" si="140"/>
        <v>48254996.567158021</v>
      </c>
      <c r="BD32" s="145">
        <f t="shared" si="141"/>
        <v>2534983493.0554538</v>
      </c>
      <c r="BE32" s="84">
        <f t="shared" si="142"/>
        <v>1.4832545149341864E-2</v>
      </c>
      <c r="BF32" s="84">
        <f t="shared" si="143"/>
        <v>1.4111615397545817E-2</v>
      </c>
      <c r="BG32" s="84">
        <f t="shared" si="144"/>
        <v>1.4110234819426805E-2</v>
      </c>
      <c r="BH32" s="38">
        <f t="shared" si="145"/>
        <v>11.835697</v>
      </c>
      <c r="BI32" s="193">
        <f>AVERAGE(BH32:BH37)</f>
        <v>11.304041888888889</v>
      </c>
      <c r="BJ32" s="358">
        <f t="shared" si="61"/>
        <v>5.32606365</v>
      </c>
      <c r="BK32" s="193">
        <f>AVERAGE(BJ32:BJ37)</f>
        <v>5.0868188500000002</v>
      </c>
      <c r="BL32" s="38">
        <f>'Analisis economico'!$C$5/BJ32</f>
        <v>0.66841108817766381</v>
      </c>
      <c r="BM32" s="193">
        <f>AVERAGE(BL32:BL37)</f>
        <v>0.70266029694776477</v>
      </c>
      <c r="BN32" s="38">
        <f t="shared" si="10"/>
        <v>11.835697</v>
      </c>
      <c r="BO32" s="38">
        <f t="shared" si="11"/>
        <v>0.19726161666666678</v>
      </c>
      <c r="BP32" s="38">
        <f t="shared" si="28"/>
        <v>82.746074596508805</v>
      </c>
      <c r="BQ32" s="27">
        <f t="shared" si="146"/>
        <v>94.581771596508801</v>
      </c>
      <c r="BR32" s="211">
        <v>11.835697</v>
      </c>
      <c r="BS32" s="230"/>
      <c r="BT32" s="230">
        <f>STDEV(ferment.!BS32:BS37)</f>
        <v>5.0170399984549183E-9</v>
      </c>
      <c r="BU32" s="342"/>
      <c r="BV32" s="230">
        <f>STDEV(BU32:BU37)</f>
        <v>0.12040895996291809</v>
      </c>
      <c r="BW32" s="342"/>
      <c r="BX32" s="27">
        <f t="shared" si="30"/>
        <v>0.16726930003333329</v>
      </c>
      <c r="BY32" s="56"/>
      <c r="BZ32" s="38">
        <f t="shared" si="12"/>
        <v>11.835697</v>
      </c>
      <c r="CA32" s="38">
        <f t="shared" si="13"/>
        <v>0.19726161666666678</v>
      </c>
      <c r="CB32" s="245">
        <f t="shared" si="31"/>
        <v>81.241859211888951</v>
      </c>
      <c r="CC32" s="58">
        <f t="shared" si="147"/>
        <v>93.077556211888947</v>
      </c>
      <c r="CD32" s="38">
        <v>41.119</v>
      </c>
      <c r="CE32" s="35"/>
      <c r="CF32" s="80">
        <f t="shared" si="33"/>
        <v>180749772.22218049</v>
      </c>
      <c r="CG32" s="77">
        <f t="shared" si="34"/>
        <v>180749772.22218049</v>
      </c>
      <c r="CH32" s="62"/>
      <c r="CI32" s="93">
        <f t="shared" si="148"/>
        <v>16695000</v>
      </c>
      <c r="CJ32" s="58"/>
      <c r="CK32" s="193"/>
      <c r="CL32" s="320"/>
      <c r="CM32" s="320"/>
      <c r="CN32" s="320"/>
      <c r="CO32" s="38">
        <f t="shared" si="35"/>
        <v>-52.373054235922247</v>
      </c>
      <c r="CP32" s="321"/>
      <c r="CQ32" s="321"/>
      <c r="CR32" s="322"/>
      <c r="CS32" s="58">
        <f t="shared" si="36"/>
        <v>-52.373054235922254</v>
      </c>
      <c r="CT32" s="58"/>
      <c r="CU32" s="58"/>
      <c r="CV32" s="58"/>
      <c r="CW32" s="320">
        <v>26.487727371703564</v>
      </c>
      <c r="CX32" s="320"/>
      <c r="CY32" s="320"/>
      <c r="CZ32" s="320"/>
      <c r="DA32" s="38">
        <f t="shared" si="37"/>
        <v>37.775748984179756</v>
      </c>
      <c r="DB32" s="320"/>
      <c r="DC32" s="320"/>
      <c r="DD32" s="320"/>
      <c r="DE32" s="38">
        <f t="shared" si="38"/>
        <v>37.775748984179756</v>
      </c>
      <c r="DF32" s="320"/>
      <c r="DG32" s="320"/>
      <c r="DH32" s="320"/>
      <c r="DI32" s="320">
        <f t="shared" si="39"/>
        <v>-1.1036553071543151</v>
      </c>
      <c r="DJ32" s="320"/>
      <c r="DK32" s="320"/>
      <c r="DL32" s="320"/>
      <c r="DM32" s="352">
        <f t="shared" si="153"/>
        <v>0.31125000000000003</v>
      </c>
      <c r="DN32" s="320"/>
      <c r="DO32" s="320"/>
      <c r="DP32" s="320"/>
      <c r="DQ32" s="352">
        <f t="shared" si="154"/>
        <v>1.8635528329657125</v>
      </c>
      <c r="DR32" s="320"/>
      <c r="DS32" s="320"/>
      <c r="DT32" s="320"/>
      <c r="DV32" s="38">
        <f t="shared" si="149"/>
        <v>0</v>
      </c>
      <c r="DW32" s="56"/>
      <c r="DX32" s="38">
        <v>1.5415276519893333</v>
      </c>
    </row>
    <row r="33" spans="1:170" ht="15.75" thickBot="1" x14ac:dyDescent="0.25">
      <c r="A33" s="202">
        <v>26</v>
      </c>
      <c r="B33" s="203">
        <v>43648</v>
      </c>
      <c r="C33" s="60">
        <v>0.46875</v>
      </c>
      <c r="D33" s="87">
        <f t="shared" si="150"/>
        <v>648.75</v>
      </c>
      <c r="E33" s="87">
        <f t="shared" si="151"/>
        <v>27.03125</v>
      </c>
      <c r="F33" s="116">
        <v>1</v>
      </c>
      <c r="G33" s="258">
        <v>8730000</v>
      </c>
      <c r="H33" s="258">
        <v>9300000</v>
      </c>
      <c r="I33" s="258">
        <v>6810000</v>
      </c>
      <c r="J33" s="299">
        <f>AVERAGE(G33:I33)</f>
        <v>8280000</v>
      </c>
      <c r="K33" s="61">
        <f>STDEV(G33:I33)</f>
        <v>1304568.894309534</v>
      </c>
      <c r="L33" s="257">
        <f t="shared" si="108"/>
        <v>0.15755662974752827</v>
      </c>
      <c r="M33" s="118">
        <f t="shared" si="109"/>
        <v>8280000</v>
      </c>
      <c r="N33" s="204">
        <v>430000</v>
      </c>
      <c r="O33" s="88">
        <f t="shared" si="110"/>
        <v>430000</v>
      </c>
      <c r="P33" s="38">
        <v>7.13</v>
      </c>
      <c r="Q33" s="38">
        <v>72.8</v>
      </c>
      <c r="R33" s="84">
        <f t="shared" si="111"/>
        <v>2.2140198513685854E-2</v>
      </c>
      <c r="S33" s="109">
        <f t="shared" si="152"/>
        <v>0.53136476432846047</v>
      </c>
      <c r="T33" s="311">
        <f t="shared" si="15"/>
        <v>20080769.230789874</v>
      </c>
      <c r="U33" s="84" t="e">
        <f>#REF!</f>
        <v>#REF!</v>
      </c>
      <c r="V33" s="63">
        <f t="shared" si="112"/>
        <v>8710000</v>
      </c>
      <c r="W33" s="89">
        <f t="shared" si="113"/>
        <v>8710000</v>
      </c>
      <c r="X33" s="90">
        <f t="shared" si="114"/>
        <v>0.95063145809414462</v>
      </c>
      <c r="Y33" s="61">
        <f t="shared" si="115"/>
        <v>2683952243.0556064</v>
      </c>
      <c r="Z33" s="148">
        <f t="shared" si="116"/>
        <v>189606355.55552265</v>
      </c>
      <c r="AA33" s="27">
        <v>20.9</v>
      </c>
      <c r="AB33" s="27">
        <v>0</v>
      </c>
      <c r="AC33" s="27">
        <v>0</v>
      </c>
      <c r="AD33" s="27">
        <v>0</v>
      </c>
      <c r="AE33" s="27">
        <f t="shared" si="117"/>
        <v>0.78819444444525288</v>
      </c>
      <c r="AF33" s="27">
        <f t="shared" si="118"/>
        <v>0.64999999999999858</v>
      </c>
      <c r="AG33" s="27">
        <f t="shared" si="119"/>
        <v>20.9</v>
      </c>
      <c r="AH33" s="27">
        <f t="shared" si="120"/>
        <v>0.82466960352338137</v>
      </c>
      <c r="AI33" s="27">
        <f t="shared" si="121"/>
        <v>0.41233480176169068</v>
      </c>
      <c r="AJ33" s="109">
        <f t="shared" si="122"/>
        <v>1.7180616740070445E-2</v>
      </c>
      <c r="AK33" s="109">
        <f t="shared" si="123"/>
        <v>4.9798889101653469E-2</v>
      </c>
      <c r="AL33" s="27">
        <f t="shared" si="124"/>
        <v>0.64999999999999858</v>
      </c>
      <c r="AM33" s="27">
        <f t="shared" si="125"/>
        <v>20.9</v>
      </c>
      <c r="AN33" s="27">
        <f t="shared" si="126"/>
        <v>0.82466960352338137</v>
      </c>
      <c r="AO33" s="27">
        <f t="shared" si="127"/>
        <v>0.41233480176169068</v>
      </c>
      <c r="AP33" s="27">
        <f t="shared" si="128"/>
        <v>1.7180616740070445E-2</v>
      </c>
      <c r="AQ33" s="27">
        <f t="shared" si="129"/>
        <v>0</v>
      </c>
      <c r="AR33" s="27">
        <f t="shared" si="130"/>
        <v>0</v>
      </c>
      <c r="AS33" s="27">
        <f t="shared" si="131"/>
        <v>0</v>
      </c>
      <c r="AT33" s="27">
        <f t="shared" si="132"/>
        <v>0</v>
      </c>
      <c r="AU33" s="145">
        <f t="shared" si="133"/>
        <v>8280000</v>
      </c>
      <c r="AV33" s="27">
        <v>1</v>
      </c>
      <c r="AW33" s="27">
        <f t="shared" si="134"/>
        <v>1.7180616740070445E-2</v>
      </c>
      <c r="AX33" s="145">
        <f t="shared" si="135"/>
        <v>142255.50660778329</v>
      </c>
      <c r="AY33" s="145">
        <f t="shared" si="136"/>
        <v>43308059.067159228</v>
      </c>
      <c r="AZ33" s="27">
        <f t="shared" si="137"/>
        <v>0</v>
      </c>
      <c r="BA33" s="145">
        <f t="shared" si="138"/>
        <v>0</v>
      </c>
      <c r="BB33" s="145">
        <f t="shared" si="139"/>
        <v>0</v>
      </c>
      <c r="BC33" s="145">
        <f t="shared" si="140"/>
        <v>51588059.067159228</v>
      </c>
      <c r="BD33" s="145">
        <f t="shared" si="141"/>
        <v>2683952243.0556064</v>
      </c>
      <c r="BE33" s="84">
        <f t="shared" si="142"/>
        <v>2.237423956365206E-2</v>
      </c>
      <c r="BF33" s="84">
        <f t="shared" si="143"/>
        <v>2.2136563876629239E-2</v>
      </c>
      <c r="BG33" s="84">
        <f t="shared" si="144"/>
        <v>2.2140198513685854E-2</v>
      </c>
      <c r="BH33" s="38">
        <f t="shared" si="145"/>
        <v>11.144857333333333</v>
      </c>
      <c r="BI33" s="38" t="s">
        <v>219</v>
      </c>
      <c r="BJ33" s="358">
        <f t="shared" si="61"/>
        <v>5.0151857999999994</v>
      </c>
      <c r="BK33" s="38" t="s">
        <v>219</v>
      </c>
      <c r="BL33" s="38">
        <f>'Analisis economico'!$C$5/BJ33</f>
        <v>0.70984408992384695</v>
      </c>
      <c r="BM33" s="38" t="s">
        <v>219</v>
      </c>
      <c r="BN33" s="38">
        <f t="shared" si="10"/>
        <v>11.144857333333333</v>
      </c>
      <c r="BO33" s="38">
        <f t="shared" si="11"/>
        <v>0.19147552246676353</v>
      </c>
      <c r="BP33" s="38">
        <f t="shared" si="28"/>
        <v>86.42288003748294</v>
      </c>
      <c r="BQ33" s="27">
        <f t="shared" si="146"/>
        <v>97.567737370816275</v>
      </c>
      <c r="BR33" s="211">
        <v>11.144857333333333</v>
      </c>
      <c r="BS33" s="61">
        <f t="shared" si="59"/>
        <v>2.0430462177449088E-8</v>
      </c>
      <c r="BT33" s="230"/>
      <c r="BU33" s="342">
        <f t="shared" si="62"/>
        <v>0.49033109225877813</v>
      </c>
      <c r="BV33" s="230"/>
      <c r="BW33" s="342"/>
      <c r="BX33" s="27">
        <f t="shared" si="30"/>
        <v>0.17473798019166661</v>
      </c>
      <c r="BY33" s="56"/>
      <c r="BZ33" s="38">
        <f t="shared" si="12"/>
        <v>11.144857333333333</v>
      </c>
      <c r="CA33" s="38">
        <f t="shared" si="13"/>
        <v>0.19147552246676353</v>
      </c>
      <c r="CB33" s="245">
        <f t="shared" si="31"/>
        <v>84.918664652863086</v>
      </c>
      <c r="CC33" s="58">
        <f t="shared" si="147"/>
        <v>96.06352198619642</v>
      </c>
      <c r="CD33" s="38">
        <v>42.119</v>
      </c>
      <c r="CE33" s="35"/>
      <c r="CF33" s="80">
        <f t="shared" si="33"/>
        <v>189167688.88885579</v>
      </c>
      <c r="CG33" s="77">
        <f t="shared" si="34"/>
        <v>189167688.88885579</v>
      </c>
      <c r="CH33" s="62"/>
      <c r="CI33" s="93">
        <f t="shared" si="148"/>
        <v>8417916.6666752994</v>
      </c>
      <c r="CJ33" s="58"/>
      <c r="CK33" s="320">
        <v>0.1902286150395332</v>
      </c>
      <c r="CL33" s="320"/>
      <c r="CM33" s="320"/>
      <c r="CN33" s="320"/>
      <c r="CO33" s="38">
        <f t="shared" si="35"/>
        <v>-50.875497277172244</v>
      </c>
      <c r="CP33" s="321"/>
      <c r="CQ33" s="321"/>
      <c r="CR33" s="322"/>
      <c r="CS33" s="58">
        <f t="shared" si="36"/>
        <v>-50.875497277172236</v>
      </c>
      <c r="CT33" s="58"/>
      <c r="CU33" s="58"/>
      <c r="CV33" s="58"/>
      <c r="CW33" s="320">
        <v>30.739340357189672</v>
      </c>
      <c r="CX33" s="320"/>
      <c r="CY33" s="320"/>
      <c r="CZ33" s="320"/>
      <c r="DA33" s="193"/>
      <c r="DB33" s="320"/>
      <c r="DC33" s="320"/>
      <c r="DD33" s="320"/>
      <c r="DE33" s="193"/>
      <c r="DF33" s="320"/>
      <c r="DG33" s="320"/>
      <c r="DH33" s="320"/>
      <c r="DI33" s="320">
        <f t="shared" si="39"/>
        <v>-1.2910388705624571</v>
      </c>
      <c r="DJ33" s="320"/>
      <c r="DK33" s="320"/>
      <c r="DL33" s="320"/>
      <c r="DM33" s="352">
        <f t="shared" si="153"/>
        <v>0.34775638397057834</v>
      </c>
      <c r="DN33" s="320"/>
      <c r="DO33" s="320"/>
      <c r="DP33" s="320"/>
      <c r="DQ33" s="352">
        <f t="shared" si="154"/>
        <v>1.9595699940144344</v>
      </c>
      <c r="DR33" s="320"/>
      <c r="DS33" s="320"/>
      <c r="DT33" s="320"/>
      <c r="DV33" s="38">
        <f t="shared" si="149"/>
        <v>0</v>
      </c>
      <c r="DW33" s="56"/>
      <c r="DX33" s="38">
        <v>1.3245831864687099</v>
      </c>
    </row>
    <row r="34" spans="1:170" ht="15.75" thickBot="1" x14ac:dyDescent="0.25">
      <c r="A34" s="202">
        <v>27</v>
      </c>
      <c r="B34" s="203">
        <v>43649</v>
      </c>
      <c r="C34" s="60">
        <v>0.58333333333333337</v>
      </c>
      <c r="D34" s="87">
        <f t="shared" si="150"/>
        <v>675.50000000005821</v>
      </c>
      <c r="E34" s="87">
        <f t="shared" si="151"/>
        <v>28.145833333335759</v>
      </c>
      <c r="F34" s="116">
        <v>1</v>
      </c>
      <c r="G34" s="258">
        <v>9150000</v>
      </c>
      <c r="H34" s="258">
        <v>8730000</v>
      </c>
      <c r="I34" s="258">
        <v>8610000</v>
      </c>
      <c r="J34" s="299">
        <f>AVERAGE(G34:I34)</f>
        <v>8830000</v>
      </c>
      <c r="K34" s="61">
        <f>STDEV(G34:I34)</f>
        <v>283548.93757515651</v>
      </c>
      <c r="L34" s="257">
        <f t="shared" si="108"/>
        <v>3.2111997460380126E-2</v>
      </c>
      <c r="M34" s="118">
        <f t="shared" si="109"/>
        <v>8830000</v>
      </c>
      <c r="N34" s="204">
        <v>370000</v>
      </c>
      <c r="O34" s="88">
        <f t="shared" si="110"/>
        <v>370000</v>
      </c>
      <c r="P34" s="38">
        <v>7.11</v>
      </c>
      <c r="Q34" s="38">
        <v>70.099999999999994</v>
      </c>
      <c r="R34" s="84">
        <f t="shared" si="111"/>
        <v>1.8868474511756463E-2</v>
      </c>
      <c r="S34" s="109">
        <f t="shared" si="152"/>
        <v>0.45284338828215509</v>
      </c>
      <c r="T34" s="311">
        <f t="shared" si="15"/>
        <v>21870601.851899389</v>
      </c>
      <c r="U34" s="84" t="e">
        <f>#REF!</f>
        <v>#REF!</v>
      </c>
      <c r="V34" s="63">
        <f t="shared" si="112"/>
        <v>9200000</v>
      </c>
      <c r="W34" s="89">
        <f t="shared" si="113"/>
        <v>9200000</v>
      </c>
      <c r="X34" s="90">
        <f t="shared" si="114"/>
        <v>0.95978260869565213</v>
      </c>
      <c r="Y34" s="61">
        <f t="shared" si="115"/>
        <v>2912798493.0561042</v>
      </c>
      <c r="Z34" s="148">
        <f t="shared" si="116"/>
        <v>200306355.55554593</v>
      </c>
      <c r="AA34" s="27">
        <v>21.8</v>
      </c>
      <c r="AB34" s="27">
        <v>0</v>
      </c>
      <c r="AC34" s="27">
        <v>0</v>
      </c>
      <c r="AD34" s="27">
        <v>0</v>
      </c>
      <c r="AE34" s="27">
        <f t="shared" si="117"/>
        <v>1.1145833333357587</v>
      </c>
      <c r="AF34" s="27">
        <f t="shared" si="118"/>
        <v>0.90000000000000213</v>
      </c>
      <c r="AG34" s="27">
        <f t="shared" si="119"/>
        <v>21.8</v>
      </c>
      <c r="AH34" s="27">
        <f t="shared" si="120"/>
        <v>0.80747663551226356</v>
      </c>
      <c r="AI34" s="27">
        <f t="shared" si="121"/>
        <v>0.40373831775613178</v>
      </c>
      <c r="AJ34" s="109">
        <f t="shared" si="122"/>
        <v>1.6822429906505492E-2</v>
      </c>
      <c r="AK34" s="109">
        <f t="shared" si="123"/>
        <v>4.5723478794578908E-2</v>
      </c>
      <c r="AL34" s="27">
        <f t="shared" si="124"/>
        <v>0.90000000000000213</v>
      </c>
      <c r="AM34" s="27">
        <f t="shared" si="125"/>
        <v>21.8</v>
      </c>
      <c r="AN34" s="27">
        <f t="shared" si="126"/>
        <v>0.80747663551226356</v>
      </c>
      <c r="AO34" s="27">
        <f t="shared" si="127"/>
        <v>0.40373831775613178</v>
      </c>
      <c r="AP34" s="27">
        <f t="shared" si="128"/>
        <v>1.6822429906505492E-2</v>
      </c>
      <c r="AQ34" s="27">
        <f t="shared" si="129"/>
        <v>0</v>
      </c>
      <c r="AR34" s="27">
        <f t="shared" si="130"/>
        <v>0</v>
      </c>
      <c r="AS34" s="27">
        <f t="shared" si="131"/>
        <v>0</v>
      </c>
      <c r="AT34" s="27">
        <f t="shared" si="132"/>
        <v>0</v>
      </c>
      <c r="AU34" s="145">
        <f t="shared" si="133"/>
        <v>8830000</v>
      </c>
      <c r="AV34" s="27">
        <v>1</v>
      </c>
      <c r="AW34" s="27">
        <f t="shared" si="134"/>
        <v>1.6822429906505492E-2</v>
      </c>
      <c r="AX34" s="145">
        <f t="shared" si="135"/>
        <v>148542.05607444351</v>
      </c>
      <c r="AY34" s="145">
        <f t="shared" si="136"/>
        <v>47197476.468042478</v>
      </c>
      <c r="AZ34" s="27">
        <f t="shared" si="137"/>
        <v>0</v>
      </c>
      <c r="BA34" s="145">
        <f t="shared" si="138"/>
        <v>0</v>
      </c>
      <c r="BB34" s="145">
        <f t="shared" si="139"/>
        <v>0</v>
      </c>
      <c r="BC34" s="145">
        <f t="shared" si="140"/>
        <v>56027476.468042478</v>
      </c>
      <c r="BD34" s="145">
        <f t="shared" si="141"/>
        <v>2912798493.0561042</v>
      </c>
      <c r="BE34" s="84">
        <f t="shared" si="142"/>
        <v>1.9399126710066661E-2</v>
      </c>
      <c r="BF34" s="84">
        <f t="shared" si="143"/>
        <v>1.8867963910894764E-2</v>
      </c>
      <c r="BG34" s="84">
        <f t="shared" si="144"/>
        <v>1.8868474511756463E-2</v>
      </c>
      <c r="BH34" s="38">
        <f t="shared" si="145"/>
        <v>11.295039666666666</v>
      </c>
      <c r="BI34" s="38">
        <f>STDEV(BH32:BH37)</f>
        <v>0.76030840645305664</v>
      </c>
      <c r="BJ34" s="358">
        <f t="shared" si="61"/>
        <v>5.0827678499999998</v>
      </c>
      <c r="BK34" s="38">
        <f>STDEV(BJ32:BJ37)</f>
        <v>0.3421387829038755</v>
      </c>
      <c r="BL34" s="38">
        <f>'Analisis economico'!$C$5/BJ34</f>
        <v>0.70040578382898211</v>
      </c>
      <c r="BM34" s="38">
        <f>STDEV(BL32:BL37)</f>
        <v>5.0278582967623844E-2</v>
      </c>
      <c r="BN34" s="38">
        <f t="shared" si="10"/>
        <v>11.295039666666666</v>
      </c>
      <c r="BO34" s="38">
        <f t="shared" si="11"/>
        <v>0.19001001308369914</v>
      </c>
      <c r="BP34" s="38">
        <f t="shared" si="28"/>
        <v>91.525249075481483</v>
      </c>
      <c r="BQ34" s="27">
        <f t="shared" si="146"/>
        <v>102.82028874214815</v>
      </c>
      <c r="BR34" s="211">
        <v>11.295039666666666</v>
      </c>
      <c r="BS34" s="61">
        <f t="shared" si="59"/>
        <v>2.2719005263673893E-8</v>
      </c>
      <c r="BT34" s="61" t="s">
        <v>220</v>
      </c>
      <c r="BU34" s="342">
        <f t="shared" si="62"/>
        <v>0.54525612632817344</v>
      </c>
      <c r="BV34" s="61" t="s">
        <v>220</v>
      </c>
      <c r="BW34" s="342"/>
      <c r="BX34" s="27">
        <f t="shared" si="30"/>
        <v>0.18483593384166663</v>
      </c>
      <c r="BY34" s="56"/>
      <c r="BZ34" s="38">
        <f t="shared" si="12"/>
        <v>11.295039666666666</v>
      </c>
      <c r="CA34" s="38">
        <f t="shared" si="13"/>
        <v>0.19001001308369914</v>
      </c>
      <c r="CB34" s="245">
        <f t="shared" si="31"/>
        <v>90.021033690861628</v>
      </c>
      <c r="CC34" s="58">
        <f t="shared" si="147"/>
        <v>101.3160733575283</v>
      </c>
      <c r="CD34" s="38">
        <v>43.119</v>
      </c>
      <c r="CE34" s="35"/>
      <c r="CF34" s="80">
        <f t="shared" si="33"/>
        <v>199867688.88887906</v>
      </c>
      <c r="CG34" s="77">
        <f t="shared" si="34"/>
        <v>199867688.88887906</v>
      </c>
      <c r="CH34" s="62"/>
      <c r="CI34" s="93">
        <f t="shared" si="148"/>
        <v>10700000.000023276</v>
      </c>
      <c r="CJ34" s="58"/>
      <c r="CK34" s="320">
        <v>0.20483143852134267</v>
      </c>
      <c r="CL34" s="320"/>
      <c r="CM34" s="320"/>
      <c r="CN34" s="320"/>
      <c r="CO34" s="38">
        <f t="shared" si="35"/>
        <v>-46.741026625709374</v>
      </c>
      <c r="CP34" s="321"/>
      <c r="CQ34" s="321"/>
      <c r="CR34" s="322"/>
      <c r="CS34" s="58">
        <f t="shared" si="36"/>
        <v>-46.741026625709374</v>
      </c>
      <c r="CT34" s="58"/>
      <c r="CU34" s="58"/>
      <c r="CV34" s="58"/>
      <c r="CW34" s="320">
        <v>27.983514245621681</v>
      </c>
      <c r="CX34" s="320"/>
      <c r="CY34" s="320"/>
      <c r="CZ34" s="320"/>
      <c r="DA34" s="38">
        <f t="shared" si="37"/>
        <v>45.693631309413377</v>
      </c>
      <c r="DB34" s="320"/>
      <c r="DC34" s="320"/>
      <c r="DD34" s="320"/>
      <c r="DE34" s="38">
        <f t="shared" si="38"/>
        <v>45.693631309413384</v>
      </c>
      <c r="DF34" s="320"/>
      <c r="DG34" s="320"/>
      <c r="DH34" s="320"/>
      <c r="DI34" s="320">
        <f t="shared" si="39"/>
        <v>-1.1760166427618177</v>
      </c>
      <c r="DJ34" s="320"/>
      <c r="DK34" s="320"/>
      <c r="DL34" s="320"/>
      <c r="DM34" s="352">
        <f t="shared" si="153"/>
        <v>0.3710837339599537</v>
      </c>
      <c r="DN34" s="320"/>
      <c r="DO34" s="320"/>
      <c r="DP34" s="320"/>
      <c r="DQ34" s="352">
        <f t="shared" si="154"/>
        <v>2.1280626837020935</v>
      </c>
      <c r="DR34" s="320"/>
      <c r="DS34" s="320"/>
      <c r="DT34" s="320"/>
      <c r="DV34" s="38">
        <f t="shared" si="149"/>
        <v>0</v>
      </c>
      <c r="DW34" s="56"/>
      <c r="DX34" s="38">
        <v>1.4006861345649599</v>
      </c>
    </row>
    <row r="35" spans="1:170" ht="15.75" thickBot="1" x14ac:dyDescent="0.25">
      <c r="A35" s="202">
        <v>28</v>
      </c>
      <c r="B35" s="203">
        <v>43650</v>
      </c>
      <c r="C35" s="60">
        <v>0.63888888888888895</v>
      </c>
      <c r="D35" s="87">
        <f t="shared" si="150"/>
        <v>700.83333333337214</v>
      </c>
      <c r="E35" s="87">
        <f t="shared" si="151"/>
        <v>29.201388888890506</v>
      </c>
      <c r="F35" s="116">
        <v>1</v>
      </c>
      <c r="G35" s="258">
        <v>9870000</v>
      </c>
      <c r="H35" s="258">
        <v>7650000</v>
      </c>
      <c r="I35" s="258">
        <v>8760000</v>
      </c>
      <c r="J35" s="299">
        <f t="shared" ref="J35:J47" si="155">AVERAGE(G35:I35)</f>
        <v>8760000</v>
      </c>
      <c r="K35" s="61">
        <f t="shared" ref="K35:K47" si="156">STDEV(G35:I35)</f>
        <v>1110000</v>
      </c>
      <c r="L35" s="257">
        <f t="shared" ref="L35:L47" si="157">K35/J35</f>
        <v>0.12671232876712329</v>
      </c>
      <c r="M35" s="118">
        <f t="shared" si="109"/>
        <v>8760000</v>
      </c>
      <c r="N35" s="204">
        <v>280000</v>
      </c>
      <c r="O35" s="88">
        <f t="shared" si="110"/>
        <v>280000</v>
      </c>
      <c r="P35" s="38">
        <v>7.15</v>
      </c>
      <c r="Q35" s="38">
        <v>63.2</v>
      </c>
      <c r="R35" s="84">
        <f t="shared" si="111"/>
        <v>1.6083777250634309E-2</v>
      </c>
      <c r="S35" s="109">
        <f t="shared" si="152"/>
        <v>0.38601065401522339</v>
      </c>
      <c r="T35" s="311">
        <f t="shared" si="15"/>
        <v>21756862.745081432</v>
      </c>
      <c r="U35" s="84" t="e">
        <f>#REF!</f>
        <v>#REF!</v>
      </c>
      <c r="V35" s="63">
        <f t="shared" si="112"/>
        <v>9040000</v>
      </c>
      <c r="W35" s="89">
        <f t="shared" si="113"/>
        <v>9040000</v>
      </c>
      <c r="X35" s="90">
        <f t="shared" si="114"/>
        <v>0.96902654867256632</v>
      </c>
      <c r="Y35" s="61">
        <f t="shared" si="115"/>
        <v>3135605159.7226</v>
      </c>
      <c r="Z35" s="148">
        <f t="shared" si="116"/>
        <v>208539688.88887295</v>
      </c>
      <c r="AA35" s="27">
        <v>22.65</v>
      </c>
      <c r="AB35" s="27">
        <v>0</v>
      </c>
      <c r="AC35" s="27">
        <v>0</v>
      </c>
      <c r="AD35" s="27">
        <v>0</v>
      </c>
      <c r="AE35" s="27">
        <f t="shared" si="117"/>
        <v>1.0555555555547471</v>
      </c>
      <c r="AF35" s="27">
        <f t="shared" si="118"/>
        <v>0.84999999999999787</v>
      </c>
      <c r="AG35" s="27">
        <f t="shared" si="119"/>
        <v>22.65</v>
      </c>
      <c r="AH35" s="27">
        <f t="shared" si="120"/>
        <v>0.80526315789535152</v>
      </c>
      <c r="AI35" s="27">
        <f t="shared" si="121"/>
        <v>0.40263157894767576</v>
      </c>
      <c r="AJ35" s="109">
        <f t="shared" si="122"/>
        <v>1.677631578948649E-2</v>
      </c>
      <c r="AK35" s="109">
        <f t="shared" si="123"/>
        <v>4.5962509012291757E-2</v>
      </c>
      <c r="AL35" s="27">
        <f t="shared" si="124"/>
        <v>0.84999999999999787</v>
      </c>
      <c r="AM35" s="27">
        <f t="shared" si="125"/>
        <v>22.65</v>
      </c>
      <c r="AN35" s="27">
        <f t="shared" si="126"/>
        <v>0.80526315789535152</v>
      </c>
      <c r="AO35" s="27">
        <f t="shared" si="127"/>
        <v>0.40263157894767576</v>
      </c>
      <c r="AP35" s="27">
        <f t="shared" si="128"/>
        <v>1.677631578948649E-2</v>
      </c>
      <c r="AQ35" s="27">
        <f t="shared" si="129"/>
        <v>0</v>
      </c>
      <c r="AR35" s="27">
        <f t="shared" si="130"/>
        <v>0</v>
      </c>
      <c r="AS35" s="27">
        <f t="shared" si="131"/>
        <v>0</v>
      </c>
      <c r="AT35" s="27">
        <f t="shared" si="132"/>
        <v>0</v>
      </c>
      <c r="AU35" s="145">
        <f t="shared" si="133"/>
        <v>8760000</v>
      </c>
      <c r="AV35" s="27">
        <v>1</v>
      </c>
      <c r="AW35" s="27">
        <f t="shared" si="134"/>
        <v>1.677631578948649E-2</v>
      </c>
      <c r="AX35" s="145">
        <f t="shared" si="135"/>
        <v>146960.52631590166</v>
      </c>
      <c r="AY35" s="145">
        <f t="shared" si="136"/>
        <v>50940509.178317316</v>
      </c>
      <c r="AZ35" s="27">
        <f t="shared" si="137"/>
        <v>0</v>
      </c>
      <c r="BA35" s="145">
        <f t="shared" si="138"/>
        <v>0</v>
      </c>
      <c r="BB35" s="145">
        <f t="shared" si="139"/>
        <v>0</v>
      </c>
      <c r="BC35" s="145">
        <f t="shared" si="140"/>
        <v>59700509.178317316</v>
      </c>
      <c r="BD35" s="145">
        <f t="shared" si="141"/>
        <v>3135605159.7226</v>
      </c>
      <c r="BE35" s="84">
        <f t="shared" si="142"/>
        <v>1.6485290881231806E-2</v>
      </c>
      <c r="BF35" s="84">
        <f t="shared" si="143"/>
        <v>1.608379501386269E-2</v>
      </c>
      <c r="BG35" s="84">
        <f t="shared" si="144"/>
        <v>1.6083777250634309E-2</v>
      </c>
      <c r="BH35" s="38">
        <f t="shared" si="145"/>
        <v>9.9447149999999986</v>
      </c>
      <c r="BI35" s="56" t="s">
        <v>220</v>
      </c>
      <c r="BJ35" s="358">
        <f t="shared" si="61"/>
        <v>4.4751217499999996</v>
      </c>
      <c r="BK35" s="56" t="s">
        <v>220</v>
      </c>
      <c r="BL35" s="38">
        <f>'Analisis economico'!$C$5/BJ35</f>
        <v>0.79550908307690182</v>
      </c>
      <c r="BM35" s="56" t="s">
        <v>220</v>
      </c>
      <c r="BN35" s="38">
        <f t="shared" si="10"/>
        <v>9.9447149999999986</v>
      </c>
      <c r="BO35" s="38">
        <f t="shared" si="11"/>
        <v>0.16683567927644311</v>
      </c>
      <c r="BP35" s="38">
        <f t="shared" si="28"/>
        <v>96.045294512039817</v>
      </c>
      <c r="BQ35" s="27">
        <f t="shared" si="146"/>
        <v>105.99000951203982</v>
      </c>
      <c r="BR35" s="211">
        <v>9.9447149999999986</v>
      </c>
      <c r="BS35" s="61">
        <f t="shared" si="59"/>
        <v>1.4196717034210869E-8</v>
      </c>
      <c r="BT35" s="257">
        <f>BT32/AVERAGE(BS32:BS37)</f>
        <v>0.23593869864253819</v>
      </c>
      <c r="BU35" s="342">
        <f t="shared" si="62"/>
        <v>0.34072120882106083</v>
      </c>
      <c r="BV35" s="257">
        <f>BV32/AVERAGE(BU32:BU37)</f>
        <v>0.23593869864253833</v>
      </c>
      <c r="BW35" s="342"/>
      <c r="BX35" s="27">
        <f t="shared" si="30"/>
        <v>0.19386282957499995</v>
      </c>
      <c r="BY35" s="56"/>
      <c r="BZ35" s="38">
        <f t="shared" si="12"/>
        <v>9.9447149999999986</v>
      </c>
      <c r="CA35" s="38">
        <f t="shared" si="13"/>
        <v>0.16683567927644311</v>
      </c>
      <c r="CB35" s="245">
        <f t="shared" si="31"/>
        <v>94.541079127419962</v>
      </c>
      <c r="CC35" s="58">
        <f t="shared" si="147"/>
        <v>104.48579412741996</v>
      </c>
      <c r="CD35" s="38">
        <v>44.119</v>
      </c>
      <c r="CE35" s="35"/>
      <c r="CF35" s="80">
        <f t="shared" si="33"/>
        <v>208101022.22220609</v>
      </c>
      <c r="CG35" s="77">
        <f t="shared" si="34"/>
        <v>208101022.22220609</v>
      </c>
      <c r="CH35" s="62"/>
      <c r="CI35" s="93">
        <f t="shared" si="148"/>
        <v>8233333.3333270252</v>
      </c>
      <c r="CJ35" s="58"/>
      <c r="CK35" s="320">
        <v>0.21333685920729742</v>
      </c>
      <c r="CL35" s="320"/>
      <c r="CM35" s="320"/>
      <c r="CN35" s="320"/>
      <c r="CO35" s="38">
        <f t="shared" si="35"/>
        <v>-45.34260113126966</v>
      </c>
      <c r="CP35" s="321"/>
      <c r="CQ35" s="321"/>
      <c r="CR35" s="322"/>
      <c r="CS35" s="58">
        <f t="shared" si="36"/>
        <v>-45.34260113126966</v>
      </c>
      <c r="CT35" s="58"/>
      <c r="CU35" s="58"/>
      <c r="CV35" s="58"/>
      <c r="CW35" s="320">
        <v>28.400035829322256</v>
      </c>
      <c r="CX35" s="320"/>
      <c r="CY35" s="320"/>
      <c r="CZ35" s="320"/>
      <c r="DA35" s="38">
        <f t="shared" si="37"/>
        <v>55.644771137767989</v>
      </c>
      <c r="DB35" s="320"/>
      <c r="DC35" s="320"/>
      <c r="DD35" s="320"/>
      <c r="DE35" s="38">
        <f t="shared" si="38"/>
        <v>55.644771137767989</v>
      </c>
      <c r="DF35" s="320"/>
      <c r="DG35" s="320"/>
      <c r="DH35" s="320"/>
      <c r="DI35" s="320">
        <f t="shared" si="39"/>
        <v>-1.1939478715960752</v>
      </c>
      <c r="DJ35" s="320"/>
      <c r="DK35" s="320"/>
      <c r="DL35" s="320"/>
      <c r="DM35" s="352">
        <f t="shared" si="153"/>
        <v>0.36827359718972624</v>
      </c>
      <c r="DN35" s="320"/>
      <c r="DO35" s="320"/>
      <c r="DP35" s="320"/>
      <c r="DQ35" s="352">
        <f t="shared" si="154"/>
        <v>1.9130051391018941</v>
      </c>
      <c r="DR35" s="320"/>
      <c r="DS35" s="320"/>
      <c r="DT35" s="320"/>
      <c r="DV35" s="38">
        <f t="shared" si="149"/>
        <v>0</v>
      </c>
      <c r="DW35" s="56"/>
      <c r="DX35" s="38">
        <v>0.97081731985697095</v>
      </c>
    </row>
    <row r="36" spans="1:170" ht="15.75" thickBot="1" x14ac:dyDescent="0.25">
      <c r="A36" s="202">
        <v>29</v>
      </c>
      <c r="B36" s="203">
        <v>43651</v>
      </c>
      <c r="C36" s="60">
        <v>0.47916666666666669</v>
      </c>
      <c r="D36" s="87">
        <f t="shared" ref="D36:D50" si="158">(B36+C36-(Inoculo_Fecha+Inoculo_Hora))*24</f>
        <v>720.99999999994179</v>
      </c>
      <c r="E36" s="87">
        <f t="shared" ref="E36:E50" si="159">D36/24</f>
        <v>30.041666666664241</v>
      </c>
      <c r="F36" s="116">
        <v>1</v>
      </c>
      <c r="G36" s="258">
        <v>8610000</v>
      </c>
      <c r="H36" s="258">
        <v>9000000</v>
      </c>
      <c r="I36" s="258"/>
      <c r="J36" s="299">
        <f>AVERAGE(G36:H36)</f>
        <v>8805000</v>
      </c>
      <c r="K36" s="61">
        <f>STDEV(G36:H36)</f>
        <v>275771.64466275356</v>
      </c>
      <c r="L36" s="257">
        <f t="shared" si="157"/>
        <v>3.1319891500596657E-2</v>
      </c>
      <c r="M36" s="118">
        <f t="shared" si="109"/>
        <v>8805000</v>
      </c>
      <c r="N36" s="204">
        <v>430000</v>
      </c>
      <c r="O36" s="88">
        <f t="shared" si="110"/>
        <v>430000</v>
      </c>
      <c r="P36" s="38">
        <v>7.16</v>
      </c>
      <c r="Q36" s="38">
        <v>72</v>
      </c>
      <c r="R36" s="84">
        <f t="shared" si="111"/>
        <v>1.7173955665229119E-2</v>
      </c>
      <c r="S36" s="109">
        <f t="shared" si="152"/>
        <v>0.41217493596549887</v>
      </c>
      <c r="T36" s="311">
        <f t="shared" si="15"/>
        <v>22765064.102454517</v>
      </c>
      <c r="U36" s="84" t="e">
        <f>#REF!</f>
        <v>#REF!</v>
      </c>
      <c r="V36" s="63">
        <f t="shared" si="112"/>
        <v>9235000</v>
      </c>
      <c r="W36" s="89">
        <f t="shared" si="113"/>
        <v>9235000</v>
      </c>
      <c r="X36" s="90">
        <f t="shared" si="114"/>
        <v>0.95343800757985919</v>
      </c>
      <c r="Y36" s="61">
        <f t="shared" si="115"/>
        <v>3312718909.7217479</v>
      </c>
      <c r="Z36" s="148">
        <f t="shared" si="116"/>
        <v>215698855.55550519</v>
      </c>
      <c r="AA36" s="27">
        <v>23.3</v>
      </c>
      <c r="AB36" s="27">
        <v>0</v>
      </c>
      <c r="AC36" s="27">
        <v>0</v>
      </c>
      <c r="AD36" s="27">
        <v>0</v>
      </c>
      <c r="AE36" s="27">
        <f t="shared" si="117"/>
        <v>0.84027777777373558</v>
      </c>
      <c r="AF36" s="27">
        <f t="shared" si="118"/>
        <v>0.65000000000000213</v>
      </c>
      <c r="AG36" s="27">
        <f t="shared" si="119"/>
        <v>23.3</v>
      </c>
      <c r="AH36" s="27">
        <f t="shared" si="120"/>
        <v>0.77355371901198822</v>
      </c>
      <c r="AI36" s="27">
        <f t="shared" si="121"/>
        <v>0.38677685950599411</v>
      </c>
      <c r="AJ36" s="109">
        <f t="shared" si="122"/>
        <v>1.6115702479416422E-2</v>
      </c>
      <c r="AK36" s="109">
        <f t="shared" si="123"/>
        <v>4.3926957354457029E-2</v>
      </c>
      <c r="AL36" s="27">
        <f t="shared" si="124"/>
        <v>0.65000000000000213</v>
      </c>
      <c r="AM36" s="27">
        <f t="shared" si="125"/>
        <v>23.3</v>
      </c>
      <c r="AN36" s="27">
        <f t="shared" si="126"/>
        <v>0.77355371901198822</v>
      </c>
      <c r="AO36" s="27">
        <f t="shared" si="127"/>
        <v>0.38677685950599411</v>
      </c>
      <c r="AP36" s="27">
        <f t="shared" si="128"/>
        <v>1.6115702479416422E-2</v>
      </c>
      <c r="AQ36" s="27">
        <f t="shared" si="129"/>
        <v>0</v>
      </c>
      <c r="AR36" s="27">
        <f t="shared" si="130"/>
        <v>0</v>
      </c>
      <c r="AS36" s="27">
        <f t="shared" si="131"/>
        <v>0</v>
      </c>
      <c r="AT36" s="27">
        <f t="shared" si="132"/>
        <v>0</v>
      </c>
      <c r="AU36" s="145">
        <f t="shared" si="133"/>
        <v>8805000</v>
      </c>
      <c r="AV36" s="27">
        <v>1</v>
      </c>
      <c r="AW36" s="27">
        <f t="shared" si="134"/>
        <v>1.6115702479416422E-2</v>
      </c>
      <c r="AX36" s="145">
        <f t="shared" si="135"/>
        <v>141898.76033126161</v>
      </c>
      <c r="AY36" s="145">
        <f t="shared" si="136"/>
        <v>53853173.651995532</v>
      </c>
      <c r="AZ36" s="27">
        <f t="shared" si="137"/>
        <v>0</v>
      </c>
      <c r="BA36" s="145">
        <f t="shared" si="138"/>
        <v>0</v>
      </c>
      <c r="BB36" s="145">
        <f t="shared" si="139"/>
        <v>0</v>
      </c>
      <c r="BC36" s="145">
        <f t="shared" si="140"/>
        <v>62658173.651995532</v>
      </c>
      <c r="BD36" s="145">
        <f t="shared" si="141"/>
        <v>3312718909.7217479</v>
      </c>
      <c r="BE36" s="84">
        <f t="shared" si="142"/>
        <v>1.6699236923685745E-2</v>
      </c>
      <c r="BF36" s="84">
        <f t="shared" si="143"/>
        <v>1.7173915501320643E-2</v>
      </c>
      <c r="BG36" s="84">
        <f t="shared" si="144"/>
        <v>1.7173955665229119E-2</v>
      </c>
      <c r="BH36" s="38">
        <f t="shared" si="145"/>
        <v>11.456551333333335</v>
      </c>
      <c r="BI36" s="346">
        <f>BI34/BI32</f>
        <v>6.7259871639399046E-2</v>
      </c>
      <c r="BJ36" s="358">
        <f t="shared" si="61"/>
        <v>5.155448100000001</v>
      </c>
      <c r="BK36" s="346">
        <f>BK34/BK32</f>
        <v>6.7259871639399046E-2</v>
      </c>
      <c r="BL36" s="38">
        <f>'Analisis economico'!$C$5/BJ36</f>
        <v>0.69053163390394701</v>
      </c>
      <c r="BM36" s="346">
        <f>BM34/BM32</f>
        <v>7.1554609227282864E-2</v>
      </c>
      <c r="BN36" s="38">
        <f t="shared" si="10"/>
        <v>11.456551333333335</v>
      </c>
      <c r="BO36" s="38">
        <f t="shared" si="11"/>
        <v>0.18463037272816155</v>
      </c>
      <c r="BP36" s="38">
        <f t="shared" si="28"/>
        <v>99.589243869735867</v>
      </c>
      <c r="BQ36" s="27">
        <f t="shared" si="146"/>
        <v>111.0457952030692</v>
      </c>
      <c r="BR36" s="211">
        <v>11.456551333333335</v>
      </c>
      <c r="BS36" s="61">
        <f t="shared" si="59"/>
        <v>2.8171398959843703E-8</v>
      </c>
      <c r="BT36" s="61"/>
      <c r="BU36" s="342">
        <f t="shared" si="62"/>
        <v>0.67611357503624891</v>
      </c>
      <c r="BV36" s="342"/>
      <c r="BW36" s="342"/>
      <c r="BX36" s="27">
        <f t="shared" si="30"/>
        <v>0.2008182411333333</v>
      </c>
      <c r="BY36" s="56"/>
      <c r="BZ36" s="38">
        <f t="shared" si="12"/>
        <v>11.456551333333335</v>
      </c>
      <c r="CA36" s="38">
        <f t="shared" si="13"/>
        <v>0.18463037272816155</v>
      </c>
      <c r="CB36" s="245">
        <f t="shared" si="31"/>
        <v>98.085028485116013</v>
      </c>
      <c r="CC36" s="58">
        <f t="shared" si="147"/>
        <v>109.54157981844935</v>
      </c>
      <c r="CD36" s="38">
        <v>45.119</v>
      </c>
      <c r="CE36" s="35"/>
      <c r="CF36" s="80">
        <f t="shared" si="33"/>
        <v>215260188.88883832</v>
      </c>
      <c r="CG36" s="77">
        <f t="shared" si="34"/>
        <v>215260188.88883832</v>
      </c>
      <c r="CH36" s="62"/>
      <c r="CI36" s="93">
        <f t="shared" si="148"/>
        <v>7159166.6666322351</v>
      </c>
      <c r="CJ36" s="58"/>
      <c r="CK36" s="320">
        <v>0.23687260353080783</v>
      </c>
      <c r="CL36" s="320"/>
      <c r="CM36" s="320"/>
      <c r="CN36" s="320"/>
      <c r="CO36" s="38">
        <f t="shared" si="35"/>
        <v>-43.49354704543623</v>
      </c>
      <c r="CP36" s="321"/>
      <c r="CQ36" s="321"/>
      <c r="CR36" s="322"/>
      <c r="CS36" s="58">
        <f t="shared" si="36"/>
        <v>-43.49354704543623</v>
      </c>
      <c r="CT36" s="58"/>
      <c r="CU36" s="58"/>
      <c r="CV36" s="58"/>
      <c r="CW36" s="320">
        <v>20.668570672948576</v>
      </c>
      <c r="CX36" s="320"/>
      <c r="CY36" s="320"/>
      <c r="CZ36" s="320"/>
      <c r="DA36" s="38">
        <f t="shared" si="37"/>
        <v>1.3673890380985199</v>
      </c>
      <c r="DB36" s="320"/>
      <c r="DC36" s="320"/>
      <c r="DD36" s="320"/>
      <c r="DE36" s="193">
        <f t="shared" si="38"/>
        <v>1.367389038098517</v>
      </c>
      <c r="DF36" s="320"/>
      <c r="DG36" s="320"/>
      <c r="DH36" s="320"/>
      <c r="DI36" s="320">
        <f t="shared" si="39"/>
        <v>-0.86977485446716007</v>
      </c>
      <c r="DJ36" s="320"/>
      <c r="DK36" s="320"/>
      <c r="DL36" s="320"/>
      <c r="DM36" s="352">
        <f t="shared" si="153"/>
        <v>0.3705320370124463</v>
      </c>
      <c r="DN36" s="320"/>
      <c r="DO36" s="320"/>
      <c r="DP36" s="320"/>
      <c r="DQ36" s="352">
        <f t="shared" si="154"/>
        <v>1.8223044879782475</v>
      </c>
      <c r="DR36" s="320"/>
      <c r="DS36" s="320"/>
      <c r="DT36" s="320"/>
      <c r="DV36" s="38">
        <f t="shared" si="149"/>
        <v>0</v>
      </c>
      <c r="DW36" s="56"/>
      <c r="DX36" s="38">
        <v>0.71820594028789742</v>
      </c>
    </row>
    <row r="37" spans="1:170" ht="15.75" thickBot="1" x14ac:dyDescent="0.25">
      <c r="A37" s="202">
        <v>30</v>
      </c>
      <c r="B37" s="203">
        <v>43654</v>
      </c>
      <c r="C37" s="60">
        <v>0.59027777777777779</v>
      </c>
      <c r="D37" s="87">
        <f t="shared" si="158"/>
        <v>795.66666666674428</v>
      </c>
      <c r="E37" s="87">
        <f t="shared" si="159"/>
        <v>33.152777777781012</v>
      </c>
      <c r="F37" s="116">
        <v>1</v>
      </c>
      <c r="G37" s="258">
        <v>9900000</v>
      </c>
      <c r="H37" s="258">
        <v>8430000</v>
      </c>
      <c r="I37" s="258">
        <v>8070000</v>
      </c>
      <c r="J37" s="299">
        <f t="shared" si="155"/>
        <v>8800000</v>
      </c>
      <c r="K37" s="61">
        <f t="shared" si="156"/>
        <v>969484.39904930908</v>
      </c>
      <c r="L37" s="257">
        <f t="shared" si="157"/>
        <v>0.11016868171014876</v>
      </c>
      <c r="M37" s="118">
        <f t="shared" si="109"/>
        <v>8800000</v>
      </c>
      <c r="N37" s="204">
        <v>530000</v>
      </c>
      <c r="O37" s="88">
        <f t="shared" si="110"/>
        <v>530000</v>
      </c>
      <c r="P37" s="38">
        <v>7.14</v>
      </c>
      <c r="Q37" s="38">
        <v>67.3</v>
      </c>
      <c r="R37" s="84">
        <f t="shared" si="111"/>
        <v>1.4869210730437886E-2</v>
      </c>
      <c r="S37" s="109">
        <f t="shared" si="152"/>
        <v>0.35686105753050928</v>
      </c>
      <c r="T37" s="311">
        <f t="shared" si="15"/>
        <v>24888888.888934169</v>
      </c>
      <c r="U37" s="84" t="e">
        <f>#REF!</f>
        <v>#REF!</v>
      </c>
      <c r="V37" s="63">
        <f t="shared" si="112"/>
        <v>9330000</v>
      </c>
      <c r="W37" s="89">
        <f t="shared" si="113"/>
        <v>9330000</v>
      </c>
      <c r="X37" s="90">
        <f t="shared" si="114"/>
        <v>0.94319399785637725</v>
      </c>
      <c r="Y37" s="61">
        <f t="shared" si="115"/>
        <v>3969972243.0562768</v>
      </c>
      <c r="Z37" s="148">
        <f t="shared" si="116"/>
        <v>251538855.55557036</v>
      </c>
      <c r="AA37" s="27">
        <v>25.5</v>
      </c>
      <c r="AB37" s="27">
        <v>0</v>
      </c>
      <c r="AC37" s="27">
        <v>0</v>
      </c>
      <c r="AD37" s="27">
        <v>0</v>
      </c>
      <c r="AE37" s="27">
        <f t="shared" si="117"/>
        <v>3.1111111111167702</v>
      </c>
      <c r="AF37" s="27">
        <f t="shared" si="118"/>
        <v>2.1999999999999993</v>
      </c>
      <c r="AG37" s="27">
        <f t="shared" si="119"/>
        <v>25.5</v>
      </c>
      <c r="AH37" s="27">
        <f t="shared" si="120"/>
        <v>0.70714285714157066</v>
      </c>
      <c r="AI37" s="27">
        <f t="shared" si="121"/>
        <v>0.35357142857078533</v>
      </c>
      <c r="AJ37" s="109">
        <f t="shared" si="122"/>
        <v>1.4732142857116055E-2</v>
      </c>
      <c r="AK37" s="109">
        <f t="shared" si="123"/>
        <v>4.017857142849833E-2</v>
      </c>
      <c r="AL37" s="27">
        <f t="shared" si="124"/>
        <v>2.1999999999999993</v>
      </c>
      <c r="AM37" s="27">
        <f t="shared" si="125"/>
        <v>25.5</v>
      </c>
      <c r="AN37" s="27">
        <f t="shared" si="126"/>
        <v>0.70714285714157066</v>
      </c>
      <c r="AO37" s="27">
        <f t="shared" si="127"/>
        <v>0.35357142857078533</v>
      </c>
      <c r="AP37" s="27">
        <f t="shared" si="128"/>
        <v>1.4732142857116055E-2</v>
      </c>
      <c r="AQ37" s="27">
        <f t="shared" si="129"/>
        <v>0</v>
      </c>
      <c r="AR37" s="27">
        <f t="shared" si="130"/>
        <v>0</v>
      </c>
      <c r="AS37" s="27">
        <f t="shared" si="131"/>
        <v>0</v>
      </c>
      <c r="AT37" s="27">
        <f t="shared" si="132"/>
        <v>0</v>
      </c>
      <c r="AU37" s="145">
        <f t="shared" si="133"/>
        <v>8800000</v>
      </c>
      <c r="AV37" s="27">
        <v>1</v>
      </c>
      <c r="AW37" s="27">
        <f t="shared" si="134"/>
        <v>1.4732142857116055E-2</v>
      </c>
      <c r="AX37" s="145">
        <f t="shared" si="135"/>
        <v>129642.85714262129</v>
      </c>
      <c r="AY37" s="145">
        <f t="shared" si="136"/>
        <v>63990727.371038936</v>
      </c>
      <c r="AZ37" s="27">
        <f t="shared" si="137"/>
        <v>0</v>
      </c>
      <c r="BA37" s="145">
        <f t="shared" si="138"/>
        <v>0</v>
      </c>
      <c r="BB37" s="145">
        <f t="shared" si="139"/>
        <v>0</v>
      </c>
      <c r="BC37" s="145">
        <f t="shared" si="140"/>
        <v>72790727.371038944</v>
      </c>
      <c r="BD37" s="145">
        <f t="shared" si="141"/>
        <v>3969972243.0562768</v>
      </c>
      <c r="BE37" s="84">
        <f t="shared" si="142"/>
        <v>1.54165117240815E-2</v>
      </c>
      <c r="BF37" s="84">
        <f t="shared" si="143"/>
        <v>1.4869209534042435E-2</v>
      </c>
      <c r="BG37" s="84">
        <f t="shared" si="144"/>
        <v>1.4869210730437886E-2</v>
      </c>
      <c r="BH37" s="38">
        <f t="shared" si="145"/>
        <v>12.147391000000001</v>
      </c>
      <c r="BI37" s="38"/>
      <c r="BJ37" s="358">
        <f t="shared" si="61"/>
        <v>5.4663259500000008</v>
      </c>
      <c r="BK37" s="38"/>
      <c r="BL37" s="38">
        <f>'Analisis economico'!$C$5/BJ37</f>
        <v>0.65126010277524693</v>
      </c>
      <c r="BM37" s="38"/>
      <c r="BN37" s="38">
        <f t="shared" si="10"/>
        <v>12.147391000000001</v>
      </c>
      <c r="BO37" s="38">
        <f t="shared" si="11"/>
        <v>0.17895709955324587</v>
      </c>
      <c r="BP37" s="38">
        <f t="shared" si="28"/>
        <v>113.16317616826643</v>
      </c>
      <c r="BQ37" s="27">
        <f t="shared" si="146"/>
        <v>125.31056716826643</v>
      </c>
      <c r="BR37" s="211">
        <v>12.147391000000001</v>
      </c>
      <c r="BS37" s="61">
        <f t="shared" si="59"/>
        <v>2.0803253869601461E-8</v>
      </c>
      <c r="BT37" s="61"/>
      <c r="BU37" s="342">
        <f t="shared" si="62"/>
        <v>0.49927809287043506</v>
      </c>
      <c r="BV37" s="342"/>
      <c r="BW37" s="342"/>
      <c r="BX37" s="27">
        <f t="shared" si="30"/>
        <v>0.22678257769999996</v>
      </c>
      <c r="BY37" s="56"/>
      <c r="BZ37" s="38">
        <f t="shared" si="12"/>
        <v>12.147391000000001</v>
      </c>
      <c r="CA37" s="38">
        <f t="shared" si="13"/>
        <v>0.17895709955324587</v>
      </c>
      <c r="CB37" s="245">
        <f t="shared" si="31"/>
        <v>111.65896078364658</v>
      </c>
      <c r="CC37" s="58">
        <f t="shared" si="147"/>
        <v>123.80635178364658</v>
      </c>
      <c r="CD37" s="38">
        <v>46.119</v>
      </c>
      <c r="CE37" s="35"/>
      <c r="CF37" s="80">
        <f t="shared" si="33"/>
        <v>251100188.8889035</v>
      </c>
      <c r="CG37" s="77">
        <f t="shared" si="34"/>
        <v>251100188.8889035</v>
      </c>
      <c r="CH37" s="62"/>
      <c r="CI37" s="93">
        <f t="shared" si="148"/>
        <v>35840000.000065178</v>
      </c>
      <c r="CJ37" s="58"/>
      <c r="CK37" s="320">
        <v>0.22639705508335203</v>
      </c>
      <c r="CL37" s="320"/>
      <c r="CM37" s="320"/>
      <c r="CN37" s="320"/>
      <c r="CO37" s="38">
        <f t="shared" si="35"/>
        <v>-39.795427287543234</v>
      </c>
      <c r="CP37" s="321"/>
      <c r="CQ37" s="321"/>
      <c r="CR37" s="322"/>
      <c r="CS37" s="58">
        <f t="shared" si="36"/>
        <v>-39.795427287543227</v>
      </c>
      <c r="CT37" s="58"/>
      <c r="CU37" s="58"/>
      <c r="CV37" s="58"/>
      <c r="CW37" s="320">
        <v>26.64082471684889</v>
      </c>
      <c r="CX37" s="320"/>
      <c r="CY37" s="320"/>
      <c r="CZ37" s="320"/>
      <c r="DA37" s="38">
        <f t="shared" si="37"/>
        <v>48.675936485521639</v>
      </c>
      <c r="DB37" s="320"/>
      <c r="DC37" s="320"/>
      <c r="DD37" s="320"/>
      <c r="DE37" s="38">
        <f t="shared" si="38"/>
        <v>48.675936485521639</v>
      </c>
      <c r="DF37" s="320"/>
      <c r="DG37" s="320"/>
      <c r="DH37" s="320"/>
      <c r="DI37" s="320">
        <f t="shared" si="39"/>
        <v>-1.1206052687333756</v>
      </c>
      <c r="DJ37" s="320"/>
      <c r="DK37" s="320"/>
      <c r="DL37" s="320"/>
      <c r="DM37" s="352">
        <f t="shared" si="153"/>
        <v>0.37015844928467795</v>
      </c>
      <c r="DN37" s="320"/>
      <c r="DO37" s="320"/>
      <c r="DP37" s="320"/>
      <c r="DQ37" s="352">
        <f t="shared" si="154"/>
        <v>1.8850575510739971</v>
      </c>
      <c r="DR37" s="320"/>
      <c r="DS37" s="320"/>
      <c r="DT37" s="320"/>
      <c r="DV37" s="38">
        <f t="shared" si="149"/>
        <v>0</v>
      </c>
      <c r="DW37" s="56"/>
      <c r="DX37" s="38">
        <v>0.88170751471950137</v>
      </c>
    </row>
    <row r="38" spans="1:170" ht="15.75" thickBot="1" x14ac:dyDescent="0.25">
      <c r="A38" s="229">
        <v>31</v>
      </c>
      <c r="B38" s="203">
        <v>43656</v>
      </c>
      <c r="C38" s="60">
        <v>0.63194444444444442</v>
      </c>
      <c r="D38" s="87">
        <f t="shared" si="158"/>
        <v>844.66666666668607</v>
      </c>
      <c r="E38" s="87">
        <f t="shared" si="159"/>
        <v>35.194444444445253</v>
      </c>
      <c r="F38" s="116">
        <v>1</v>
      </c>
      <c r="G38" s="258">
        <v>9960000</v>
      </c>
      <c r="H38" s="258">
        <v>9450000</v>
      </c>
      <c r="I38" s="258"/>
      <c r="J38" s="61">
        <f t="shared" si="155"/>
        <v>9705000</v>
      </c>
      <c r="K38" s="61">
        <f t="shared" si="156"/>
        <v>360624.45840513922</v>
      </c>
      <c r="L38" s="257">
        <f t="shared" si="157"/>
        <v>3.715862528646463E-2</v>
      </c>
      <c r="M38" s="118">
        <f t="shared" si="109"/>
        <v>9705000</v>
      </c>
      <c r="N38" s="204">
        <v>675000</v>
      </c>
      <c r="O38" s="88">
        <f t="shared" si="110"/>
        <v>675000</v>
      </c>
      <c r="P38" s="38">
        <v>7.11</v>
      </c>
      <c r="Q38" s="38">
        <v>62</v>
      </c>
      <c r="R38" s="84">
        <f t="shared" si="111"/>
        <v>1.6870323732234151E-2</v>
      </c>
      <c r="S38" s="84"/>
      <c r="T38" s="311">
        <f t="shared" si="15"/>
        <v>27519965.277745061</v>
      </c>
      <c r="U38" s="84" t="e">
        <f>#REF!</f>
        <v>#REF!</v>
      </c>
      <c r="V38" s="63">
        <f t="shared" si="112"/>
        <v>10380000</v>
      </c>
      <c r="W38" s="89">
        <f t="shared" si="113"/>
        <v>10380000</v>
      </c>
      <c r="X38" s="90">
        <f t="shared" si="114"/>
        <v>0.93497109826589597</v>
      </c>
      <c r="Y38" s="61">
        <f t="shared" si="115"/>
        <v>4423344743.0557384</v>
      </c>
      <c r="Z38" s="148">
        <f t="shared" si="116"/>
        <v>281061355.55553532</v>
      </c>
      <c r="AA38" s="27">
        <v>26.94</v>
      </c>
      <c r="AB38" s="27">
        <v>0</v>
      </c>
      <c r="AC38" s="27">
        <v>0</v>
      </c>
      <c r="AD38" s="27">
        <v>0</v>
      </c>
      <c r="AE38" s="27">
        <f t="shared" si="117"/>
        <v>2.0416666666642413</v>
      </c>
      <c r="AF38" s="27">
        <f t="shared" si="118"/>
        <v>1.4400000000000013</v>
      </c>
      <c r="AG38" s="27">
        <f t="shared" si="119"/>
        <v>26.94</v>
      </c>
      <c r="AH38" s="27">
        <f t="shared" si="120"/>
        <v>0.70530612244981805</v>
      </c>
      <c r="AI38" s="27">
        <f t="shared" si="121"/>
        <v>0.35265306122490903</v>
      </c>
      <c r="AJ38" s="109">
        <f t="shared" si="122"/>
        <v>1.4693877551037876E-2</v>
      </c>
      <c r="AK38" s="109">
        <f t="shared" si="123"/>
        <v>3.6337255149398145E-2</v>
      </c>
      <c r="AL38" s="27">
        <f t="shared" si="124"/>
        <v>1.4400000000000013</v>
      </c>
      <c r="AM38" s="27">
        <f t="shared" si="125"/>
        <v>26.94</v>
      </c>
      <c r="AN38" s="27">
        <f t="shared" si="126"/>
        <v>0.70530612244981805</v>
      </c>
      <c r="AO38" s="27">
        <f t="shared" si="127"/>
        <v>0.35265306122490903</v>
      </c>
      <c r="AP38" s="27">
        <f t="shared" si="128"/>
        <v>1.4693877551037876E-2</v>
      </c>
      <c r="AQ38" s="27">
        <f t="shared" si="129"/>
        <v>0</v>
      </c>
      <c r="AR38" s="27">
        <f t="shared" si="130"/>
        <v>0</v>
      </c>
      <c r="AS38" s="27">
        <f t="shared" si="131"/>
        <v>0</v>
      </c>
      <c r="AT38" s="27">
        <f t="shared" si="132"/>
        <v>0</v>
      </c>
      <c r="AU38" s="145">
        <f t="shared" si="133"/>
        <v>9705000</v>
      </c>
      <c r="AV38" s="27">
        <v>1</v>
      </c>
      <c r="AW38" s="27">
        <f t="shared" si="134"/>
        <v>1.4693877551037876E-2</v>
      </c>
      <c r="AX38" s="145">
        <f t="shared" si="135"/>
        <v>142604.08163282258</v>
      </c>
      <c r="AY38" s="145">
        <f t="shared" si="136"/>
        <v>70660777.371029392</v>
      </c>
      <c r="AZ38" s="27">
        <f t="shared" si="137"/>
        <v>0</v>
      </c>
      <c r="BA38" s="145">
        <f t="shared" si="138"/>
        <v>0</v>
      </c>
      <c r="BB38" s="145">
        <f t="shared" si="139"/>
        <v>0</v>
      </c>
      <c r="BC38" s="145">
        <f t="shared" si="140"/>
        <v>80365777.371029392</v>
      </c>
      <c r="BD38" s="145">
        <f t="shared" si="141"/>
        <v>4423344743.0557384</v>
      </c>
      <c r="BE38" s="84">
        <f t="shared" si="142"/>
        <v>1.6708225576097895E-2</v>
      </c>
      <c r="BF38" s="84">
        <f t="shared" si="143"/>
        <v>1.6868263287070029E-2</v>
      </c>
      <c r="BG38" s="84">
        <f t="shared" si="144"/>
        <v>1.6870323732234151E-2</v>
      </c>
      <c r="BH38" s="38">
        <f t="shared" si="145"/>
        <v>19.826721666666664</v>
      </c>
      <c r="BI38" s="38"/>
      <c r="BJ38" s="38">
        <f t="shared" si="61"/>
        <v>8.9220247499999985</v>
      </c>
      <c r="BK38" s="38"/>
      <c r="BL38" s="38">
        <f>'Analisis economico'!$C$5/BJ38</f>
        <v>0.39901256718661315</v>
      </c>
      <c r="BM38" s="38"/>
      <c r="BN38" s="38">
        <f t="shared" si="10"/>
        <v>19.826721666666664</v>
      </c>
      <c r="BO38" s="38">
        <f t="shared" si="11"/>
        <v>0.29133142040850957</v>
      </c>
      <c r="BP38" s="38">
        <f t="shared" si="28"/>
        <v>124.68524490731575</v>
      </c>
      <c r="BQ38" s="27">
        <f t="shared" si="146"/>
        <v>144.51196657398242</v>
      </c>
      <c r="BR38" s="211">
        <v>19.826721666666664</v>
      </c>
      <c r="BS38" s="61">
        <f t="shared" si="59"/>
        <v>4.2327250167774773E-8</v>
      </c>
      <c r="BT38" s="61"/>
      <c r="BU38" s="342">
        <f t="shared" si="62"/>
        <v>1.0158540040265946</v>
      </c>
      <c r="BV38" s="342"/>
      <c r="BW38" s="342"/>
      <c r="BX38" s="27">
        <f t="shared" si="30"/>
        <v>0.24980393881999999</v>
      </c>
      <c r="BY38" s="56"/>
      <c r="BZ38" s="38">
        <f t="shared" si="12"/>
        <v>19.826721666666664</v>
      </c>
      <c r="CA38" s="38">
        <f t="shared" si="13"/>
        <v>0.29133142040850957</v>
      </c>
      <c r="CB38" s="245">
        <f t="shared" si="31"/>
        <v>123.18102952269589</v>
      </c>
      <c r="CC38" s="58">
        <f t="shared" si="147"/>
        <v>143.00775118936255</v>
      </c>
      <c r="CD38" s="38">
        <v>47.119</v>
      </c>
      <c r="CE38" s="35"/>
      <c r="CF38" s="80">
        <f t="shared" si="33"/>
        <v>280622688.88886845</v>
      </c>
      <c r="CG38" s="77">
        <f t="shared" si="34"/>
        <v>280622688.88886845</v>
      </c>
      <c r="CH38" s="62"/>
      <c r="CI38" s="93">
        <f t="shared" si="148"/>
        <v>29522499.999964952</v>
      </c>
      <c r="CJ38" s="58"/>
      <c r="CK38" s="38">
        <v>0.14778716276778647</v>
      </c>
      <c r="CL38" s="38"/>
      <c r="CM38" s="38"/>
      <c r="CN38" s="38"/>
      <c r="CO38" s="38">
        <f t="shared" si="35"/>
        <v>-37.990622664386635</v>
      </c>
      <c r="CP38" s="37"/>
      <c r="CQ38" s="37"/>
      <c r="CR38" s="56"/>
      <c r="CS38" s="58">
        <f t="shared" si="36"/>
        <v>-37.990622664386642</v>
      </c>
      <c r="CT38" s="58"/>
      <c r="CU38" s="58"/>
      <c r="CV38" s="58"/>
      <c r="CW38" s="38">
        <v>27.586563578899909</v>
      </c>
      <c r="CX38" s="38"/>
      <c r="CY38" s="38"/>
      <c r="CZ38" s="38"/>
      <c r="DA38" s="38">
        <f t="shared" si="37"/>
        <v>45.145214252176558</v>
      </c>
      <c r="DB38" s="38"/>
      <c r="DC38" s="38"/>
      <c r="DD38" s="38"/>
      <c r="DE38" s="38">
        <f t="shared" si="38"/>
        <v>45.145214252176558</v>
      </c>
      <c r="DF38" s="38"/>
      <c r="DG38" s="38"/>
      <c r="DH38" s="38"/>
      <c r="DI38" s="38">
        <f t="shared" si="39"/>
        <v>-1.156562024963929</v>
      </c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V38" s="38">
        <f t="shared" si="149"/>
        <v>0</v>
      </c>
      <c r="DW38" s="56"/>
      <c r="DX38" s="38">
        <v>0.97016530583041605</v>
      </c>
    </row>
    <row r="39" spans="1:170" ht="15.75" thickBot="1" x14ac:dyDescent="0.25">
      <c r="A39" s="229">
        <v>32</v>
      </c>
      <c r="B39" s="203">
        <v>43657</v>
      </c>
      <c r="C39" s="60">
        <v>0.71180555555555547</v>
      </c>
      <c r="D39" s="87">
        <f t="shared" si="158"/>
        <v>870.58333333331393</v>
      </c>
      <c r="E39" s="87">
        <f t="shared" si="159"/>
        <v>36.274305555554747</v>
      </c>
      <c r="F39" s="116">
        <v>1</v>
      </c>
      <c r="G39" s="258">
        <v>9420000</v>
      </c>
      <c r="H39" s="258">
        <v>9330000</v>
      </c>
      <c r="I39" s="258"/>
      <c r="J39" s="61">
        <f t="shared" si="155"/>
        <v>9375000</v>
      </c>
      <c r="K39" s="61">
        <f t="shared" si="156"/>
        <v>63639.610306789276</v>
      </c>
      <c r="L39" s="257">
        <f t="shared" si="157"/>
        <v>6.788225099390856E-3</v>
      </c>
      <c r="M39" s="118">
        <f t="shared" si="109"/>
        <v>9375000</v>
      </c>
      <c r="N39" s="204">
        <v>540000</v>
      </c>
      <c r="O39" s="88">
        <f t="shared" si="110"/>
        <v>540000</v>
      </c>
      <c r="P39" s="38">
        <v>7.11</v>
      </c>
      <c r="Q39" s="38">
        <v>45.8</v>
      </c>
      <c r="R39" s="84">
        <f t="shared" si="111"/>
        <v>1.2893937655350997E-2</v>
      </c>
      <c r="S39" s="84"/>
      <c r="T39" s="311">
        <f t="shared" si="15"/>
        <v>26641310.306977723</v>
      </c>
      <c r="U39" s="84" t="e">
        <f>#REF!</f>
        <v>#REF!</v>
      </c>
      <c r="V39" s="63">
        <f t="shared" si="112"/>
        <v>9915000</v>
      </c>
      <c r="W39" s="89">
        <f t="shared" si="113"/>
        <v>9915000</v>
      </c>
      <c r="X39" s="90">
        <f t="shared" si="114"/>
        <v>0.9455370650529501</v>
      </c>
      <c r="Y39" s="61">
        <f t="shared" si="115"/>
        <v>4670589743.0553684</v>
      </c>
      <c r="Z39" s="148">
        <f t="shared" si="116"/>
        <v>296805730.55551171</v>
      </c>
      <c r="AA39" s="27">
        <v>27.7</v>
      </c>
      <c r="AB39" s="27">
        <v>0</v>
      </c>
      <c r="AC39" s="27">
        <v>0</v>
      </c>
      <c r="AD39" s="27">
        <v>0</v>
      </c>
      <c r="AE39" s="27">
        <f t="shared" si="117"/>
        <v>1.0798611111094942</v>
      </c>
      <c r="AF39" s="27">
        <f t="shared" si="118"/>
        <v>0.75999999999999801</v>
      </c>
      <c r="AG39" s="27">
        <f t="shared" si="119"/>
        <v>27.7</v>
      </c>
      <c r="AH39" s="27">
        <f t="shared" si="120"/>
        <v>0.70379421221970151</v>
      </c>
      <c r="AI39" s="27">
        <f t="shared" si="121"/>
        <v>0.35189710610985075</v>
      </c>
      <c r="AJ39" s="109">
        <f t="shared" si="122"/>
        <v>1.4662379421243781E-2</v>
      </c>
      <c r="AK39" s="109">
        <f t="shared" si="123"/>
        <v>3.7535691318384079E-2</v>
      </c>
      <c r="AL39" s="27">
        <f t="shared" si="124"/>
        <v>0.75999999999999801</v>
      </c>
      <c r="AM39" s="27">
        <f t="shared" si="125"/>
        <v>27.7</v>
      </c>
      <c r="AN39" s="27">
        <f t="shared" si="126"/>
        <v>0.70379421221970151</v>
      </c>
      <c r="AO39" s="27">
        <f t="shared" si="127"/>
        <v>0.35189710610985075</v>
      </c>
      <c r="AP39" s="27">
        <f t="shared" si="128"/>
        <v>1.4662379421243781E-2</v>
      </c>
      <c r="AQ39" s="27">
        <f t="shared" si="129"/>
        <v>0</v>
      </c>
      <c r="AR39" s="27">
        <f t="shared" si="130"/>
        <v>0</v>
      </c>
      <c r="AS39" s="27">
        <f t="shared" si="131"/>
        <v>0</v>
      </c>
      <c r="AT39" s="27">
        <f t="shared" si="132"/>
        <v>0</v>
      </c>
      <c r="AU39" s="145">
        <f t="shared" si="133"/>
        <v>9375000</v>
      </c>
      <c r="AV39" s="27">
        <v>1</v>
      </c>
      <c r="AW39" s="27">
        <f t="shared" si="134"/>
        <v>1.4662379421243781E-2</v>
      </c>
      <c r="AX39" s="145">
        <f t="shared" si="135"/>
        <v>137459.80707416043</v>
      </c>
      <c r="AY39" s="145">
        <f t="shared" si="136"/>
        <v>74289938.595518619</v>
      </c>
      <c r="AZ39" s="27">
        <f t="shared" si="137"/>
        <v>0</v>
      </c>
      <c r="BA39" s="145">
        <f t="shared" si="138"/>
        <v>0</v>
      </c>
      <c r="BB39" s="145">
        <f t="shared" si="139"/>
        <v>0</v>
      </c>
      <c r="BC39" s="145">
        <f t="shared" si="140"/>
        <v>83664938.595518619</v>
      </c>
      <c r="BD39" s="145">
        <f t="shared" si="141"/>
        <v>4670589743.0553684</v>
      </c>
      <c r="BE39" s="84">
        <f t="shared" si="142"/>
        <v>1.3343692388093447E-2</v>
      </c>
      <c r="BF39" s="84">
        <f t="shared" si="143"/>
        <v>1.2894247153540204E-2</v>
      </c>
      <c r="BG39" s="84">
        <f t="shared" si="144"/>
        <v>1.2893937655350997E-2</v>
      </c>
      <c r="BH39" s="38">
        <f t="shared" si="145"/>
        <v>24.852828666666667</v>
      </c>
      <c r="BI39" s="38"/>
      <c r="BJ39" s="38">
        <f t="shared" si="61"/>
        <v>11.183772900000001</v>
      </c>
      <c r="BK39" s="38"/>
      <c r="BL39" s="38">
        <f>'Analisis economico'!$C$5/BJ39</f>
        <v>0.31831833781245683</v>
      </c>
      <c r="BM39" s="38"/>
      <c r="BN39" s="38">
        <f t="shared" si="10"/>
        <v>24.852828666666667</v>
      </c>
      <c r="BO39" s="38">
        <f t="shared" si="11"/>
        <v>0.36440160360183088</v>
      </c>
      <c r="BP39" s="38">
        <f t="shared" si="28"/>
        <v>133.1824520101037</v>
      </c>
      <c r="BQ39" s="27">
        <f t="shared" si="146"/>
        <v>158.03528067677036</v>
      </c>
      <c r="BR39" s="211">
        <v>24.852828666666667</v>
      </c>
      <c r="BS39" s="61">
        <f t="shared" si="59"/>
        <v>5.4663275549974929E-8</v>
      </c>
      <c r="BT39" s="61"/>
      <c r="BU39" s="342">
        <f t="shared" si="62"/>
        <v>1.3119186131993983</v>
      </c>
      <c r="BV39" s="342"/>
      <c r="BW39" s="342"/>
      <c r="BX39" s="27">
        <f t="shared" si="30"/>
        <v>0.26678216794666659</v>
      </c>
      <c r="BY39" s="56"/>
      <c r="BZ39" s="38">
        <f t="shared" si="12"/>
        <v>24.852828666666667</v>
      </c>
      <c r="CA39" s="38">
        <f t="shared" si="13"/>
        <v>0.36440160360183088</v>
      </c>
      <c r="CB39" s="245">
        <f t="shared" si="31"/>
        <v>131.67823662548383</v>
      </c>
      <c r="CC39" s="58">
        <f t="shared" si="147"/>
        <v>156.53106529215052</v>
      </c>
      <c r="CD39" s="38">
        <v>48.119</v>
      </c>
      <c r="CE39" s="35"/>
      <c r="CF39" s="80">
        <f t="shared" si="33"/>
        <v>296367063.88884485</v>
      </c>
      <c r="CG39" s="77">
        <f t="shared" si="34"/>
        <v>296367063.88884485</v>
      </c>
      <c r="CH39" s="62"/>
      <c r="CI39" s="93">
        <f t="shared" si="148"/>
        <v>15744374.999976397</v>
      </c>
      <c r="CJ39" s="58"/>
      <c r="CK39" s="38">
        <v>0.37076376322453558</v>
      </c>
      <c r="CL39" s="38"/>
      <c r="CM39" s="38"/>
      <c r="CN39" s="38"/>
      <c r="CO39" s="38">
        <f t="shared" si="35"/>
        <v>-35.586154315022995</v>
      </c>
      <c r="CP39" s="37"/>
      <c r="CQ39" s="37"/>
      <c r="CR39" s="56"/>
      <c r="CS39" s="58">
        <f t="shared" si="36"/>
        <v>-35.586154315022995</v>
      </c>
      <c r="CT39" s="58"/>
      <c r="CU39" s="58"/>
      <c r="CV39" s="58"/>
      <c r="CW39" s="38">
        <v>27.67525439431985</v>
      </c>
      <c r="CX39" s="38"/>
      <c r="CY39" s="38"/>
      <c r="CZ39" s="38"/>
      <c r="DA39" s="38">
        <f t="shared" si="37"/>
        <v>42.825683958614015</v>
      </c>
      <c r="DB39" s="38"/>
      <c r="DC39" s="38"/>
      <c r="DD39" s="38"/>
      <c r="DE39" s="38">
        <f t="shared" si="38"/>
        <v>42.825683958614015</v>
      </c>
      <c r="DF39" s="38"/>
      <c r="DG39" s="38"/>
      <c r="DH39" s="38"/>
      <c r="DI39" s="38">
        <f t="shared" si="39"/>
        <v>-1.1712293244268026</v>
      </c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V39" s="38">
        <f t="shared" si="149"/>
        <v>0</v>
      </c>
      <c r="DW39" s="56"/>
      <c r="DX39" s="38">
        <v>1.0162672653386748</v>
      </c>
    </row>
    <row r="40" spans="1:170" ht="15.75" thickBot="1" x14ac:dyDescent="0.25">
      <c r="A40" s="229">
        <v>33</v>
      </c>
      <c r="B40" s="203">
        <v>43659</v>
      </c>
      <c r="C40" s="60">
        <v>0.34027777777777773</v>
      </c>
      <c r="D40" s="87">
        <f t="shared" si="158"/>
        <v>909.66666666674428</v>
      </c>
      <c r="E40" s="87">
        <f t="shared" si="159"/>
        <v>37.902777777781012</v>
      </c>
      <c r="F40" s="116">
        <v>1</v>
      </c>
      <c r="G40" s="258">
        <v>7830000</v>
      </c>
      <c r="H40" s="258">
        <v>7140000</v>
      </c>
      <c r="I40" s="258"/>
      <c r="J40" s="61">
        <f>AVERAGE(G40:H40)</f>
        <v>7485000</v>
      </c>
      <c r="K40" s="61">
        <f>STDEV(G40:H40)</f>
        <v>487903.67901871778</v>
      </c>
      <c r="L40" s="257">
        <f>K40/J40</f>
        <v>6.5184192253669712E-2</v>
      </c>
      <c r="M40" s="118">
        <f t="shared" si="109"/>
        <v>7485000</v>
      </c>
      <c r="N40" s="204">
        <v>645000</v>
      </c>
      <c r="O40" s="88">
        <f t="shared" si="110"/>
        <v>645000</v>
      </c>
      <c r="P40" s="38">
        <v>7.13</v>
      </c>
      <c r="Q40" s="38">
        <v>60</v>
      </c>
      <c r="R40" s="84">
        <f t="shared" si="111"/>
        <v>9.633573430798157E-3</v>
      </c>
      <c r="S40" s="84"/>
      <c r="T40" s="311">
        <f t="shared" si="15"/>
        <v>21198460.144980118</v>
      </c>
      <c r="U40" s="84" t="e">
        <f>#REF!</f>
        <v>#REF!</v>
      </c>
      <c r="V40" s="63">
        <f t="shared" si="112"/>
        <v>8130000</v>
      </c>
      <c r="W40" s="89">
        <f t="shared" si="113"/>
        <v>8130000</v>
      </c>
      <c r="X40" s="90">
        <f t="shared" si="114"/>
        <v>0.92066420664206639</v>
      </c>
      <c r="Y40" s="61">
        <f t="shared" si="115"/>
        <v>5000062243.0561867</v>
      </c>
      <c r="Z40" s="148">
        <f t="shared" si="116"/>
        <v>319962605.55556917</v>
      </c>
      <c r="AA40" s="27">
        <v>28.85</v>
      </c>
      <c r="AB40" s="27">
        <v>0</v>
      </c>
      <c r="AC40" s="27">
        <v>0</v>
      </c>
      <c r="AD40" s="27">
        <v>0</v>
      </c>
      <c r="AE40" s="27">
        <f t="shared" si="117"/>
        <v>1.6284722222262644</v>
      </c>
      <c r="AF40" s="27">
        <f t="shared" si="118"/>
        <v>1.1500000000000021</v>
      </c>
      <c r="AG40" s="27">
        <f t="shared" si="119"/>
        <v>28.85</v>
      </c>
      <c r="AH40" s="27">
        <f t="shared" si="120"/>
        <v>0.70618336886818445</v>
      </c>
      <c r="AI40" s="27">
        <f t="shared" si="121"/>
        <v>0.35309168443409222</v>
      </c>
      <c r="AJ40" s="109">
        <f t="shared" si="122"/>
        <v>1.4712153518087176E-2</v>
      </c>
      <c r="AK40" s="109">
        <f t="shared" si="123"/>
        <v>4.7173237733345648E-2</v>
      </c>
      <c r="AL40" s="27">
        <f t="shared" si="124"/>
        <v>1.1500000000000021</v>
      </c>
      <c r="AM40" s="27">
        <f t="shared" si="125"/>
        <v>28.85</v>
      </c>
      <c r="AN40" s="27">
        <f t="shared" si="126"/>
        <v>0.70618336886818445</v>
      </c>
      <c r="AO40" s="27">
        <f t="shared" si="127"/>
        <v>0.35309168443409222</v>
      </c>
      <c r="AP40" s="27">
        <f t="shared" si="128"/>
        <v>1.4712153518087176E-2</v>
      </c>
      <c r="AQ40" s="27">
        <f t="shared" si="129"/>
        <v>0</v>
      </c>
      <c r="AR40" s="27">
        <f t="shared" si="130"/>
        <v>0</v>
      </c>
      <c r="AS40" s="27">
        <f t="shared" si="131"/>
        <v>0</v>
      </c>
      <c r="AT40" s="27">
        <f t="shared" si="132"/>
        <v>0</v>
      </c>
      <c r="AU40" s="145">
        <f t="shared" si="133"/>
        <v>7485000</v>
      </c>
      <c r="AV40" s="27">
        <v>1</v>
      </c>
      <c r="AW40" s="27">
        <f t="shared" si="134"/>
        <v>1.4712153518087176E-2</v>
      </c>
      <c r="AX40" s="145">
        <f t="shared" si="135"/>
        <v>110120.46908288251</v>
      </c>
      <c r="AY40" s="145">
        <f t="shared" si="136"/>
        <v>79128069.825432837</v>
      </c>
      <c r="AZ40" s="27">
        <f t="shared" si="137"/>
        <v>0</v>
      </c>
      <c r="BA40" s="145">
        <f t="shared" si="138"/>
        <v>0</v>
      </c>
      <c r="BB40" s="145">
        <f t="shared" si="139"/>
        <v>0</v>
      </c>
      <c r="BC40" s="145">
        <f t="shared" si="140"/>
        <v>86613069.825432837</v>
      </c>
      <c r="BD40" s="145">
        <f t="shared" si="141"/>
        <v>5000062243.0561867</v>
      </c>
      <c r="BE40" s="84">
        <f t="shared" si="142"/>
        <v>8.9480342969652897E-3</v>
      </c>
      <c r="BF40" s="84">
        <f t="shared" si="143"/>
        <v>9.6501815822676792E-3</v>
      </c>
      <c r="BG40" s="84">
        <f t="shared" si="144"/>
        <v>9.633573430798157E-3</v>
      </c>
      <c r="BH40" s="38">
        <f t="shared" si="145"/>
        <v>31.510918666666665</v>
      </c>
      <c r="BI40" s="38"/>
      <c r="BJ40" s="38">
        <f t="shared" si="61"/>
        <v>14.1799134</v>
      </c>
      <c r="BK40" s="38"/>
      <c r="BL40" s="38">
        <f>'Analisis economico'!$C$5/BJ40</f>
        <v>0.25105936119468825</v>
      </c>
      <c r="BM40" s="38"/>
      <c r="BN40" s="38">
        <f t="shared" ref="BN40:BN71" si="160">BH40*F40</f>
        <v>31.510918666666665</v>
      </c>
      <c r="BO40" s="38">
        <f t="shared" ref="BO40:BO71" si="161">BN40*AJ40</f>
        <v>0.46359347291995884</v>
      </c>
      <c r="BP40" s="38">
        <f t="shared" si="28"/>
        <v>149.36285579717384</v>
      </c>
      <c r="BQ40" s="27">
        <f t="shared" si="146"/>
        <v>180.8737744638405</v>
      </c>
      <c r="BR40" s="211">
        <v>31.510918666666665</v>
      </c>
      <c r="BS40" s="61">
        <f t="shared" si="59"/>
        <v>6.9391731808501809E-8</v>
      </c>
      <c r="BT40" s="61"/>
      <c r="BU40" s="342">
        <f t="shared" si="62"/>
        <v>1.6654015634040433</v>
      </c>
      <c r="BV40" s="342"/>
      <c r="BW40" s="342"/>
      <c r="BX40" s="27">
        <f t="shared" si="30"/>
        <v>0.29919132266333331</v>
      </c>
      <c r="BY40" s="56"/>
      <c r="BZ40" s="38">
        <f t="shared" ref="BZ40:BZ60" si="162">BR40</f>
        <v>31.510918666666665</v>
      </c>
      <c r="CA40" s="38">
        <f t="shared" ref="CA40:CA71" si="163">BZ40*AJ40</f>
        <v>0.46359347291995884</v>
      </c>
      <c r="CB40" s="245">
        <f t="shared" si="31"/>
        <v>147.85864041255397</v>
      </c>
      <c r="CC40" s="58">
        <f t="shared" si="147"/>
        <v>179.36955907922064</v>
      </c>
      <c r="CD40" s="38">
        <v>49.119</v>
      </c>
      <c r="CE40" s="35"/>
      <c r="CF40" s="80">
        <f t="shared" si="33"/>
        <v>319523938.88890231</v>
      </c>
      <c r="CG40" s="77">
        <f t="shared" si="34"/>
        <v>319523938.88890231</v>
      </c>
      <c r="CH40" s="62"/>
      <c r="CI40" s="93">
        <f t="shared" si="148"/>
        <v>23156875.000057459</v>
      </c>
      <c r="CJ40" s="58"/>
      <c r="CK40" s="38">
        <v>0.18360374165822801</v>
      </c>
      <c r="CL40" s="38"/>
      <c r="CM40" s="38"/>
      <c r="CN40" s="38"/>
      <c r="CO40" s="38">
        <f t="shared" si="35"/>
        <v>-41.969449237427142</v>
      </c>
      <c r="CP40" s="37"/>
      <c r="CQ40" s="37"/>
      <c r="CR40" s="56"/>
      <c r="CS40" s="58">
        <f t="shared" si="36"/>
        <v>-41.969449237427142</v>
      </c>
      <c r="CT40" s="58"/>
      <c r="CU40" s="58"/>
      <c r="CV40" s="58"/>
      <c r="CW40" s="38">
        <v>27.559954805373408</v>
      </c>
      <c r="CX40" s="38"/>
      <c r="CY40" s="38"/>
      <c r="CZ40" s="38"/>
      <c r="DA40" s="38">
        <f t="shared" si="37"/>
        <v>47.848676462910461</v>
      </c>
      <c r="DB40" s="38"/>
      <c r="DC40" s="38"/>
      <c r="DD40" s="38"/>
      <c r="DE40" s="38">
        <f t="shared" si="38"/>
        <v>47.848676462910461</v>
      </c>
      <c r="DF40" s="38"/>
      <c r="DG40" s="38"/>
      <c r="DH40" s="38"/>
      <c r="DI40" s="38">
        <f t="shared" si="39"/>
        <v>-1.1571840889118747</v>
      </c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V40" s="38">
        <f t="shared" si="149"/>
        <v>0</v>
      </c>
      <c r="DW40" s="56"/>
      <c r="DX40" s="38">
        <v>1.1021114769474931</v>
      </c>
      <c r="FK40"/>
      <c r="FL40"/>
      <c r="FM40"/>
      <c r="FN40"/>
    </row>
    <row r="41" spans="1:170" ht="15.75" thickBot="1" x14ac:dyDescent="0.25">
      <c r="A41" s="229">
        <v>34</v>
      </c>
      <c r="B41" s="203">
        <v>43660</v>
      </c>
      <c r="C41" s="60">
        <v>0.34027777777777773</v>
      </c>
      <c r="D41" s="87">
        <f t="shared" si="158"/>
        <v>933.66666666674428</v>
      </c>
      <c r="E41" s="87">
        <f t="shared" si="159"/>
        <v>38.902777777781012</v>
      </c>
      <c r="F41" s="116">
        <v>1</v>
      </c>
      <c r="G41" s="258">
        <v>6870000</v>
      </c>
      <c r="H41" s="258">
        <v>6930000</v>
      </c>
      <c r="I41" s="258"/>
      <c r="J41" s="61">
        <f>AVERAGE(G41:H41)</f>
        <v>6900000</v>
      </c>
      <c r="K41" s="61">
        <f>STDEV(G41:H41)</f>
        <v>42426.406871192848</v>
      </c>
      <c r="L41" s="257">
        <f t="shared" si="157"/>
        <v>6.1487546190134561E-3</v>
      </c>
      <c r="M41" s="118">
        <f t="shared" si="109"/>
        <v>6900000</v>
      </c>
      <c r="N41" s="204">
        <v>615000</v>
      </c>
      <c r="O41" s="88">
        <f t="shared" si="110"/>
        <v>615000</v>
      </c>
      <c r="P41" s="38">
        <v>7.13</v>
      </c>
      <c r="Q41" s="38">
        <v>51.6</v>
      </c>
      <c r="R41" s="84">
        <f t="shared" si="111"/>
        <v>1.1305837485217443E-2</v>
      </c>
      <c r="S41" s="84"/>
      <c r="T41" s="311">
        <f t="shared" si="15"/>
        <v>19714285.714285735</v>
      </c>
      <c r="U41" s="84" t="e">
        <f>#REF!</f>
        <v>#REF!</v>
      </c>
      <c r="V41" s="63">
        <f t="shared" si="112"/>
        <v>7515000</v>
      </c>
      <c r="W41" s="89">
        <f t="shared" si="113"/>
        <v>7515000</v>
      </c>
      <c r="X41" s="90">
        <f t="shared" si="114"/>
        <v>0.91816367265469057</v>
      </c>
      <c r="Y41" s="61">
        <f t="shared" si="115"/>
        <v>5172682243.0561867</v>
      </c>
      <c r="Z41" s="148">
        <f t="shared" si="116"/>
        <v>335082605.55556917</v>
      </c>
      <c r="AA41" s="27">
        <v>29.55</v>
      </c>
      <c r="AB41" s="27">
        <v>0</v>
      </c>
      <c r="AC41" s="27">
        <v>0</v>
      </c>
      <c r="AD41" s="27">
        <v>0</v>
      </c>
      <c r="AE41" s="27">
        <f t="shared" si="117"/>
        <v>1</v>
      </c>
      <c r="AF41" s="27">
        <f t="shared" si="118"/>
        <v>0.69999999999999929</v>
      </c>
      <c r="AG41" s="27">
        <f t="shared" si="119"/>
        <v>29.55</v>
      </c>
      <c r="AH41" s="27">
        <f t="shared" si="120"/>
        <v>0.69999999999999929</v>
      </c>
      <c r="AI41" s="27">
        <f t="shared" si="121"/>
        <v>0.34999999999999964</v>
      </c>
      <c r="AJ41" s="109">
        <f t="shared" si="122"/>
        <v>1.4583333333333318E-2</v>
      </c>
      <c r="AK41" s="109">
        <f t="shared" si="123"/>
        <v>5.0724637681159368E-2</v>
      </c>
      <c r="AL41" s="27">
        <f t="shared" si="124"/>
        <v>0.69999999999999929</v>
      </c>
      <c r="AM41" s="27">
        <f t="shared" si="125"/>
        <v>29.55</v>
      </c>
      <c r="AN41" s="27">
        <f t="shared" si="126"/>
        <v>0.69999999999999929</v>
      </c>
      <c r="AO41" s="27">
        <f t="shared" si="127"/>
        <v>0.34999999999999964</v>
      </c>
      <c r="AP41" s="27">
        <f t="shared" si="128"/>
        <v>1.4583333333333318E-2</v>
      </c>
      <c r="AQ41" s="27">
        <f t="shared" si="129"/>
        <v>0</v>
      </c>
      <c r="AR41" s="27">
        <f t="shared" si="130"/>
        <v>0</v>
      </c>
      <c r="AS41" s="27">
        <f t="shared" si="131"/>
        <v>0</v>
      </c>
      <c r="AT41" s="27">
        <f t="shared" si="132"/>
        <v>0</v>
      </c>
      <c r="AU41" s="145">
        <f t="shared" si="133"/>
        <v>6900000</v>
      </c>
      <c r="AV41" s="27">
        <v>1</v>
      </c>
      <c r="AW41" s="27">
        <f t="shared" si="134"/>
        <v>1.4583333333333318E-2</v>
      </c>
      <c r="AX41" s="145">
        <f t="shared" si="135"/>
        <v>100624.9999999999</v>
      </c>
      <c r="AY41" s="145">
        <f t="shared" si="136"/>
        <v>81657015.454427421</v>
      </c>
      <c r="AZ41" s="27">
        <f t="shared" si="137"/>
        <v>0</v>
      </c>
      <c r="BA41" s="145">
        <f t="shared" si="138"/>
        <v>0</v>
      </c>
      <c r="BB41" s="145">
        <f t="shared" si="139"/>
        <v>0</v>
      </c>
      <c r="BC41" s="145">
        <f t="shared" si="140"/>
        <v>88557015.454427421</v>
      </c>
      <c r="BD41" s="145">
        <f t="shared" si="141"/>
        <v>5172682243.0561867</v>
      </c>
      <c r="BE41" s="84">
        <f t="shared" si="142"/>
        <v>1.1261415994639E-2</v>
      </c>
      <c r="BF41" s="84">
        <f t="shared" si="143"/>
        <v>1.1307526366251184E-2</v>
      </c>
      <c r="BG41" s="84">
        <f t="shared" si="144"/>
        <v>1.1305837485217443E-2</v>
      </c>
      <c r="BH41" s="38">
        <f t="shared" si="145"/>
        <v>32.181733666666666</v>
      </c>
      <c r="BI41" s="38"/>
      <c r="BJ41" s="38">
        <f t="shared" si="61"/>
        <v>14.481780150000001</v>
      </c>
      <c r="BK41" s="38"/>
      <c r="BL41" s="38">
        <f>'Analisis economico'!$C$5/BJ41</f>
        <v>0.2458261320863927</v>
      </c>
      <c r="BM41" s="38"/>
      <c r="BN41" s="38">
        <f t="shared" si="160"/>
        <v>32.181733666666666</v>
      </c>
      <c r="BO41" s="38">
        <f t="shared" si="161"/>
        <v>0.46931694930555506</v>
      </c>
      <c r="BP41" s="38">
        <f t="shared" ref="BP41:BP72" si="164">AVERAGE(BO40:BO41)*(D41-D40)+BP40</f>
        <v>160.55778086388</v>
      </c>
      <c r="BQ41" s="27">
        <f t="shared" si="146"/>
        <v>192.73951453054667</v>
      </c>
      <c r="BR41" s="211">
        <v>32.181733666666666</v>
      </c>
      <c r="BS41" s="61">
        <f t="shared" si="59"/>
        <v>6.8456894672305192E-8</v>
      </c>
      <c r="BT41" s="61"/>
      <c r="BU41" s="342">
        <f t="shared" si="62"/>
        <v>1.6429654721353246</v>
      </c>
      <c r="BV41" s="342"/>
      <c r="BW41" s="342"/>
      <c r="BX41" s="27">
        <f t="shared" ref="BX41:BX72" si="165">(AVERAGE(BH40:BH41)*AF41/1000)+BX40</f>
        <v>0.32148375097999993</v>
      </c>
      <c r="BY41" s="56"/>
      <c r="BZ41" s="38">
        <f t="shared" si="162"/>
        <v>32.181733666666666</v>
      </c>
      <c r="CA41" s="38">
        <f t="shared" si="163"/>
        <v>0.46931694930555506</v>
      </c>
      <c r="CB41" s="245">
        <f t="shared" ref="CB41:CB72" si="166">AVERAGE(CA40:CA41)*(D41-D40)+CB40</f>
        <v>159.05356547926013</v>
      </c>
      <c r="CC41" s="58">
        <f t="shared" si="147"/>
        <v>191.2352991459268</v>
      </c>
      <c r="CD41" s="38">
        <v>50.119</v>
      </c>
      <c r="CE41" s="35"/>
      <c r="CF41" s="80">
        <f t="shared" ref="CF41:CF72" si="167">AVERAGE(N41,N40)*(D41-D40)+CF40</f>
        <v>334643938.88890231</v>
      </c>
      <c r="CG41" s="77">
        <f t="shared" ref="CG41:CG72" si="168">AVERAGE(N41,N40)*(D41-D40)+CG40</f>
        <v>334643938.88890231</v>
      </c>
      <c r="CH41" s="62"/>
      <c r="CI41" s="93">
        <f t="shared" si="148"/>
        <v>15120000</v>
      </c>
      <c r="CJ41" s="58"/>
      <c r="CK41" s="38">
        <v>0.22541208565690019</v>
      </c>
      <c r="CL41" s="38"/>
      <c r="CM41" s="38"/>
      <c r="CN41" s="38"/>
      <c r="CO41" s="38">
        <f t="shared" ref="CO41:CO71" si="169">((((CK41-CK40)/(D41-D40))-($CP$5*AJ41)+(AJ41*(CK41+CK40)/2))/((J41+J40)/2))*POWER(10,9)</f>
        <v>-48.004946623920588</v>
      </c>
      <c r="CP41" s="37"/>
      <c r="CQ41" s="37"/>
      <c r="CR41" s="56"/>
      <c r="CS41" s="58">
        <f t="shared" ref="CS41:CS71" si="170">(((CK41-CK40)+(AJ41*((CK41+CK40)/2)*(D41-D40))-($CP$5*(D41-D40)*AJ41))/(((J41+J40)/2)*(D41-D40)))*POWER(10,9)</f>
        <v>-48.004946623920588</v>
      </c>
      <c r="CT41" s="58"/>
      <c r="CU41" s="58"/>
      <c r="CV41" s="58"/>
      <c r="CW41" s="38">
        <v>25.176409047343519</v>
      </c>
      <c r="CX41" s="38"/>
      <c r="CY41" s="38"/>
      <c r="CZ41" s="38"/>
      <c r="DA41" s="38">
        <f t="shared" ref="DA41:DA71" si="171">(((CW41-CW40)+(AP41*((CW40+CW41)/2)*(D41-D40)))/(((J41+J40)/2)*(D41-D40)))*POWER(10,9)</f>
        <v>39.655416036354787</v>
      </c>
      <c r="DB41" s="38"/>
      <c r="DC41" s="38"/>
      <c r="DD41" s="38"/>
      <c r="DE41" s="38">
        <f t="shared" ref="DE41:DE71" si="172">((((CW41-CW40)/(D41-D40))+(AJ41*((CW41+CW40)/2)))/((J41+J40)/2))*POWER(10,9)</f>
        <v>39.655416036354779</v>
      </c>
      <c r="DF41" s="38"/>
      <c r="DG41" s="38"/>
      <c r="DH41" s="38"/>
      <c r="DI41" s="38">
        <f t="shared" ref="DI41:DI71" si="173">CW41/(CK41-$CP$5)</f>
        <v>-1.0589630044504244</v>
      </c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V41" s="38">
        <f t="shared" si="149"/>
        <v>0</v>
      </c>
      <c r="DW41" s="56"/>
      <c r="DX41" s="38">
        <v>1.1234846157099616</v>
      </c>
      <c r="FK41"/>
      <c r="FL41"/>
      <c r="FM41"/>
      <c r="FN41"/>
    </row>
    <row r="42" spans="1:170" ht="15.75" thickBot="1" x14ac:dyDescent="0.25">
      <c r="A42" s="229">
        <v>35</v>
      </c>
      <c r="B42" s="318">
        <v>43662</v>
      </c>
      <c r="C42" s="60">
        <v>0.625</v>
      </c>
      <c r="D42" s="87">
        <f t="shared" si="158"/>
        <v>988.5</v>
      </c>
      <c r="E42" s="87">
        <f t="shared" si="159"/>
        <v>41.1875</v>
      </c>
      <c r="F42" s="116">
        <v>1</v>
      </c>
      <c r="G42" s="258">
        <v>5340000</v>
      </c>
      <c r="H42" s="258">
        <v>5620000</v>
      </c>
      <c r="I42" s="258"/>
      <c r="J42" s="300">
        <f>AVERAGE(G42:H42)</f>
        <v>5480000</v>
      </c>
      <c r="K42" s="258">
        <f>STDEV(G42:H42)</f>
        <v>197989.8987322333</v>
      </c>
      <c r="L42" s="257">
        <f t="shared" si="157"/>
        <v>3.6129543564276147E-2</v>
      </c>
      <c r="M42" s="118">
        <f t="shared" si="109"/>
        <v>5480000</v>
      </c>
      <c r="N42" s="204">
        <v>590000</v>
      </c>
      <c r="O42" s="88">
        <f t="shared" si="110"/>
        <v>590000</v>
      </c>
      <c r="P42" s="38">
        <v>7.1</v>
      </c>
      <c r="Q42" s="38">
        <v>39</v>
      </c>
      <c r="R42" s="84">
        <f t="shared" si="111"/>
        <v>1.0695275049251622E-2</v>
      </c>
      <c r="S42" s="109">
        <f t="shared" ref="S42:S47" si="174">R42*24</f>
        <v>0.25668660118203895</v>
      </c>
      <c r="T42" s="311">
        <f t="shared" si="15"/>
        <v>15650347.222200092</v>
      </c>
      <c r="U42" s="84" t="e">
        <f>#REF!</f>
        <v>#REF!</v>
      </c>
      <c r="V42" s="63">
        <f t="shared" si="112"/>
        <v>6070000</v>
      </c>
      <c r="W42" s="89">
        <f t="shared" si="113"/>
        <v>6070000</v>
      </c>
      <c r="X42" s="90">
        <f t="shared" si="114"/>
        <v>0.90280065897858319</v>
      </c>
      <c r="Y42" s="61">
        <f t="shared" si="115"/>
        <v>5512100576.38904</v>
      </c>
      <c r="Z42" s="148">
        <f t="shared" si="116"/>
        <v>368119688.88885576</v>
      </c>
      <c r="AA42" s="27">
        <v>31.15</v>
      </c>
      <c r="AB42" s="27">
        <v>0</v>
      </c>
      <c r="AC42" s="27">
        <v>0</v>
      </c>
      <c r="AD42" s="27">
        <v>0</v>
      </c>
      <c r="AE42" s="27">
        <f t="shared" si="117"/>
        <v>2.2847222222189885</v>
      </c>
      <c r="AF42" s="27">
        <f t="shared" si="118"/>
        <v>1.5999999999999979</v>
      </c>
      <c r="AG42" s="27">
        <f t="shared" si="119"/>
        <v>31.15</v>
      </c>
      <c r="AH42" s="27">
        <f t="shared" si="120"/>
        <v>0.70030395136877144</v>
      </c>
      <c r="AI42" s="27">
        <f t="shared" si="121"/>
        <v>0.35015197568438572</v>
      </c>
      <c r="AJ42" s="109">
        <f t="shared" si="122"/>
        <v>1.4589665653516071E-2</v>
      </c>
      <c r="AK42" s="109">
        <f t="shared" si="123"/>
        <v>6.3896345927807616E-2</v>
      </c>
      <c r="AL42" s="27">
        <f t="shared" si="124"/>
        <v>1.5999999999999979</v>
      </c>
      <c r="AM42" s="27">
        <f t="shared" si="125"/>
        <v>31.15</v>
      </c>
      <c r="AN42" s="27">
        <f t="shared" si="126"/>
        <v>0.70030395136877144</v>
      </c>
      <c r="AO42" s="27">
        <f t="shared" si="127"/>
        <v>0.35015197568438572</v>
      </c>
      <c r="AP42" s="27">
        <f t="shared" si="128"/>
        <v>1.4589665653516071E-2</v>
      </c>
      <c r="AQ42" s="27">
        <f t="shared" si="129"/>
        <v>0</v>
      </c>
      <c r="AR42" s="27">
        <f t="shared" si="130"/>
        <v>0</v>
      </c>
      <c r="AS42" s="27">
        <f t="shared" si="131"/>
        <v>0</v>
      </c>
      <c r="AT42" s="27">
        <f t="shared" si="132"/>
        <v>0</v>
      </c>
      <c r="AU42" s="145">
        <f t="shared" si="133"/>
        <v>5480000</v>
      </c>
      <c r="AV42" s="27">
        <v>1</v>
      </c>
      <c r="AW42" s="27">
        <f t="shared" si="134"/>
        <v>1.4589665653516071E-2</v>
      </c>
      <c r="AX42" s="145">
        <f t="shared" si="135"/>
        <v>79951.367781268069</v>
      </c>
      <c r="AY42" s="145">
        <f t="shared" si="136"/>
        <v>86607817.537756845</v>
      </c>
      <c r="AZ42" s="27">
        <f t="shared" si="137"/>
        <v>0</v>
      </c>
      <c r="BA42" s="145">
        <f t="shared" si="138"/>
        <v>0</v>
      </c>
      <c r="BB42" s="145">
        <f t="shared" si="139"/>
        <v>0</v>
      </c>
      <c r="BC42" s="145">
        <f t="shared" si="140"/>
        <v>92087817.537756845</v>
      </c>
      <c r="BD42" s="145">
        <f t="shared" si="141"/>
        <v>5512100576.38904</v>
      </c>
      <c r="BE42" s="84">
        <f t="shared" si="142"/>
        <v>1.0402508458100626E-2</v>
      </c>
      <c r="BF42" s="84">
        <f t="shared" si="143"/>
        <v>1.0710006678666834E-2</v>
      </c>
      <c r="BG42" s="84">
        <f t="shared" si="144"/>
        <v>1.0695275049251622E-2</v>
      </c>
      <c r="BH42" s="38">
        <f t="shared" si="145"/>
        <v>23.869045</v>
      </c>
      <c r="BI42" s="193" t="s">
        <v>307</v>
      </c>
      <c r="BJ42" s="358">
        <f t="shared" si="61"/>
        <v>10.74107025</v>
      </c>
      <c r="BK42" s="193" t="s">
        <v>307</v>
      </c>
      <c r="BL42" s="38">
        <f>'Analisis economico'!$C$5/BJ42</f>
        <v>0.33143810785522049</v>
      </c>
      <c r="BM42" s="193" t="s">
        <v>307</v>
      </c>
      <c r="BN42" s="38">
        <f t="shared" si="160"/>
        <v>23.869045</v>
      </c>
      <c r="BO42" s="38">
        <f t="shared" si="161"/>
        <v>0.3482413860187295</v>
      </c>
      <c r="BP42" s="38">
        <f t="shared" si="164"/>
        <v>182.97250522398906</v>
      </c>
      <c r="BQ42" s="27">
        <f t="shared" si="146"/>
        <v>206.84155022398906</v>
      </c>
      <c r="BR42" s="211">
        <v>23.869045</v>
      </c>
      <c r="BS42" s="61">
        <f t="shared" si="59"/>
        <v>4.1564115472116327E-8</v>
      </c>
      <c r="BT42" s="230" t="s">
        <v>219</v>
      </c>
      <c r="BU42" s="342">
        <f t="shared" si="62"/>
        <v>0.99753877133079194</v>
      </c>
      <c r="BV42" s="230" t="s">
        <v>219</v>
      </c>
      <c r="BW42" s="342"/>
      <c r="BX42" s="27">
        <f t="shared" si="165"/>
        <v>0.36632437391333317</v>
      </c>
      <c r="BY42" s="56"/>
      <c r="BZ42" s="38">
        <f t="shared" si="162"/>
        <v>23.869045</v>
      </c>
      <c r="CA42" s="38">
        <f t="shared" si="163"/>
        <v>0.3482413860187295</v>
      </c>
      <c r="CB42" s="245">
        <f t="shared" si="166"/>
        <v>181.46828983936922</v>
      </c>
      <c r="CC42" s="58">
        <f t="shared" si="147"/>
        <v>205.33733483936922</v>
      </c>
      <c r="CD42" s="38">
        <v>51.119</v>
      </c>
      <c r="CE42" s="35"/>
      <c r="CF42" s="80">
        <f t="shared" si="167"/>
        <v>367681022.22218889</v>
      </c>
      <c r="CG42" s="77">
        <f t="shared" si="168"/>
        <v>367681022.22218889</v>
      </c>
      <c r="CH42" s="62"/>
      <c r="CI42" s="93">
        <f t="shared" si="148"/>
        <v>33037083.333286583</v>
      </c>
      <c r="CJ42" s="58"/>
      <c r="CK42" s="323">
        <f>AVERAGE(CK41,CK43)</f>
        <v>0.29005492637495311</v>
      </c>
      <c r="CL42" s="320">
        <f>AVERAGE(CK42:CK47)</f>
        <v>0.37251909876240163</v>
      </c>
      <c r="CM42" s="320">
        <f>STDEV(CK42:CK47)</f>
        <v>0.18845925498824531</v>
      </c>
      <c r="CN42" s="328">
        <f>CM42/CL42</f>
        <v>0.50590494719425783</v>
      </c>
      <c r="CO42" s="38">
        <f t="shared" si="169"/>
        <v>-55.769439937430136</v>
      </c>
      <c r="CP42" s="320">
        <f>AVERAGE(CO42:CO47)</f>
        <v>-61.808823606930922</v>
      </c>
      <c r="CQ42" s="320">
        <f>STDEV(CO42:CO47)</f>
        <v>4.3744045691216371</v>
      </c>
      <c r="CR42" s="328">
        <f>CQ42/CP42</f>
        <v>-7.0773140691697517E-2</v>
      </c>
      <c r="CS42" s="58">
        <f t="shared" si="170"/>
        <v>-55.769439937430143</v>
      </c>
      <c r="CT42" s="320">
        <f>AVERAGE(CS42:CS47)</f>
        <v>-61.808823606930922</v>
      </c>
      <c r="CU42" s="320">
        <f>STDEV(CS42:CS47)</f>
        <v>4.3744045691216362</v>
      </c>
      <c r="CV42" s="328">
        <f>CU42/CT42</f>
        <v>-7.0773140691697503E-2</v>
      </c>
      <c r="CW42" s="324">
        <f>AVERAGE(CW41,CW43)</f>
        <v>26.892273787672529</v>
      </c>
      <c r="CX42" s="320">
        <f>AVERAGE(CW42:CW47)</f>
        <v>29.623815645476579</v>
      </c>
      <c r="CY42" s="320">
        <f>STDEV(CW42:CW47)</f>
        <v>4.2268398203684461</v>
      </c>
      <c r="CZ42" s="328">
        <f>CY42/CX42</f>
        <v>0.14268384164123926</v>
      </c>
      <c r="DA42" s="38">
        <f t="shared" si="171"/>
        <v>66.417561046203474</v>
      </c>
      <c r="DB42" s="320">
        <f>AVERAGE(DA42:DA47)</f>
        <v>81.28717483433843</v>
      </c>
      <c r="DC42" s="320">
        <f>STDEV(DA42:DA47)</f>
        <v>15.287810406340986</v>
      </c>
      <c r="DD42" s="328">
        <f>DC42/DB42</f>
        <v>0.18807161692477598</v>
      </c>
      <c r="DE42" s="38">
        <f t="shared" si="172"/>
        <v>66.417561046203474</v>
      </c>
      <c r="DF42" s="320">
        <f>AVERAGE(DE42:DE47)</f>
        <v>81.28717483433843</v>
      </c>
      <c r="DG42" s="320">
        <f>STDEV(DE42:DE47)</f>
        <v>15.287810406340947</v>
      </c>
      <c r="DH42" s="328">
        <f>DG42/DF42</f>
        <v>0.18807161692477548</v>
      </c>
      <c r="DI42" s="320">
        <f t="shared" si="173"/>
        <v>-1.1342191516751976</v>
      </c>
      <c r="DJ42" s="320">
        <f>-AVERAGE(DI42:DI47)</f>
        <v>1.2531218358646432</v>
      </c>
      <c r="DK42" s="320">
        <f>STDEV(DI42:DI47)</f>
        <v>0.1730484388626006</v>
      </c>
      <c r="DL42" s="328">
        <f>DK42/DJ42</f>
        <v>0.13809386598326945</v>
      </c>
      <c r="DM42" s="352">
        <f t="shared" ref="DM42:DM47" si="175">(-(J42/(CK42-$CP$5))/POWER(10,6))</f>
        <v>0.23112664255371701</v>
      </c>
      <c r="DN42" s="320">
        <f>AVERAGE(DM42:DM47)</f>
        <v>0.23089357780744901</v>
      </c>
      <c r="DO42" s="320">
        <f>STDEV(DM42:DM47)</f>
        <v>6.6047214034025761E-3</v>
      </c>
      <c r="DP42" s="328">
        <f>DO42/DN42</f>
        <v>2.8605045952861046E-2</v>
      </c>
      <c r="DQ42" s="352">
        <f t="shared" ref="DQ42:DQ47" si="176">(-(J42/(DX42-$DY$6)))/POWER(10,6)</f>
        <v>0.98738738738738741</v>
      </c>
      <c r="DR42" s="320">
        <f>AVERAGE(DQ42:DQ47)</f>
        <v>1.3344218651608732</v>
      </c>
      <c r="DS42" s="320">
        <f>STDEV(DQ42:DQ47)</f>
        <v>0.18599329091619915</v>
      </c>
      <c r="DT42" s="328">
        <f>DS42/DR42</f>
        <v>0.13938117755120599</v>
      </c>
      <c r="FK42"/>
      <c r="FL42"/>
      <c r="FM42"/>
      <c r="FN42"/>
    </row>
    <row r="43" spans="1:170" ht="15.75" thickBot="1" x14ac:dyDescent="0.25">
      <c r="A43" s="229">
        <v>36</v>
      </c>
      <c r="B43" s="203">
        <v>43664</v>
      </c>
      <c r="C43" s="60">
        <v>0.70138888888888884</v>
      </c>
      <c r="D43" s="87">
        <f t="shared" si="158"/>
        <v>1038.3333333333721</v>
      </c>
      <c r="E43" s="87">
        <f t="shared" si="159"/>
        <v>43.263888888890506</v>
      </c>
      <c r="F43" s="116">
        <v>1</v>
      </c>
      <c r="G43" s="258">
        <v>5640000</v>
      </c>
      <c r="H43" s="258">
        <v>5550000</v>
      </c>
      <c r="I43" s="258"/>
      <c r="J43" s="300">
        <f>AVERAGE(G43:H43)</f>
        <v>5595000</v>
      </c>
      <c r="K43" s="258">
        <f>STDEV(G43:H43)</f>
        <v>63639.610306789276</v>
      </c>
      <c r="L43" s="257">
        <f t="shared" si="157"/>
        <v>1.1374371815333203E-2</v>
      </c>
      <c r="M43" s="118">
        <f t="shared" si="109"/>
        <v>5595000</v>
      </c>
      <c r="N43" s="204">
        <v>460000</v>
      </c>
      <c r="O43" s="88">
        <f t="shared" si="110"/>
        <v>460000</v>
      </c>
      <c r="P43" s="38">
        <v>7.13</v>
      </c>
      <c r="Q43" s="38">
        <v>42</v>
      </c>
      <c r="R43" s="84">
        <f t="shared" si="111"/>
        <v>1.4498844921734203E-2</v>
      </c>
      <c r="S43" s="109">
        <f t="shared" si="174"/>
        <v>0.3479722781216209</v>
      </c>
      <c r="T43" s="311">
        <f t="shared" si="15"/>
        <v>16023994.252886008</v>
      </c>
      <c r="U43" s="84" t="e">
        <f>#REF!</f>
        <v>#REF!</v>
      </c>
      <c r="V43" s="63">
        <f t="shared" si="112"/>
        <v>6055000</v>
      </c>
      <c r="W43" s="89">
        <f t="shared" si="113"/>
        <v>6055000</v>
      </c>
      <c r="X43" s="90">
        <f t="shared" si="114"/>
        <v>0.92402972749793555</v>
      </c>
      <c r="Y43" s="61">
        <f t="shared" si="115"/>
        <v>5788052659.7225885</v>
      </c>
      <c r="Z43" s="148">
        <f t="shared" si="116"/>
        <v>394282188.88887614</v>
      </c>
      <c r="AA43" s="27">
        <v>32.6</v>
      </c>
      <c r="AB43" s="27">
        <v>0</v>
      </c>
      <c r="AC43" s="27">
        <v>0</v>
      </c>
      <c r="AD43" s="27">
        <v>0</v>
      </c>
      <c r="AE43" s="27">
        <f t="shared" si="117"/>
        <v>2.0763888888905058</v>
      </c>
      <c r="AF43" s="27">
        <f t="shared" si="118"/>
        <v>1.4500000000000028</v>
      </c>
      <c r="AG43" s="27">
        <f t="shared" si="119"/>
        <v>32.6</v>
      </c>
      <c r="AH43" s="27">
        <f t="shared" si="120"/>
        <v>0.69832775919678203</v>
      </c>
      <c r="AI43" s="27">
        <f t="shared" si="121"/>
        <v>0.34916387959839101</v>
      </c>
      <c r="AJ43" s="109">
        <f t="shared" si="122"/>
        <v>1.4548494983266292E-2</v>
      </c>
      <c r="AK43" s="109">
        <f t="shared" si="123"/>
        <v>6.2406412796852724E-2</v>
      </c>
      <c r="AL43" s="27">
        <f t="shared" si="124"/>
        <v>1.4500000000000028</v>
      </c>
      <c r="AM43" s="27">
        <f t="shared" si="125"/>
        <v>32.6</v>
      </c>
      <c r="AN43" s="27">
        <f t="shared" si="126"/>
        <v>0.69832775919678203</v>
      </c>
      <c r="AO43" s="27">
        <f t="shared" si="127"/>
        <v>0.34916387959839101</v>
      </c>
      <c r="AP43" s="27">
        <f t="shared" si="128"/>
        <v>1.4548494983266292E-2</v>
      </c>
      <c r="AQ43" s="27">
        <f t="shared" si="129"/>
        <v>0</v>
      </c>
      <c r="AR43" s="27">
        <f t="shared" si="130"/>
        <v>0</v>
      </c>
      <c r="AS43" s="27">
        <f t="shared" si="131"/>
        <v>0</v>
      </c>
      <c r="AT43" s="27">
        <f t="shared" si="132"/>
        <v>0</v>
      </c>
      <c r="AU43" s="145">
        <f t="shared" si="133"/>
        <v>5595000</v>
      </c>
      <c r="AV43" s="27">
        <v>1</v>
      </c>
      <c r="AW43" s="27">
        <f t="shared" si="134"/>
        <v>1.4548494983266292E-2</v>
      </c>
      <c r="AX43" s="145">
        <f t="shared" si="135"/>
        <v>81398.829431374907</v>
      </c>
      <c r="AY43" s="145">
        <f t="shared" si="136"/>
        <v>90628126.618308336</v>
      </c>
      <c r="AZ43" s="27">
        <f t="shared" si="137"/>
        <v>0</v>
      </c>
      <c r="BA43" s="145">
        <f t="shared" si="138"/>
        <v>0</v>
      </c>
      <c r="BB43" s="145">
        <f t="shared" si="139"/>
        <v>0</v>
      </c>
      <c r="BC43" s="145">
        <f t="shared" si="140"/>
        <v>96223126.618308336</v>
      </c>
      <c r="BD43" s="145">
        <f t="shared" si="141"/>
        <v>5788052659.7225885</v>
      </c>
      <c r="BE43" s="84">
        <f t="shared" si="142"/>
        <v>1.4985605582665826E-2</v>
      </c>
      <c r="BF43" s="84">
        <f t="shared" si="143"/>
        <v>1.4498844947063178E-2</v>
      </c>
      <c r="BG43" s="84">
        <f t="shared" si="144"/>
        <v>1.4498844921734203E-2</v>
      </c>
      <c r="BH43" s="38">
        <f t="shared" si="145"/>
        <v>18.779384999999998</v>
      </c>
      <c r="BI43" s="193">
        <f>AVERAGE(BH42:BH46)</f>
        <v>17.433968999999998</v>
      </c>
      <c r="BJ43" s="358">
        <f t="shared" si="61"/>
        <v>8.4507232499999994</v>
      </c>
      <c r="BK43" s="193">
        <f>AVERAGE(BJ42:BJ46)</f>
        <v>7.8452860500000003</v>
      </c>
      <c r="BL43" s="38">
        <f>'Analisis economico'!$C$5/BJ43</f>
        <v>0.42126571829221843</v>
      </c>
      <c r="BM43" s="193">
        <f>AVERAGE(BL42:BL46)</f>
        <v>0.47883370002491316</v>
      </c>
      <c r="BN43" s="38">
        <f t="shared" si="160"/>
        <v>18.779384999999998</v>
      </c>
      <c r="BO43" s="38">
        <f t="shared" si="161"/>
        <v>0.27321178846132621</v>
      </c>
      <c r="BP43" s="38">
        <f t="shared" si="164"/>
        <v>198.45704682146251</v>
      </c>
      <c r="BQ43" s="27">
        <f t="shared" si="146"/>
        <v>217.2364318214625</v>
      </c>
      <c r="BR43" s="211">
        <v>18.779384999999998</v>
      </c>
      <c r="BS43" s="61">
        <f t="shared" si="59"/>
        <v>3.7580422476699123E-8</v>
      </c>
      <c r="BT43" s="230">
        <f>STDEV(BS42:BS46)</f>
        <v>6.4015592484525777E-9</v>
      </c>
      <c r="BU43" s="342">
        <f t="shared" si="62"/>
        <v>0.90193013944077893</v>
      </c>
      <c r="BV43" s="230">
        <f>STDEV(BU42:BU46)</f>
        <v>0.15363742196286248</v>
      </c>
      <c r="BW43" s="342"/>
      <c r="BX43" s="27">
        <f t="shared" si="165"/>
        <v>0.39724448566333326</v>
      </c>
      <c r="BY43" s="56"/>
      <c r="BZ43" s="38">
        <f t="shared" si="162"/>
        <v>18.779384999999998</v>
      </c>
      <c r="CA43" s="38">
        <f t="shared" si="163"/>
        <v>0.27321178846132621</v>
      </c>
      <c r="CB43" s="245">
        <f t="shared" si="166"/>
        <v>196.95283143684267</v>
      </c>
      <c r="CC43" s="58">
        <f t="shared" si="147"/>
        <v>215.73221643684266</v>
      </c>
      <c r="CD43" s="38">
        <v>52.119</v>
      </c>
      <c r="CE43" s="35"/>
      <c r="CF43" s="80">
        <f t="shared" si="167"/>
        <v>393843522.22220927</v>
      </c>
      <c r="CG43" s="77">
        <f t="shared" si="168"/>
        <v>393843522.22220927</v>
      </c>
      <c r="CH43" s="62"/>
      <c r="CI43" s="93">
        <f t="shared" si="148"/>
        <v>26162500.000020385</v>
      </c>
      <c r="CJ43" s="58"/>
      <c r="CK43" s="320">
        <v>0.3546977670930061</v>
      </c>
      <c r="CL43" s="320"/>
      <c r="CM43" s="320"/>
      <c r="CN43" s="320"/>
      <c r="CO43" s="38">
        <f t="shared" si="169"/>
        <v>-61.973202381040892</v>
      </c>
      <c r="CP43" s="321"/>
      <c r="CQ43" s="321"/>
      <c r="CR43" s="322"/>
      <c r="CS43" s="58">
        <f t="shared" si="170"/>
        <v>-61.973202381040906</v>
      </c>
      <c r="CT43" s="58"/>
      <c r="CU43" s="58"/>
      <c r="CV43" s="58"/>
      <c r="CW43" s="320">
        <v>28.60813852800154</v>
      </c>
      <c r="CX43" s="320"/>
      <c r="CY43" s="320"/>
      <c r="CZ43" s="320"/>
      <c r="DA43" s="38">
        <f t="shared" si="171"/>
        <v>79.125201524095161</v>
      </c>
      <c r="DB43" s="320"/>
      <c r="DC43" s="320"/>
      <c r="DD43" s="320"/>
      <c r="DE43" s="38">
        <f t="shared" si="172"/>
        <v>79.125201524095147</v>
      </c>
      <c r="DF43" s="320"/>
      <c r="DG43" s="320"/>
      <c r="DH43" s="320"/>
      <c r="DI43" s="320">
        <f t="shared" si="173"/>
        <v>-1.2098867777713496</v>
      </c>
      <c r="DJ43" s="320"/>
      <c r="DK43" s="320"/>
      <c r="DL43" s="320"/>
      <c r="DM43" s="352">
        <f t="shared" si="175"/>
        <v>0.23662205476965653</v>
      </c>
      <c r="DN43" s="320"/>
      <c r="DO43" s="320"/>
      <c r="DP43" s="320"/>
      <c r="DQ43" s="352">
        <f t="shared" si="176"/>
        <v>1.3928889331602377</v>
      </c>
      <c r="DR43" s="320"/>
      <c r="DS43" s="320"/>
      <c r="DT43" s="320"/>
      <c r="DV43" s="38">
        <f t="shared" ref="DV43:DV51" si="177">DU43/1000</f>
        <v>0</v>
      </c>
      <c r="DW43" s="56"/>
      <c r="DX43" s="38">
        <v>1.5331686024628977</v>
      </c>
      <c r="FK43"/>
      <c r="FL43"/>
      <c r="FM43"/>
      <c r="FN43"/>
    </row>
    <row r="44" spans="1:170" ht="14.25" customHeight="1" thickBot="1" x14ac:dyDescent="0.25">
      <c r="A44" s="229">
        <v>37</v>
      </c>
      <c r="B44" s="203">
        <v>43665</v>
      </c>
      <c r="C44" s="60">
        <v>0.3888888888888889</v>
      </c>
      <c r="D44" s="87">
        <f t="shared" si="158"/>
        <v>1054.8333333333721</v>
      </c>
      <c r="E44" s="87">
        <f t="shared" si="159"/>
        <v>43.951388888890506</v>
      </c>
      <c r="F44" s="116">
        <v>1</v>
      </c>
      <c r="G44" s="258">
        <v>5440000</v>
      </c>
      <c r="H44" s="258">
        <v>5900000</v>
      </c>
      <c r="I44" s="258">
        <v>4600000</v>
      </c>
      <c r="J44" s="300">
        <f>AVERAGE(G44:I44)</f>
        <v>5313333.333333333</v>
      </c>
      <c r="K44" s="258">
        <f>STDEV(G44:I44)</f>
        <v>659191.42389243504</v>
      </c>
      <c r="L44" s="257">
        <f t="shared" si="157"/>
        <v>0.12406363059456119</v>
      </c>
      <c r="M44" s="118">
        <f t="shared" si="109"/>
        <v>5313333.333333333</v>
      </c>
      <c r="N44" s="204">
        <v>347000</v>
      </c>
      <c r="O44" s="88">
        <f t="shared" si="110"/>
        <v>347000</v>
      </c>
      <c r="P44" s="38">
        <v>7.12</v>
      </c>
      <c r="Q44" s="38">
        <v>40</v>
      </c>
      <c r="R44" s="84">
        <f t="shared" si="111"/>
        <v>1.1066570078242289E-2</v>
      </c>
      <c r="S44" s="109">
        <f t="shared" si="174"/>
        <v>0.26559768187781496</v>
      </c>
      <c r="T44" s="311">
        <f t="shared" si="15"/>
        <v>14611666.666666666</v>
      </c>
      <c r="U44" s="84" t="e">
        <f>#REF!</f>
        <v>#REF!</v>
      </c>
      <c r="V44" s="63">
        <f t="shared" si="112"/>
        <v>5660333.333333333</v>
      </c>
      <c r="W44" s="89">
        <f t="shared" si="113"/>
        <v>5660333.333333333</v>
      </c>
      <c r="X44" s="90">
        <f t="shared" si="114"/>
        <v>0.9386961898592544</v>
      </c>
      <c r="Y44" s="61">
        <f t="shared" si="115"/>
        <v>5878046409.7225885</v>
      </c>
      <c r="Z44" s="148">
        <f t="shared" si="116"/>
        <v>400939938.88887614</v>
      </c>
      <c r="AA44" s="27">
        <v>33.1</v>
      </c>
      <c r="AB44" s="27">
        <v>0</v>
      </c>
      <c r="AC44" s="27">
        <v>0</v>
      </c>
      <c r="AD44" s="27">
        <v>0</v>
      </c>
      <c r="AE44" s="27">
        <f t="shared" si="117"/>
        <v>0.6875</v>
      </c>
      <c r="AF44" s="27">
        <f t="shared" si="118"/>
        <v>0.5</v>
      </c>
      <c r="AG44" s="27">
        <f t="shared" si="119"/>
        <v>33.1</v>
      </c>
      <c r="AH44" s="27">
        <f t="shared" si="120"/>
        <v>0.72727272727272729</v>
      </c>
      <c r="AI44" s="27">
        <f t="shared" si="121"/>
        <v>0.36363636363636365</v>
      </c>
      <c r="AJ44" s="109">
        <f t="shared" si="122"/>
        <v>1.5151515151515152E-2</v>
      </c>
      <c r="AK44" s="109">
        <f t="shared" si="123"/>
        <v>6.8438462415877727E-2</v>
      </c>
      <c r="AL44" s="27">
        <f t="shared" si="124"/>
        <v>0.5</v>
      </c>
      <c r="AM44" s="27">
        <f t="shared" si="125"/>
        <v>33.1</v>
      </c>
      <c r="AN44" s="27">
        <f t="shared" si="126"/>
        <v>0.72727272727272729</v>
      </c>
      <c r="AO44" s="27">
        <f t="shared" si="127"/>
        <v>0.36363636363636365</v>
      </c>
      <c r="AP44" s="27">
        <f t="shared" si="128"/>
        <v>1.5151515151515152E-2</v>
      </c>
      <c r="AQ44" s="27">
        <f t="shared" si="129"/>
        <v>0</v>
      </c>
      <c r="AR44" s="27">
        <f t="shared" si="130"/>
        <v>0</v>
      </c>
      <c r="AS44" s="27">
        <f t="shared" si="131"/>
        <v>0</v>
      </c>
      <c r="AT44" s="27">
        <f t="shared" si="132"/>
        <v>0</v>
      </c>
      <c r="AU44" s="145">
        <f t="shared" si="133"/>
        <v>5313333.333333333</v>
      </c>
      <c r="AV44" s="27">
        <v>1</v>
      </c>
      <c r="AW44" s="27">
        <f t="shared" si="134"/>
        <v>1.5151515151515152E-2</v>
      </c>
      <c r="AX44" s="145">
        <f t="shared" si="135"/>
        <v>80505.050505050502</v>
      </c>
      <c r="AY44" s="145">
        <f t="shared" si="136"/>
        <v>91963833.62778385</v>
      </c>
      <c r="AZ44" s="27">
        <f t="shared" si="137"/>
        <v>0</v>
      </c>
      <c r="BA44" s="145">
        <f t="shared" si="138"/>
        <v>0</v>
      </c>
      <c r="BB44" s="145">
        <f t="shared" si="139"/>
        <v>0</v>
      </c>
      <c r="BC44" s="145">
        <f t="shared" si="140"/>
        <v>97277166.961117178</v>
      </c>
      <c r="BD44" s="145">
        <f t="shared" si="141"/>
        <v>5878046409.7225885</v>
      </c>
      <c r="BE44" s="84">
        <f t="shared" si="142"/>
        <v>1.1712372723759624E-2</v>
      </c>
      <c r="BF44" s="84">
        <f t="shared" si="143"/>
        <v>1.1068115859557272E-2</v>
      </c>
      <c r="BG44" s="84">
        <f t="shared" si="144"/>
        <v>1.1066570078242289E-2</v>
      </c>
      <c r="BH44" s="38">
        <f t="shared" si="145"/>
        <v>17.926008333333336</v>
      </c>
      <c r="BI44" s="38" t="s">
        <v>219</v>
      </c>
      <c r="BJ44" s="358">
        <f t="shared" si="61"/>
        <v>8.0667037500000021</v>
      </c>
      <c r="BK44" s="38" t="s">
        <v>219</v>
      </c>
      <c r="BL44" s="38">
        <f>'Analisis economico'!$C$5/BJ44</f>
        <v>0.4413202852528208</v>
      </c>
      <c r="BM44" s="38" t="s">
        <v>219</v>
      </c>
      <c r="BN44" s="38">
        <f t="shared" si="160"/>
        <v>17.926008333333336</v>
      </c>
      <c r="BO44" s="38">
        <f t="shared" si="161"/>
        <v>0.27160618686868693</v>
      </c>
      <c r="BP44" s="38">
        <f t="shared" si="164"/>
        <v>202.95179511793512</v>
      </c>
      <c r="BQ44" s="27">
        <f t="shared" si="146"/>
        <v>220.87780345126845</v>
      </c>
      <c r="BR44" s="211">
        <v>17.926008333333336</v>
      </c>
      <c r="BS44" s="61">
        <f t="shared" ref="BS44:BS71" si="178">(((BR44-BR43)/(D44-D43))+AJ44*(AVERAGE(BR43:BR44)))/AVERAGE(J43:J44)</f>
        <v>4.1500631988332582E-8</v>
      </c>
      <c r="BT44" s="230"/>
      <c r="BU44" s="342">
        <f t="shared" si="62"/>
        <v>0.996015167719982</v>
      </c>
      <c r="BV44" s="230"/>
      <c r="BW44" s="342"/>
      <c r="BX44" s="27">
        <f t="shared" si="165"/>
        <v>0.40642083399666662</v>
      </c>
      <c r="BY44" s="56"/>
      <c r="BZ44" s="38">
        <f t="shared" si="162"/>
        <v>17.926008333333336</v>
      </c>
      <c r="CA44" s="38">
        <f t="shared" si="163"/>
        <v>0.27160618686868693</v>
      </c>
      <c r="CB44" s="245">
        <f t="shared" si="166"/>
        <v>201.44757973331528</v>
      </c>
      <c r="CC44" s="58">
        <f t="shared" si="147"/>
        <v>219.37358806664861</v>
      </c>
      <c r="CD44" s="38">
        <v>53.119</v>
      </c>
      <c r="CE44" s="35"/>
      <c r="CF44" s="80">
        <f t="shared" si="167"/>
        <v>400501272.22220927</v>
      </c>
      <c r="CG44" s="77">
        <f t="shared" si="168"/>
        <v>400501272.22220927</v>
      </c>
      <c r="CH44" s="62"/>
      <c r="CI44" s="93">
        <f t="shared" si="148"/>
        <v>6657750</v>
      </c>
      <c r="CJ44" s="58"/>
      <c r="CK44" s="320">
        <v>0.21665647442464839</v>
      </c>
      <c r="CL44" s="320"/>
      <c r="CM44" s="320"/>
      <c r="CN44" s="320"/>
      <c r="CO44" s="38">
        <f t="shared" si="169"/>
        <v>-67.411592610360742</v>
      </c>
      <c r="CP44" s="321"/>
      <c r="CQ44" s="321"/>
      <c r="CR44" s="322"/>
      <c r="CS44" s="58">
        <f t="shared" si="170"/>
        <v>-67.411592610360742</v>
      </c>
      <c r="CT44" s="58"/>
      <c r="CU44" s="58"/>
      <c r="CV44" s="58"/>
      <c r="CW44" s="320">
        <v>36.036465463453254</v>
      </c>
      <c r="CX44" s="320"/>
      <c r="CY44" s="320"/>
      <c r="CZ44" s="320"/>
      <c r="DA44" s="193"/>
      <c r="DB44" s="320"/>
      <c r="DC44" s="320"/>
      <c r="DD44" s="320"/>
      <c r="DE44" s="193"/>
      <c r="DF44" s="320"/>
      <c r="DG44" s="320"/>
      <c r="DH44" s="320"/>
      <c r="DI44" s="320">
        <f t="shared" si="173"/>
        <v>-1.5151976182281328</v>
      </c>
      <c r="DJ44" s="320"/>
      <c r="DK44" s="320"/>
      <c r="DL44" s="320"/>
      <c r="DM44" s="352">
        <f t="shared" si="175"/>
        <v>0.22340565058145231</v>
      </c>
      <c r="DN44" s="320"/>
      <c r="DO44" s="320"/>
      <c r="DP44" s="320"/>
      <c r="DQ44" s="352">
        <f t="shared" si="176"/>
        <v>1.3573834928073694</v>
      </c>
      <c r="DR44" s="320"/>
      <c r="DS44" s="320"/>
      <c r="DT44" s="320"/>
      <c r="DV44" s="38">
        <f t="shared" si="177"/>
        <v>0</v>
      </c>
      <c r="DW44" s="56"/>
      <c r="DX44" s="38">
        <v>1.6356063437575887</v>
      </c>
      <c r="FK44"/>
      <c r="FL44"/>
      <c r="FM44"/>
      <c r="FN44"/>
    </row>
    <row r="45" spans="1:170" ht="15.75" thickBot="1" x14ac:dyDescent="0.25">
      <c r="A45" s="229">
        <v>38</v>
      </c>
      <c r="B45" s="203">
        <v>43666</v>
      </c>
      <c r="C45" s="60">
        <v>0.34027777777777773</v>
      </c>
      <c r="D45" s="87">
        <f t="shared" si="158"/>
        <v>1077.6666666667443</v>
      </c>
      <c r="E45" s="87">
        <f t="shared" si="159"/>
        <v>44.902777777781012</v>
      </c>
      <c r="F45" s="116">
        <v>1</v>
      </c>
      <c r="G45" s="258">
        <v>5460000</v>
      </c>
      <c r="H45" s="258">
        <v>4800000</v>
      </c>
      <c r="I45" s="258">
        <v>5940000</v>
      </c>
      <c r="J45" s="300">
        <f t="shared" si="155"/>
        <v>5400000</v>
      </c>
      <c r="K45" s="258">
        <f t="shared" si="156"/>
        <v>572363.52085016738</v>
      </c>
      <c r="L45" s="257">
        <f t="shared" si="157"/>
        <v>0.10599324460188285</v>
      </c>
      <c r="M45" s="118">
        <f t="shared" si="109"/>
        <v>5400000</v>
      </c>
      <c r="N45" s="204">
        <v>353000</v>
      </c>
      <c r="O45" s="88">
        <f t="shared" si="110"/>
        <v>353000</v>
      </c>
      <c r="P45" s="38">
        <v>7.11</v>
      </c>
      <c r="Q45" s="38">
        <v>39.700000000000003</v>
      </c>
      <c r="R45" s="84">
        <f t="shared" si="111"/>
        <v>1.4944759470854947E-2</v>
      </c>
      <c r="S45" s="109">
        <f t="shared" si="174"/>
        <v>0.35867422730051873</v>
      </c>
      <c r="T45" s="311">
        <f t="shared" si="15"/>
        <v>15807692.307719208</v>
      </c>
      <c r="U45" s="84" t="e">
        <f>#REF!</f>
        <v>#REF!</v>
      </c>
      <c r="V45" s="63">
        <f t="shared" si="112"/>
        <v>5753000</v>
      </c>
      <c r="W45" s="89">
        <f t="shared" si="113"/>
        <v>5753000</v>
      </c>
      <c r="X45" s="90">
        <f t="shared" si="114"/>
        <v>0.93864070919520248</v>
      </c>
      <c r="Y45" s="61">
        <f t="shared" si="115"/>
        <v>6000356965.2783518</v>
      </c>
      <c r="Z45" s="148">
        <f t="shared" si="116"/>
        <v>408931605.55555642</v>
      </c>
      <c r="AA45" s="27">
        <v>33.75</v>
      </c>
      <c r="AB45" s="27">
        <v>0</v>
      </c>
      <c r="AC45" s="27">
        <v>0</v>
      </c>
      <c r="AD45" s="27">
        <v>0</v>
      </c>
      <c r="AE45" s="27">
        <f t="shared" si="117"/>
        <v>0.95138888889050577</v>
      </c>
      <c r="AF45" s="27">
        <f t="shared" si="118"/>
        <v>0.64999999999999858</v>
      </c>
      <c r="AG45" s="27">
        <f t="shared" si="119"/>
        <v>33.75</v>
      </c>
      <c r="AH45" s="27">
        <f t="shared" si="120"/>
        <v>0.68321167883095413</v>
      </c>
      <c r="AI45" s="27">
        <f t="shared" si="121"/>
        <v>0.34160583941547706</v>
      </c>
      <c r="AJ45" s="109">
        <f t="shared" si="122"/>
        <v>1.4233576642311544E-2</v>
      </c>
      <c r="AK45" s="109">
        <f t="shared" si="123"/>
        <v>6.3260340632495748E-2</v>
      </c>
      <c r="AL45" s="27">
        <f t="shared" si="124"/>
        <v>0.64999999999999858</v>
      </c>
      <c r="AM45" s="27">
        <f t="shared" si="125"/>
        <v>33.75</v>
      </c>
      <c r="AN45" s="27">
        <f t="shared" si="126"/>
        <v>0.68321167883095413</v>
      </c>
      <c r="AO45" s="27">
        <f t="shared" si="127"/>
        <v>0.34160583941547706</v>
      </c>
      <c r="AP45" s="27">
        <f t="shared" si="128"/>
        <v>1.4233576642311544E-2</v>
      </c>
      <c r="AQ45" s="27">
        <f t="shared" si="129"/>
        <v>0</v>
      </c>
      <c r="AR45" s="27">
        <f t="shared" si="130"/>
        <v>0</v>
      </c>
      <c r="AS45" s="27">
        <f t="shared" si="131"/>
        <v>0</v>
      </c>
      <c r="AT45" s="27">
        <f t="shared" si="132"/>
        <v>0</v>
      </c>
      <c r="AU45" s="145">
        <f t="shared" si="133"/>
        <v>5400000</v>
      </c>
      <c r="AV45" s="27">
        <v>1</v>
      </c>
      <c r="AW45" s="27">
        <f t="shared" si="134"/>
        <v>1.4233576642311544E-2</v>
      </c>
      <c r="AX45" s="145">
        <f t="shared" si="135"/>
        <v>76861.313868482335</v>
      </c>
      <c r="AY45" s="145">
        <f t="shared" si="136"/>
        <v>93760432.954384729</v>
      </c>
      <c r="AZ45" s="27">
        <f t="shared" si="137"/>
        <v>0</v>
      </c>
      <c r="BA45" s="145">
        <f t="shared" si="138"/>
        <v>0</v>
      </c>
      <c r="BB45" s="145">
        <f t="shared" si="139"/>
        <v>0</v>
      </c>
      <c r="BC45" s="145">
        <f t="shared" si="140"/>
        <v>99160432.954384729</v>
      </c>
      <c r="BD45" s="145">
        <f t="shared" si="141"/>
        <v>6000356965.2783518</v>
      </c>
      <c r="BE45" s="84">
        <f t="shared" si="142"/>
        <v>1.539741181544173E-2</v>
      </c>
      <c r="BF45" s="84">
        <f t="shared" si="143"/>
        <v>1.4944743843347243E-2</v>
      </c>
      <c r="BG45" s="84">
        <f t="shared" si="144"/>
        <v>1.4944759470854947E-2</v>
      </c>
      <c r="BH45" s="38">
        <f t="shared" si="145"/>
        <v>14.529501666666668</v>
      </c>
      <c r="BI45" s="38">
        <f>STDEV(BH42:BH46)</f>
        <v>4.4920622113589319</v>
      </c>
      <c r="BJ45" s="358">
        <f t="shared" si="61"/>
        <v>6.5382757500000013</v>
      </c>
      <c r="BK45" s="38">
        <f>STDEV(BJ42:BJ46)</f>
        <v>2.0214279951115217</v>
      </c>
      <c r="BL45" s="38">
        <f>'Analisis economico'!$C$5/BJ45</f>
        <v>0.54448605964653596</v>
      </c>
      <c r="BM45" s="38">
        <f>STDEV(BL42:BL46)</f>
        <v>0.12452306128109428</v>
      </c>
      <c r="BN45" s="38">
        <f t="shared" si="160"/>
        <v>14.529501666666668</v>
      </c>
      <c r="BO45" s="38">
        <f t="shared" si="161"/>
        <v>0.20680677554709334</v>
      </c>
      <c r="BP45" s="38">
        <f t="shared" si="164"/>
        <v>208.41367643885789</v>
      </c>
      <c r="BQ45" s="27">
        <f t="shared" si="146"/>
        <v>222.94317810552457</v>
      </c>
      <c r="BR45" s="211">
        <v>14.529501666666668</v>
      </c>
      <c r="BS45" s="230"/>
      <c r="BT45" s="61" t="s">
        <v>220</v>
      </c>
      <c r="BU45" s="342"/>
      <c r="BV45" s="61" t="s">
        <v>220</v>
      </c>
      <c r="BW45" s="342"/>
      <c r="BX45" s="27">
        <f t="shared" si="165"/>
        <v>0.41696887474666661</v>
      </c>
      <c r="BY45" s="56"/>
      <c r="BZ45" s="38">
        <f t="shared" si="162"/>
        <v>14.529501666666668</v>
      </c>
      <c r="CA45" s="38">
        <f t="shared" si="163"/>
        <v>0.20680677554709334</v>
      </c>
      <c r="CB45" s="245">
        <f t="shared" si="166"/>
        <v>206.90946105423805</v>
      </c>
      <c r="CC45" s="58">
        <f t="shared" si="147"/>
        <v>221.43896272090473</v>
      </c>
      <c r="CD45" s="38">
        <v>54.119</v>
      </c>
      <c r="CE45" s="35"/>
      <c r="CF45" s="80">
        <f t="shared" si="167"/>
        <v>408492938.88888955</v>
      </c>
      <c r="CG45" s="77">
        <f t="shared" si="168"/>
        <v>408492938.88888955</v>
      </c>
      <c r="CH45" s="62"/>
      <c r="CI45" s="93">
        <f t="shared" si="148"/>
        <v>7991666.6666802764</v>
      </c>
      <c r="CJ45" s="58"/>
      <c r="CK45" s="320">
        <v>0.63256807004964566</v>
      </c>
      <c r="CL45" s="320"/>
      <c r="CM45" s="320"/>
      <c r="CN45" s="320"/>
      <c r="CO45" s="38">
        <f t="shared" si="169"/>
        <v>-59.243369331229147</v>
      </c>
      <c r="CP45" s="321"/>
      <c r="CQ45" s="321"/>
      <c r="CR45" s="322"/>
      <c r="CS45" s="58">
        <f t="shared" si="170"/>
        <v>-59.24336933122914</v>
      </c>
      <c r="CT45" s="58"/>
      <c r="CU45" s="58"/>
      <c r="CV45" s="58"/>
      <c r="CW45" s="320">
        <v>23.766834287673472</v>
      </c>
      <c r="CX45" s="320"/>
      <c r="CY45" s="320"/>
      <c r="CZ45" s="320"/>
      <c r="DA45" s="193"/>
      <c r="DB45" s="320"/>
      <c r="DC45" s="320"/>
      <c r="DD45" s="320"/>
      <c r="DE45" s="193"/>
      <c r="DF45" s="320"/>
      <c r="DG45" s="320"/>
      <c r="DH45" s="320"/>
      <c r="DI45" s="320">
        <f t="shared" si="173"/>
        <v>-1.0170922658048358</v>
      </c>
      <c r="DJ45" s="320"/>
      <c r="DK45" s="320"/>
      <c r="DL45" s="320"/>
      <c r="DM45" s="352">
        <f t="shared" si="175"/>
        <v>0.23109086253841815</v>
      </c>
      <c r="DN45" s="320"/>
      <c r="DO45" s="320"/>
      <c r="DP45" s="320"/>
      <c r="DQ45" s="352">
        <f t="shared" si="176"/>
        <v>1.2936681838130801</v>
      </c>
      <c r="DR45" s="320"/>
      <c r="DS45" s="320"/>
      <c r="DT45" s="320"/>
      <c r="DV45" s="38">
        <f t="shared" si="177"/>
        <v>0</v>
      </c>
      <c r="DW45" s="56"/>
      <c r="DX45" s="38">
        <v>1.3758229833839397</v>
      </c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K45"/>
      <c r="FL45"/>
      <c r="FM45"/>
      <c r="FN45"/>
    </row>
    <row r="46" spans="1:170" ht="15.75" thickBot="1" x14ac:dyDescent="0.25">
      <c r="A46" s="229">
        <v>39</v>
      </c>
      <c r="B46" s="203">
        <v>43668</v>
      </c>
      <c r="C46" s="60">
        <v>0.61111111111111105</v>
      </c>
      <c r="D46" s="87">
        <f t="shared" si="158"/>
        <v>1132.1666666666279</v>
      </c>
      <c r="E46" s="87">
        <f t="shared" si="159"/>
        <v>47.173611111109494</v>
      </c>
      <c r="F46" s="116">
        <v>1</v>
      </c>
      <c r="G46" s="258">
        <v>5960000</v>
      </c>
      <c r="H46" s="258">
        <v>4780000</v>
      </c>
      <c r="I46" s="258">
        <v>5240000</v>
      </c>
      <c r="J46" s="300">
        <f t="shared" si="155"/>
        <v>5326666.666666667</v>
      </c>
      <c r="K46" s="258">
        <f t="shared" si="156"/>
        <v>594754.85145842505</v>
      </c>
      <c r="L46" s="257">
        <f t="shared" si="157"/>
        <v>0.11165610477942897</v>
      </c>
      <c r="M46" s="118">
        <f t="shared" si="109"/>
        <v>5326666.666666667</v>
      </c>
      <c r="N46" s="204">
        <v>293000</v>
      </c>
      <c r="O46" s="88">
        <f t="shared" si="110"/>
        <v>293000</v>
      </c>
      <c r="P46" s="38">
        <v>7.12</v>
      </c>
      <c r="Q46" s="38">
        <v>44.7</v>
      </c>
      <c r="R46" s="84">
        <f t="shared" si="111"/>
        <v>1.4248640225432261E-2</v>
      </c>
      <c r="S46" s="109">
        <f t="shared" si="174"/>
        <v>0.34196736541037426</v>
      </c>
      <c r="T46" s="311">
        <f t="shared" si="15"/>
        <v>15119965.277745469</v>
      </c>
      <c r="U46" s="84" t="e">
        <f>#REF!</f>
        <v>#REF!</v>
      </c>
      <c r="V46" s="63">
        <f t="shared" si="112"/>
        <v>5619666.666666667</v>
      </c>
      <c r="W46" s="89">
        <f t="shared" si="113"/>
        <v>5619666.666666667</v>
      </c>
      <c r="X46" s="90">
        <f t="shared" si="114"/>
        <v>0.9478616762560057</v>
      </c>
      <c r="Y46" s="61">
        <f t="shared" si="115"/>
        <v>6292658631.9443941</v>
      </c>
      <c r="Z46" s="148">
        <f t="shared" si="116"/>
        <v>426535105.55551881</v>
      </c>
      <c r="AA46" s="27">
        <v>35.35</v>
      </c>
      <c r="AB46" s="27">
        <v>0</v>
      </c>
      <c r="AC46" s="27">
        <v>0</v>
      </c>
      <c r="AD46" s="27">
        <v>0</v>
      </c>
      <c r="AE46" s="27">
        <f t="shared" si="117"/>
        <v>2.2708333333284827</v>
      </c>
      <c r="AF46" s="27">
        <f t="shared" si="118"/>
        <v>1.6000000000000014</v>
      </c>
      <c r="AG46" s="27">
        <f t="shared" si="119"/>
        <v>35.35</v>
      </c>
      <c r="AH46" s="27">
        <f t="shared" si="120"/>
        <v>0.70458715596480836</v>
      </c>
      <c r="AI46" s="27">
        <f t="shared" si="121"/>
        <v>0.35229357798240418</v>
      </c>
      <c r="AJ46" s="109">
        <f t="shared" si="122"/>
        <v>1.4678899082600174E-2</v>
      </c>
      <c r="AK46" s="109">
        <f t="shared" si="123"/>
        <v>6.6137718019224814E-2</v>
      </c>
      <c r="AL46" s="27">
        <f t="shared" si="124"/>
        <v>1.6000000000000014</v>
      </c>
      <c r="AM46" s="27">
        <f t="shared" si="125"/>
        <v>35.35</v>
      </c>
      <c r="AN46" s="27">
        <f t="shared" si="126"/>
        <v>0.70458715596480836</v>
      </c>
      <c r="AO46" s="27">
        <f t="shared" si="127"/>
        <v>0.35229357798240418</v>
      </c>
      <c r="AP46" s="27">
        <f t="shared" si="128"/>
        <v>1.4678899082600174E-2</v>
      </c>
      <c r="AQ46" s="27">
        <f t="shared" si="129"/>
        <v>0</v>
      </c>
      <c r="AR46" s="27">
        <f t="shared" si="130"/>
        <v>0</v>
      </c>
      <c r="AS46" s="27">
        <f t="shared" si="131"/>
        <v>0</v>
      </c>
      <c r="AT46" s="27">
        <f t="shared" si="132"/>
        <v>0</v>
      </c>
      <c r="AU46" s="145">
        <f t="shared" si="133"/>
        <v>5326666.666666667</v>
      </c>
      <c r="AV46" s="27">
        <v>1</v>
      </c>
      <c r="AW46" s="27">
        <f t="shared" si="134"/>
        <v>1.4678899082600174E-2</v>
      </c>
      <c r="AX46" s="145">
        <f t="shared" si="135"/>
        <v>78189.602446650257</v>
      </c>
      <c r="AY46" s="145">
        <f t="shared" si="136"/>
        <v>97985570.42396307</v>
      </c>
      <c r="AZ46" s="27">
        <f t="shared" si="137"/>
        <v>0</v>
      </c>
      <c r="BA46" s="145">
        <f t="shared" si="138"/>
        <v>0</v>
      </c>
      <c r="BB46" s="145">
        <f t="shared" si="139"/>
        <v>0</v>
      </c>
      <c r="BC46" s="145">
        <f t="shared" si="140"/>
        <v>103312237.09062974</v>
      </c>
      <c r="BD46" s="145">
        <f t="shared" si="141"/>
        <v>6292658631.9443941</v>
      </c>
      <c r="BE46" s="84">
        <f t="shared" si="142"/>
        <v>1.420383326444899E-2</v>
      </c>
      <c r="BF46" s="84">
        <f t="shared" si="143"/>
        <v>1.4248659939549581E-2</v>
      </c>
      <c r="BG46" s="84">
        <f t="shared" si="144"/>
        <v>1.4248640225432261E-2</v>
      </c>
      <c r="BH46" s="38">
        <f t="shared" si="145"/>
        <v>12.065904999999999</v>
      </c>
      <c r="BI46" s="56" t="s">
        <v>220</v>
      </c>
      <c r="BJ46" s="358">
        <f t="shared" si="61"/>
        <v>5.42965725</v>
      </c>
      <c r="BK46" s="56" t="s">
        <v>220</v>
      </c>
      <c r="BL46" s="38">
        <f>'Analisis economico'!$C$5/BJ46</f>
        <v>0.65565832907777011</v>
      </c>
      <c r="BM46" s="56" t="s">
        <v>220</v>
      </c>
      <c r="BN46" s="38">
        <f t="shared" si="160"/>
        <v>12.065904999999999</v>
      </c>
      <c r="BO46" s="38">
        <f t="shared" si="161"/>
        <v>0.17711420183524085</v>
      </c>
      <c r="BP46" s="38">
        <f t="shared" si="164"/>
        <v>218.87552307250417</v>
      </c>
      <c r="BQ46" s="27">
        <f t="shared" si="146"/>
        <v>230.94142807250415</v>
      </c>
      <c r="BR46" s="211">
        <v>12.065904999999999</v>
      </c>
      <c r="BS46" s="61">
        <f t="shared" si="178"/>
        <v>2.7966197022542237E-8</v>
      </c>
      <c r="BT46" s="257">
        <f>BT43/AVERAGE(BS42:BS46)</f>
        <v>0.17230335416237583</v>
      </c>
      <c r="BU46" s="342">
        <f t="shared" si="62"/>
        <v>0.67118872854101375</v>
      </c>
      <c r="BV46" s="257">
        <f>BV43/AVERAGE(BU42:BU46)</f>
        <v>0.17230335416237655</v>
      </c>
      <c r="BW46" s="342"/>
      <c r="BX46" s="27">
        <f t="shared" si="165"/>
        <v>0.43824520007999995</v>
      </c>
      <c r="BY46" s="56"/>
      <c r="BZ46" s="38">
        <f t="shared" si="162"/>
        <v>12.065904999999999</v>
      </c>
      <c r="CA46" s="38">
        <f t="shared" si="163"/>
        <v>0.17711420183524085</v>
      </c>
      <c r="CB46" s="245">
        <f t="shared" si="166"/>
        <v>217.37130768788433</v>
      </c>
      <c r="CC46" s="58">
        <f t="shared" si="147"/>
        <v>229.43721268788431</v>
      </c>
      <c r="CD46" s="38">
        <v>55.119</v>
      </c>
      <c r="CE46" s="35"/>
      <c r="CF46" s="80">
        <f t="shared" si="167"/>
        <v>426096438.88885194</v>
      </c>
      <c r="CG46" s="77">
        <f t="shared" si="168"/>
        <v>426096438.88885194</v>
      </c>
      <c r="CH46" s="62"/>
      <c r="CI46" s="93">
        <f t="shared" si="148"/>
        <v>17603499.999962389</v>
      </c>
      <c r="CJ46" s="58"/>
      <c r="CK46" s="320">
        <v>0.17240172630889972</v>
      </c>
      <c r="CL46" s="320"/>
      <c r="CM46" s="320"/>
      <c r="CN46" s="320"/>
      <c r="CO46" s="38">
        <f t="shared" si="169"/>
        <v>-66.158289980916919</v>
      </c>
      <c r="CP46" s="321"/>
      <c r="CQ46" s="321"/>
      <c r="CR46" s="322"/>
      <c r="CS46" s="58">
        <f t="shared" si="170"/>
        <v>-66.158289980916919</v>
      </c>
      <c r="CT46" s="58"/>
      <c r="CU46" s="58"/>
      <c r="CV46" s="58"/>
      <c r="CW46" s="320">
        <v>31.618744851073767</v>
      </c>
      <c r="CX46" s="320"/>
      <c r="CY46" s="320"/>
      <c r="CZ46" s="320"/>
      <c r="DA46" s="38">
        <f t="shared" si="171"/>
        <v>102.65470792946773</v>
      </c>
      <c r="DB46" s="320"/>
      <c r="DC46" s="320"/>
      <c r="DD46" s="320"/>
      <c r="DE46" s="38">
        <f t="shared" si="172"/>
        <v>102.65470792946773</v>
      </c>
      <c r="DF46" s="320"/>
      <c r="DG46" s="320"/>
      <c r="DH46" s="320"/>
      <c r="DI46" s="320">
        <f t="shared" si="173"/>
        <v>-1.3269799367897328</v>
      </c>
      <c r="DJ46" s="320"/>
      <c r="DK46" s="320"/>
      <c r="DL46" s="320"/>
      <c r="DM46" s="352">
        <f t="shared" si="175"/>
        <v>0.22355029682316024</v>
      </c>
      <c r="DN46" s="320"/>
      <c r="DO46" s="320"/>
      <c r="DP46" s="320"/>
      <c r="DQ46" s="352">
        <f t="shared" si="176"/>
        <v>1.4874689183661118</v>
      </c>
      <c r="DR46" s="320"/>
      <c r="DS46" s="320"/>
      <c r="DT46" s="320"/>
      <c r="DV46" s="38">
        <f t="shared" si="177"/>
        <v>0</v>
      </c>
      <c r="DW46" s="56"/>
      <c r="DX46" s="38">
        <v>1.9689727927104081</v>
      </c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K46"/>
      <c r="FL46"/>
      <c r="FM46"/>
      <c r="FN46"/>
    </row>
    <row r="47" spans="1:170" ht="15.75" thickBot="1" x14ac:dyDescent="0.25">
      <c r="A47" s="229">
        <v>40</v>
      </c>
      <c r="B47" s="203">
        <v>43669</v>
      </c>
      <c r="C47" s="60">
        <v>0.38194444444444442</v>
      </c>
      <c r="D47" s="87">
        <f t="shared" si="158"/>
        <v>1150.6666666666861</v>
      </c>
      <c r="E47" s="87">
        <f t="shared" si="159"/>
        <v>47.944444444445253</v>
      </c>
      <c r="F47" s="116">
        <v>1</v>
      </c>
      <c r="G47" s="258">
        <v>6260000</v>
      </c>
      <c r="H47" s="258">
        <v>4740000</v>
      </c>
      <c r="I47" s="258">
        <v>5840000</v>
      </c>
      <c r="J47" s="300">
        <f t="shared" si="155"/>
        <v>5613333.333333333</v>
      </c>
      <c r="K47" s="258">
        <f t="shared" si="156"/>
        <v>784941.6114166301</v>
      </c>
      <c r="L47" s="257">
        <f t="shared" si="157"/>
        <v>0.139835203934079</v>
      </c>
      <c r="M47" s="118">
        <f t="shared" si="109"/>
        <v>5613333.333333333</v>
      </c>
      <c r="N47" s="204">
        <v>347000</v>
      </c>
      <c r="O47" s="88">
        <f t="shared" si="110"/>
        <v>347000</v>
      </c>
      <c r="P47" s="38">
        <v>7.11</v>
      </c>
      <c r="Q47" s="38">
        <v>42.7</v>
      </c>
      <c r="R47" s="84">
        <f t="shared" si="111"/>
        <v>1.804616528423509E-2</v>
      </c>
      <c r="S47" s="109">
        <f t="shared" si="174"/>
        <v>0.43310796682164215</v>
      </c>
      <c r="T47" s="311">
        <f t="shared" si="15"/>
        <v>15734343.43439302</v>
      </c>
      <c r="U47" s="84" t="e">
        <f>#REF!</f>
        <v>#REF!</v>
      </c>
      <c r="V47" s="63">
        <f t="shared" si="112"/>
        <v>5960333.333333333</v>
      </c>
      <c r="W47" s="89">
        <f t="shared" si="113"/>
        <v>5960333.333333333</v>
      </c>
      <c r="X47" s="90">
        <f t="shared" si="114"/>
        <v>0.94178177954253117</v>
      </c>
      <c r="Y47" s="61">
        <f t="shared" si="115"/>
        <v>6393853631.9447126</v>
      </c>
      <c r="Z47" s="148">
        <f t="shared" si="116"/>
        <v>432455105.55553746</v>
      </c>
      <c r="AA47" s="27">
        <v>35.9</v>
      </c>
      <c r="AB47" s="27">
        <v>0</v>
      </c>
      <c r="AC47" s="27">
        <v>0</v>
      </c>
      <c r="AD47" s="27">
        <v>0</v>
      </c>
      <c r="AE47" s="27">
        <f t="shared" si="117"/>
        <v>0.77083333333575865</v>
      </c>
      <c r="AF47" s="27">
        <f t="shared" si="118"/>
        <v>0.54999999999999716</v>
      </c>
      <c r="AG47" s="27">
        <f t="shared" si="119"/>
        <v>35.9</v>
      </c>
      <c r="AH47" s="27">
        <f t="shared" si="120"/>
        <v>0.71351351351126491</v>
      </c>
      <c r="AI47" s="27">
        <f t="shared" si="121"/>
        <v>0.35675675675563245</v>
      </c>
      <c r="AJ47" s="109">
        <f t="shared" si="122"/>
        <v>1.4864864864818019E-2</v>
      </c>
      <c r="AK47" s="109">
        <f t="shared" si="123"/>
        <v>6.355524170230982E-2</v>
      </c>
      <c r="AL47" s="27">
        <f t="shared" si="124"/>
        <v>0.54999999999999716</v>
      </c>
      <c r="AM47" s="27">
        <f t="shared" si="125"/>
        <v>35.9</v>
      </c>
      <c r="AN47" s="27">
        <f t="shared" si="126"/>
        <v>0.71351351351126491</v>
      </c>
      <c r="AO47" s="27">
        <f t="shared" si="127"/>
        <v>0.35675675675563245</v>
      </c>
      <c r="AP47" s="27">
        <f t="shared" si="128"/>
        <v>1.4864864864818019E-2</v>
      </c>
      <c r="AQ47" s="27">
        <f t="shared" si="129"/>
        <v>0</v>
      </c>
      <c r="AR47" s="27">
        <f t="shared" si="130"/>
        <v>0</v>
      </c>
      <c r="AS47" s="27">
        <f t="shared" si="131"/>
        <v>0</v>
      </c>
      <c r="AT47" s="27">
        <f t="shared" si="132"/>
        <v>0</v>
      </c>
      <c r="AU47" s="145">
        <f t="shared" si="133"/>
        <v>5613333.333333333</v>
      </c>
      <c r="AV47" s="27">
        <v>1</v>
      </c>
      <c r="AW47" s="27">
        <f t="shared" si="134"/>
        <v>1.4864864864818019E-2</v>
      </c>
      <c r="AX47" s="145">
        <f t="shared" si="135"/>
        <v>83441.441441178482</v>
      </c>
      <c r="AY47" s="145">
        <f t="shared" si="136"/>
        <v>99480657.579930186</v>
      </c>
      <c r="AZ47" s="27">
        <f t="shared" si="137"/>
        <v>0</v>
      </c>
      <c r="BA47" s="145">
        <f t="shared" si="138"/>
        <v>0</v>
      </c>
      <c r="BB47" s="145">
        <f t="shared" si="139"/>
        <v>0</v>
      </c>
      <c r="BC47" s="145">
        <f t="shared" si="140"/>
        <v>105093990.91326351</v>
      </c>
      <c r="BD47" s="145">
        <f t="shared" si="141"/>
        <v>6393853631.9447126</v>
      </c>
      <c r="BE47" s="84">
        <f t="shared" si="142"/>
        <v>1.760713298708597E-2</v>
      </c>
      <c r="BF47" s="84">
        <f t="shared" si="143"/>
        <v>1.8045247319801862E-2</v>
      </c>
      <c r="BG47" s="84">
        <f t="shared" si="144"/>
        <v>1.804616528423509E-2</v>
      </c>
      <c r="BH47" s="347">
        <f t="shared" si="145"/>
        <v>7.1696749999999998</v>
      </c>
      <c r="BI47" s="346">
        <f>BI45/BI43</f>
        <v>0.25766147750744151</v>
      </c>
      <c r="BJ47" s="38"/>
      <c r="BK47" s="346">
        <f>BK45/BK43</f>
        <v>0.25766147750744178</v>
      </c>
      <c r="BL47" s="38"/>
      <c r="BM47" s="346">
        <f>BM45/BM43</f>
        <v>0.26005492360837484</v>
      </c>
      <c r="BN47" s="38">
        <f t="shared" si="160"/>
        <v>7.1696749999999998</v>
      </c>
      <c r="BO47" s="38">
        <f t="shared" si="161"/>
        <v>0.10657624999966413</v>
      </c>
      <c r="BP47" s="38">
        <f t="shared" si="164"/>
        <v>221.49965975198529</v>
      </c>
      <c r="BQ47" s="27">
        <f t="shared" si="146"/>
        <v>228.6693347519853</v>
      </c>
      <c r="BR47" s="211">
        <v>7.1696749999999998</v>
      </c>
      <c r="BS47" s="349">
        <f t="shared" si="178"/>
        <v>-2.2247519640228563E-8</v>
      </c>
      <c r="BT47" s="61"/>
      <c r="BU47" s="342">
        <f t="shared" si="62"/>
        <v>-0.5339404713654855</v>
      </c>
      <c r="BV47" s="342"/>
      <c r="BW47" s="342"/>
      <c r="BX47" s="27">
        <f t="shared" si="165"/>
        <v>0.4435349845799999</v>
      </c>
      <c r="BY47" s="56"/>
      <c r="BZ47" s="38">
        <f t="shared" si="162"/>
        <v>7.1696749999999998</v>
      </c>
      <c r="CA47" s="38">
        <f t="shared" si="163"/>
        <v>0.10657624999966413</v>
      </c>
      <c r="CB47" s="245">
        <f t="shared" si="166"/>
        <v>219.99544436736545</v>
      </c>
      <c r="CC47" s="58">
        <f t="shared" si="147"/>
        <v>227.16511936736546</v>
      </c>
      <c r="CD47" s="38">
        <v>56.119</v>
      </c>
      <c r="CE47" s="35"/>
      <c r="CF47" s="80">
        <f t="shared" si="167"/>
        <v>432016438.8888706</v>
      </c>
      <c r="CG47" s="77">
        <f t="shared" si="168"/>
        <v>432016438.8888706</v>
      </c>
      <c r="CH47" s="62"/>
      <c r="CI47" s="93">
        <f t="shared" si="148"/>
        <v>5920000.0000186563</v>
      </c>
      <c r="CJ47" s="58"/>
      <c r="CK47" s="320">
        <v>0.56873562832325664</v>
      </c>
      <c r="CL47" s="320"/>
      <c r="CM47" s="320"/>
      <c r="CN47" s="320"/>
      <c r="CO47" s="38">
        <f t="shared" si="169"/>
        <v>-60.297047400607646</v>
      </c>
      <c r="CP47" s="321"/>
      <c r="CQ47" s="321"/>
      <c r="CR47" s="322"/>
      <c r="CS47" s="58">
        <f t="shared" si="170"/>
        <v>-60.297047400607646</v>
      </c>
      <c r="CT47" s="58"/>
      <c r="CU47" s="58"/>
      <c r="CV47" s="58"/>
      <c r="CW47" s="320">
        <v>30.820436954984896</v>
      </c>
      <c r="CX47" s="320"/>
      <c r="CY47" s="320"/>
      <c r="CZ47" s="320"/>
      <c r="DA47" s="38">
        <f t="shared" si="171"/>
        <v>76.951228837587351</v>
      </c>
      <c r="DB47" s="320"/>
      <c r="DC47" s="320"/>
      <c r="DD47" s="320"/>
      <c r="DE47" s="38">
        <f t="shared" si="172"/>
        <v>76.951228837587337</v>
      </c>
      <c r="DF47" s="320"/>
      <c r="DG47" s="320"/>
      <c r="DH47" s="320"/>
      <c r="DI47" s="320">
        <f t="shared" si="173"/>
        <v>-1.315355264918612</v>
      </c>
      <c r="DJ47" s="320"/>
      <c r="DK47" s="320"/>
      <c r="DL47" s="320"/>
      <c r="DM47" s="352">
        <f t="shared" si="175"/>
        <v>0.23956595957828983</v>
      </c>
      <c r="DN47" s="320"/>
      <c r="DO47" s="320"/>
      <c r="DP47" s="320"/>
      <c r="DQ47" s="352">
        <f t="shared" si="176"/>
        <v>1.4877342754310523</v>
      </c>
      <c r="DR47" s="320"/>
      <c r="DS47" s="320"/>
      <c r="DT47" s="320"/>
      <c r="DV47" s="38">
        <f t="shared" si="177"/>
        <v>0</v>
      </c>
      <c r="DW47" s="56"/>
      <c r="DX47" s="38">
        <v>1.7769247768006551</v>
      </c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K47"/>
      <c r="FL47"/>
      <c r="FM47"/>
      <c r="FN47"/>
    </row>
    <row r="48" spans="1:170" ht="15.75" thickBot="1" x14ac:dyDescent="0.25">
      <c r="A48" s="229">
        <v>41</v>
      </c>
      <c r="B48" s="203">
        <v>43670</v>
      </c>
      <c r="C48" s="60">
        <v>0.42708333333333331</v>
      </c>
      <c r="D48" s="87">
        <f t="shared" si="158"/>
        <v>1175.7500000000582</v>
      </c>
      <c r="E48" s="87">
        <f t="shared" si="159"/>
        <v>48.989583333335759</v>
      </c>
      <c r="F48" s="116">
        <v>1</v>
      </c>
      <c r="G48" s="258">
        <v>5460000</v>
      </c>
      <c r="H48" s="258">
        <v>4920000</v>
      </c>
      <c r="I48" s="258"/>
      <c r="J48" s="258">
        <f>AVERAGE(G48:I48)</f>
        <v>5190000</v>
      </c>
      <c r="K48" s="258">
        <f>STDEV(G48:I48)</f>
        <v>381837.66184073564</v>
      </c>
      <c r="L48" s="257">
        <f t="shared" si="108"/>
        <v>7.3571803822877771E-2</v>
      </c>
      <c r="M48" s="118">
        <f t="shared" si="109"/>
        <v>5190000</v>
      </c>
      <c r="N48" s="204">
        <v>480000</v>
      </c>
      <c r="O48" s="88">
        <f t="shared" si="110"/>
        <v>480000</v>
      </c>
      <c r="P48" s="38">
        <v>7.11</v>
      </c>
      <c r="Q48" s="38">
        <v>44.4</v>
      </c>
      <c r="R48" s="84">
        <f t="shared" si="111"/>
        <v>1.4952666171991738E-2</v>
      </c>
      <c r="S48" s="84"/>
      <c r="T48" s="311">
        <f t="shared" si="15"/>
        <v>12762990.196098156</v>
      </c>
      <c r="U48" s="84" t="e">
        <f>#REF!</f>
        <v>#REF!</v>
      </c>
      <c r="V48" s="63">
        <f t="shared" si="112"/>
        <v>5670000</v>
      </c>
      <c r="W48" s="89">
        <f t="shared" si="113"/>
        <v>5670000</v>
      </c>
      <c r="X48" s="90">
        <f t="shared" si="114"/>
        <v>0.91534391534391535</v>
      </c>
      <c r="Y48" s="61">
        <f t="shared" si="115"/>
        <v>6529345437.5004778</v>
      </c>
      <c r="Z48" s="148">
        <f t="shared" si="116"/>
        <v>442827063.88888687</v>
      </c>
      <c r="AA48" s="27">
        <v>36.75</v>
      </c>
      <c r="AB48" s="27">
        <v>0</v>
      </c>
      <c r="AC48" s="27">
        <v>0</v>
      </c>
      <c r="AD48" s="27">
        <v>0</v>
      </c>
      <c r="AE48" s="27">
        <f t="shared" si="117"/>
        <v>1.0451388888905058</v>
      </c>
      <c r="AF48" s="27">
        <f t="shared" si="118"/>
        <v>0.85000000000000142</v>
      </c>
      <c r="AG48" s="27">
        <f t="shared" si="119"/>
        <v>36.75</v>
      </c>
      <c r="AH48" s="27">
        <f t="shared" si="120"/>
        <v>0.81328903654359364</v>
      </c>
      <c r="AI48" s="27">
        <f t="shared" si="121"/>
        <v>0.40664451827179682</v>
      </c>
      <c r="AJ48" s="109">
        <f t="shared" si="122"/>
        <v>1.6943521594658201E-2</v>
      </c>
      <c r="AK48" s="109">
        <f t="shared" si="123"/>
        <v>7.8351544946396304E-2</v>
      </c>
      <c r="AL48" s="27">
        <f t="shared" si="124"/>
        <v>0.85000000000000142</v>
      </c>
      <c r="AM48" s="27">
        <f t="shared" si="125"/>
        <v>36.75</v>
      </c>
      <c r="AN48" s="27">
        <f t="shared" si="126"/>
        <v>0.81328903654359364</v>
      </c>
      <c r="AO48" s="27">
        <f t="shared" si="127"/>
        <v>0.40664451827179682</v>
      </c>
      <c r="AP48" s="27">
        <f t="shared" si="128"/>
        <v>1.6943521594658201E-2</v>
      </c>
      <c r="AQ48" s="27">
        <f t="shared" si="129"/>
        <v>0</v>
      </c>
      <c r="AR48" s="27">
        <f t="shared" si="130"/>
        <v>0</v>
      </c>
      <c r="AS48" s="27">
        <f t="shared" si="131"/>
        <v>0</v>
      </c>
      <c r="AT48" s="27">
        <f t="shared" si="132"/>
        <v>0</v>
      </c>
      <c r="AU48" s="145">
        <f t="shared" si="133"/>
        <v>5190000</v>
      </c>
      <c r="AV48" s="27">
        <v>1</v>
      </c>
      <c r="AW48" s="27">
        <f t="shared" si="134"/>
        <v>1.6943521594658201E-2</v>
      </c>
      <c r="AX48" s="145">
        <f t="shared" si="135"/>
        <v>87936.877076276069</v>
      </c>
      <c r="AY48" s="145">
        <f t="shared" si="136"/>
        <v>101630027.32467325</v>
      </c>
      <c r="AZ48" s="27">
        <f t="shared" si="137"/>
        <v>0</v>
      </c>
      <c r="BA48" s="145">
        <f t="shared" si="138"/>
        <v>0</v>
      </c>
      <c r="BB48" s="145">
        <f t="shared" si="139"/>
        <v>0</v>
      </c>
      <c r="BC48" s="145">
        <f t="shared" si="140"/>
        <v>106820027.32467325</v>
      </c>
      <c r="BD48" s="145">
        <f t="shared" si="141"/>
        <v>6529345437.5004778</v>
      </c>
      <c r="BE48" s="84">
        <f t="shared" si="142"/>
        <v>1.2739046500486266E-2</v>
      </c>
      <c r="BF48" s="84">
        <f t="shared" si="143"/>
        <v>1.4953079790660573E-2</v>
      </c>
      <c r="BG48" s="84">
        <f t="shared" si="144"/>
        <v>1.4952666171991738E-2</v>
      </c>
      <c r="BH48" s="38">
        <f t="shared" si="145"/>
        <v>8.906055666666667</v>
      </c>
      <c r="BI48" s="38"/>
      <c r="BJ48" s="38">
        <f t="shared" si="61"/>
        <v>4.0077250500000003</v>
      </c>
      <c r="BK48" s="38"/>
      <c r="BL48" s="38">
        <f>'Analisis economico'!$C$5/BJ48</f>
        <v>0.88828448947614302</v>
      </c>
      <c r="BM48" s="38"/>
      <c r="BN48" s="38">
        <f t="shared" si="160"/>
        <v>8.906055666666667</v>
      </c>
      <c r="BO48" s="38">
        <f t="shared" si="161"/>
        <v>0.15089994651139471</v>
      </c>
      <c r="BP48" s="38">
        <f t="shared" si="164"/>
        <v>224.72884038323315</v>
      </c>
      <c r="BQ48" s="27">
        <f t="shared" si="146"/>
        <v>233.63489604989982</v>
      </c>
      <c r="BR48" s="211">
        <v>8.906055666666667</v>
      </c>
      <c r="BS48" s="61">
        <f t="shared" si="178"/>
        <v>3.8027933956586815E-8</v>
      </c>
      <c r="BT48" s="61"/>
      <c r="BU48" s="342">
        <f t="shared" si="62"/>
        <v>0.91267041495808365</v>
      </c>
      <c r="BV48" s="342"/>
      <c r="BW48" s="342"/>
      <c r="BX48" s="27">
        <f t="shared" si="165"/>
        <v>0.45036717011333327</v>
      </c>
      <c r="BY48" s="56"/>
      <c r="BZ48" s="38">
        <f t="shared" si="162"/>
        <v>8.906055666666667</v>
      </c>
      <c r="CA48" s="38">
        <f t="shared" si="163"/>
        <v>0.15089994651139471</v>
      </c>
      <c r="CB48" s="245">
        <f t="shared" si="166"/>
        <v>223.22462499861331</v>
      </c>
      <c r="CC48" s="58">
        <f t="shared" si="147"/>
        <v>232.13068066527998</v>
      </c>
      <c r="CD48" s="38">
        <v>57.119</v>
      </c>
      <c r="CE48" s="35"/>
      <c r="CF48" s="80">
        <f t="shared" si="167"/>
        <v>442388397.22222</v>
      </c>
      <c r="CG48" s="77">
        <f t="shared" si="168"/>
        <v>442388397.22222</v>
      </c>
      <c r="CH48" s="62"/>
      <c r="CI48" s="93">
        <f t="shared" si="148"/>
        <v>10371958.333349407</v>
      </c>
      <c r="CJ48" s="58"/>
      <c r="CK48" s="38">
        <v>0.48509396660934595</v>
      </c>
      <c r="CL48" s="38"/>
      <c r="CM48" s="38"/>
      <c r="CN48" s="38"/>
      <c r="CO48" s="38">
        <f t="shared" si="169"/>
        <v>-74.245839676632087</v>
      </c>
      <c r="CP48" s="37"/>
      <c r="CQ48" s="37"/>
      <c r="CR48" s="56"/>
      <c r="CS48" s="58">
        <f t="shared" si="170"/>
        <v>-74.245839676632102</v>
      </c>
      <c r="CT48" s="58"/>
      <c r="CU48" s="58"/>
      <c r="CV48" s="58"/>
      <c r="CW48" s="38">
        <v>33.192057781034521</v>
      </c>
      <c r="CX48" s="38"/>
      <c r="CY48" s="38"/>
      <c r="CZ48" s="38"/>
      <c r="DA48" s="38">
        <f t="shared" si="171"/>
        <v>117.89846546017979</v>
      </c>
      <c r="DB48" s="38"/>
      <c r="DC48" s="38"/>
      <c r="DD48" s="38"/>
      <c r="DE48" s="38">
        <f t="shared" si="172"/>
        <v>117.89846546017981</v>
      </c>
      <c r="DF48" s="38"/>
      <c r="DG48" s="38"/>
      <c r="DH48" s="38"/>
      <c r="DI48" s="38">
        <f t="shared" si="173"/>
        <v>-1.4115326565159358</v>
      </c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V48" s="38">
        <f t="shared" si="177"/>
        <v>0</v>
      </c>
      <c r="DW48" s="56"/>
      <c r="DX48" s="38">
        <v>1.5500603210222779</v>
      </c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K48"/>
      <c r="FL48"/>
      <c r="FM48"/>
      <c r="FN48"/>
    </row>
    <row r="49" spans="1:170" ht="15.75" thickBot="1" x14ac:dyDescent="0.25">
      <c r="A49" s="202">
        <v>42</v>
      </c>
      <c r="B49" s="203">
        <v>43672</v>
      </c>
      <c r="C49" s="60">
        <v>0.66319444444444442</v>
      </c>
      <c r="D49" s="87">
        <f t="shared" si="158"/>
        <v>1229.4166666666861</v>
      </c>
      <c r="E49" s="87">
        <f t="shared" si="159"/>
        <v>51.225694444445253</v>
      </c>
      <c r="F49" s="116">
        <v>1</v>
      </c>
      <c r="G49" s="258">
        <v>5200000</v>
      </c>
      <c r="H49" s="258">
        <v>5140000</v>
      </c>
      <c r="I49" s="258"/>
      <c r="J49" s="258">
        <f>AVERAGE(G49:I49)</f>
        <v>5170000</v>
      </c>
      <c r="K49" s="258">
        <f>STDEV(G49:I49)</f>
        <v>42426.406871192848</v>
      </c>
      <c r="L49" s="257">
        <f t="shared" si="108"/>
        <v>8.2062682536156381E-3</v>
      </c>
      <c r="M49" s="118">
        <f t="shared" si="109"/>
        <v>5170000</v>
      </c>
      <c r="N49" s="204">
        <v>540000</v>
      </c>
      <c r="O49" s="88">
        <f t="shared" si="110"/>
        <v>540000</v>
      </c>
      <c r="P49" s="38">
        <v>7.01</v>
      </c>
      <c r="Q49" s="38">
        <v>41.8</v>
      </c>
      <c r="R49" s="84">
        <f t="shared" si="111"/>
        <v>1.6901178371346193E-2</v>
      </c>
      <c r="S49" s="84"/>
      <c r="T49" s="311">
        <f t="shared" si="15"/>
        <v>12845216.049373448</v>
      </c>
      <c r="U49" s="84" t="e">
        <f>#REF!</f>
        <v>#REF!</v>
      </c>
      <c r="V49" s="63">
        <f t="shared" si="112"/>
        <v>5710000</v>
      </c>
      <c r="W49" s="89">
        <f t="shared" si="113"/>
        <v>5710000</v>
      </c>
      <c r="X49" s="90">
        <f t="shared" si="114"/>
        <v>0.9054290718038529</v>
      </c>
      <c r="Y49" s="61">
        <f t="shared" si="115"/>
        <v>6807338770.8336105</v>
      </c>
      <c r="Z49" s="148">
        <f t="shared" si="116"/>
        <v>470197063.88886708</v>
      </c>
      <c r="AA49" s="27">
        <v>38.549999999999997</v>
      </c>
      <c r="AB49" s="27">
        <v>0</v>
      </c>
      <c r="AC49" s="27">
        <v>0</v>
      </c>
      <c r="AD49" s="27">
        <v>0</v>
      </c>
      <c r="AE49" s="27">
        <f t="shared" si="117"/>
        <v>2.2361111111094942</v>
      </c>
      <c r="AF49" s="27">
        <f t="shared" si="118"/>
        <v>1.7999999999999972</v>
      </c>
      <c r="AG49" s="27">
        <f t="shared" si="119"/>
        <v>38.549999999999997</v>
      </c>
      <c r="AH49" s="27">
        <f t="shared" si="120"/>
        <v>0.80496894409995967</v>
      </c>
      <c r="AI49" s="27">
        <f t="shared" si="121"/>
        <v>0.40248447204997984</v>
      </c>
      <c r="AJ49" s="109">
        <f t="shared" si="122"/>
        <v>1.6770186335415826E-2</v>
      </c>
      <c r="AK49" s="109">
        <f t="shared" si="123"/>
        <v>7.7849994593806551E-2</v>
      </c>
      <c r="AL49" s="27">
        <f t="shared" si="124"/>
        <v>1.7999999999999972</v>
      </c>
      <c r="AM49" s="27">
        <f t="shared" si="125"/>
        <v>38.549999999999997</v>
      </c>
      <c r="AN49" s="27">
        <f t="shared" si="126"/>
        <v>0.80496894409995967</v>
      </c>
      <c r="AO49" s="27">
        <f t="shared" si="127"/>
        <v>0.40248447204997984</v>
      </c>
      <c r="AP49" s="27">
        <f t="shared" si="128"/>
        <v>1.6770186335415826E-2</v>
      </c>
      <c r="AQ49" s="27">
        <f t="shared" si="129"/>
        <v>0</v>
      </c>
      <c r="AR49" s="27">
        <f t="shared" si="130"/>
        <v>0</v>
      </c>
      <c r="AS49" s="27">
        <f t="shared" si="131"/>
        <v>0</v>
      </c>
      <c r="AT49" s="27">
        <f t="shared" si="132"/>
        <v>0</v>
      </c>
      <c r="AU49" s="145">
        <f t="shared" si="133"/>
        <v>5170000</v>
      </c>
      <c r="AV49" s="27">
        <v>1</v>
      </c>
      <c r="AW49" s="27">
        <f t="shared" si="134"/>
        <v>1.6770186335415826E-2</v>
      </c>
      <c r="AX49" s="145">
        <f t="shared" si="135"/>
        <v>86701.863354099827</v>
      </c>
      <c r="AY49" s="145">
        <f t="shared" si="136"/>
        <v>106316166.85955161</v>
      </c>
      <c r="AZ49" s="27">
        <f t="shared" si="137"/>
        <v>0</v>
      </c>
      <c r="BA49" s="145">
        <f t="shared" si="138"/>
        <v>0</v>
      </c>
      <c r="BB49" s="145">
        <f t="shared" si="139"/>
        <v>0</v>
      </c>
      <c r="BC49" s="145">
        <f t="shared" si="140"/>
        <v>111486166.85955161</v>
      </c>
      <c r="BD49" s="145">
        <f t="shared" si="141"/>
        <v>6807338770.8336105</v>
      </c>
      <c r="BE49" s="84">
        <f t="shared" si="142"/>
        <v>1.6785077105740155E-2</v>
      </c>
      <c r="BF49" s="84">
        <f t="shared" si="143"/>
        <v>1.690117783188461E-2</v>
      </c>
      <c r="BG49" s="84">
        <f t="shared" si="144"/>
        <v>1.6901178371346193E-2</v>
      </c>
      <c r="BH49" s="38">
        <f t="shared" si="145"/>
        <v>9.7148689999999984</v>
      </c>
      <c r="BI49" s="38"/>
      <c r="BJ49" s="38">
        <f t="shared" si="61"/>
        <v>4.371691049999999</v>
      </c>
      <c r="BK49" s="38"/>
      <c r="BL49" s="38">
        <f>'Analisis economico'!$C$5/BJ49</f>
        <v>0.81433018922963485</v>
      </c>
      <c r="BM49" s="38"/>
      <c r="BN49" s="38">
        <f t="shared" si="160"/>
        <v>9.7148689999999984</v>
      </c>
      <c r="BO49" s="38">
        <f t="shared" si="161"/>
        <v>0.1629201633541548</v>
      </c>
      <c r="BP49" s="38">
        <f t="shared" si="164"/>
        <v>233.14967999795263</v>
      </c>
      <c r="BQ49" s="27">
        <f t="shared" si="146"/>
        <v>242.86454899795262</v>
      </c>
      <c r="BR49" s="211">
        <v>9.7148689999999984</v>
      </c>
      <c r="BS49" s="61">
        <f t="shared" si="178"/>
        <v>3.3051977625386567E-8</v>
      </c>
      <c r="BT49" s="61"/>
      <c r="BU49" s="342">
        <f t="shared" si="62"/>
        <v>0.79324746300927751</v>
      </c>
      <c r="BV49" s="342"/>
      <c r="BW49" s="342"/>
      <c r="BX49" s="27">
        <f t="shared" si="165"/>
        <v>0.46712600231333323</v>
      </c>
      <c r="BY49" s="56"/>
      <c r="BZ49" s="38">
        <f t="shared" si="162"/>
        <v>9.7148689999999984</v>
      </c>
      <c r="CA49" s="38">
        <f t="shared" si="163"/>
        <v>0.1629201633541548</v>
      </c>
      <c r="CB49" s="245">
        <f t="shared" si="166"/>
        <v>231.64546461333279</v>
      </c>
      <c r="CC49" s="58">
        <f t="shared" si="147"/>
        <v>241.36033361333278</v>
      </c>
      <c r="CD49" s="38">
        <v>58.119</v>
      </c>
      <c r="CE49" s="35"/>
      <c r="CF49" s="80">
        <f t="shared" si="167"/>
        <v>469758397.22220021</v>
      </c>
      <c r="CG49" s="77">
        <f t="shared" si="168"/>
        <v>469758397.22220021</v>
      </c>
      <c r="CH49" s="62"/>
      <c r="CI49" s="93">
        <f t="shared" si="148"/>
        <v>27369999.999980211</v>
      </c>
      <c r="CJ49" s="58"/>
      <c r="CK49" s="38">
        <v>0.44108211716803758</v>
      </c>
      <c r="CL49" s="38"/>
      <c r="CM49" s="38"/>
      <c r="CN49" s="38"/>
      <c r="CO49" s="38">
        <f t="shared" si="169"/>
        <v>-76.35878298672678</v>
      </c>
      <c r="CP49" s="37"/>
      <c r="CQ49" s="37"/>
      <c r="CR49" s="56"/>
      <c r="CS49" s="58">
        <f t="shared" si="170"/>
        <v>-76.358782986726794</v>
      </c>
      <c r="CT49" s="58"/>
      <c r="CU49" s="58"/>
      <c r="CV49" s="58"/>
      <c r="CW49" s="38">
        <v>34.812446445662417</v>
      </c>
      <c r="CX49" s="38"/>
      <c r="CY49" s="38"/>
      <c r="CZ49" s="38"/>
      <c r="DA49" s="38">
        <f t="shared" si="171"/>
        <v>115.91074929853752</v>
      </c>
      <c r="DB49" s="38"/>
      <c r="DC49" s="38"/>
      <c r="DD49" s="38"/>
      <c r="DE49" s="38">
        <f t="shared" si="172"/>
        <v>115.91074929853751</v>
      </c>
      <c r="DF49" s="38"/>
      <c r="DG49" s="38"/>
      <c r="DH49" s="38"/>
      <c r="DI49" s="38">
        <f t="shared" si="173"/>
        <v>-1.4776759534881359</v>
      </c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V49" s="38">
        <f t="shared" si="177"/>
        <v>0</v>
      </c>
      <c r="DW49" s="56"/>
      <c r="DX49" s="38">
        <v>1.7994505017761449</v>
      </c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K49"/>
      <c r="FL49"/>
      <c r="FM49"/>
      <c r="FN49"/>
    </row>
    <row r="50" spans="1:170" ht="15.75" thickBot="1" x14ac:dyDescent="0.25">
      <c r="A50" s="202">
        <v>43</v>
      </c>
      <c r="B50" s="203">
        <v>43675</v>
      </c>
      <c r="C50" s="60">
        <v>0.57638888888888895</v>
      </c>
      <c r="D50" s="87">
        <f t="shared" si="158"/>
        <v>1299.3333333333721</v>
      </c>
      <c r="E50" s="87">
        <f t="shared" si="159"/>
        <v>54.138888888890506</v>
      </c>
      <c r="F50" s="116">
        <v>1</v>
      </c>
      <c r="G50" s="258">
        <v>5860000</v>
      </c>
      <c r="H50" s="258">
        <v>6360000</v>
      </c>
      <c r="I50" s="258"/>
      <c r="J50" s="258">
        <f>AVERAGE(G50:I50)</f>
        <v>6110000</v>
      </c>
      <c r="K50" s="258">
        <f>STDEV(G50:I50)</f>
        <v>353553.39059327374</v>
      </c>
      <c r="L50" s="257">
        <f t="shared" si="108"/>
        <v>5.7864712044725652E-2</v>
      </c>
      <c r="M50" s="118">
        <f t="shared" si="109"/>
        <v>6110000</v>
      </c>
      <c r="N50" s="204">
        <v>250000</v>
      </c>
      <c r="O50" s="88">
        <f t="shared" si="110"/>
        <v>250000</v>
      </c>
      <c r="P50" s="38">
        <v>6.89</v>
      </c>
      <c r="Q50" s="38">
        <v>40.200000000000003</v>
      </c>
      <c r="R50" s="84">
        <f t="shared" si="111"/>
        <v>1.8347690398337391E-2</v>
      </c>
      <c r="S50" s="84"/>
      <c r="T50" s="311">
        <f t="shared" si="15"/>
        <v>15148611.111115305</v>
      </c>
      <c r="U50" s="84" t="e">
        <f>#REF!</f>
        <v>#REF!</v>
      </c>
      <c r="V50" s="63">
        <f t="shared" si="112"/>
        <v>6360000</v>
      </c>
      <c r="W50" s="89">
        <f t="shared" si="113"/>
        <v>6360000</v>
      </c>
      <c r="X50" s="90">
        <f t="shared" si="114"/>
        <v>0.96069182389937102</v>
      </c>
      <c r="Y50" s="61">
        <f t="shared" si="115"/>
        <v>7201668770.8337202</v>
      </c>
      <c r="Z50" s="148">
        <f t="shared" si="116"/>
        <v>497814147.22220808</v>
      </c>
      <c r="AA50" s="27">
        <v>40.9</v>
      </c>
      <c r="AB50" s="27">
        <v>0</v>
      </c>
      <c r="AC50" s="27">
        <v>0</v>
      </c>
      <c r="AD50" s="27">
        <v>0</v>
      </c>
      <c r="AE50" s="27">
        <f t="shared" si="117"/>
        <v>2.9131944444452529</v>
      </c>
      <c r="AF50" s="27">
        <f t="shared" si="118"/>
        <v>2.3500000000000014</v>
      </c>
      <c r="AG50" s="27">
        <f t="shared" si="119"/>
        <v>40.9</v>
      </c>
      <c r="AH50" s="27">
        <f t="shared" si="120"/>
        <v>0.80667461263386486</v>
      </c>
      <c r="AI50" s="27">
        <f t="shared" si="121"/>
        <v>0.40333730631693243</v>
      </c>
      <c r="AJ50" s="109">
        <f t="shared" si="122"/>
        <v>1.6805721096538852E-2</v>
      </c>
      <c r="AK50" s="109">
        <f t="shared" si="123"/>
        <v>6.6012652425029864E-2</v>
      </c>
      <c r="AL50" s="27">
        <f t="shared" si="124"/>
        <v>2.3500000000000014</v>
      </c>
      <c r="AM50" s="27">
        <f t="shared" si="125"/>
        <v>40.9</v>
      </c>
      <c r="AN50" s="27">
        <f t="shared" si="126"/>
        <v>0.80667461263386486</v>
      </c>
      <c r="AO50" s="27">
        <f t="shared" si="127"/>
        <v>0.40333730631693243</v>
      </c>
      <c r="AP50" s="27">
        <f t="shared" si="128"/>
        <v>1.6805721096538852E-2</v>
      </c>
      <c r="AQ50" s="27">
        <f t="shared" si="129"/>
        <v>0</v>
      </c>
      <c r="AR50" s="27">
        <f t="shared" si="130"/>
        <v>0</v>
      </c>
      <c r="AS50" s="27">
        <f t="shared" si="131"/>
        <v>0</v>
      </c>
      <c r="AT50" s="27">
        <f t="shared" si="132"/>
        <v>0</v>
      </c>
      <c r="AU50" s="145">
        <f t="shared" si="133"/>
        <v>6110000</v>
      </c>
      <c r="AV50" s="27">
        <v>1</v>
      </c>
      <c r="AW50" s="27">
        <f t="shared" si="134"/>
        <v>1.6805721096538852E-2</v>
      </c>
      <c r="AX50" s="145">
        <f t="shared" si="135"/>
        <v>102682.95589985239</v>
      </c>
      <c r="AY50" s="145">
        <f t="shared" si="136"/>
        <v>112936744.49930619</v>
      </c>
      <c r="AZ50" s="27">
        <f t="shared" si="137"/>
        <v>0</v>
      </c>
      <c r="BA50" s="145">
        <f t="shared" si="138"/>
        <v>0</v>
      </c>
      <c r="BB50" s="145">
        <f t="shared" si="139"/>
        <v>0</v>
      </c>
      <c r="BC50" s="145">
        <f t="shared" si="140"/>
        <v>119046744.49930619</v>
      </c>
      <c r="BD50" s="145">
        <f t="shared" si="141"/>
        <v>7201668770.8337202</v>
      </c>
      <c r="BE50" s="84">
        <f t="shared" si="142"/>
        <v>1.9173224557483517E-2</v>
      </c>
      <c r="BF50" s="84">
        <f t="shared" si="143"/>
        <v>1.834619862482248E-2</v>
      </c>
      <c r="BG50" s="84">
        <f t="shared" si="144"/>
        <v>1.8347690398337391E-2</v>
      </c>
      <c r="BH50" s="38">
        <f t="shared" si="145"/>
        <v>12.122367666666667</v>
      </c>
      <c r="BI50" s="38"/>
      <c r="BJ50" s="38">
        <f t="shared" si="61"/>
        <v>5.4550654500000002</v>
      </c>
      <c r="BK50" s="38"/>
      <c r="BL50" s="38">
        <f>'Analisis economico'!$C$5/BJ50</f>
        <v>0.65260445225272223</v>
      </c>
      <c r="BM50" s="38"/>
      <c r="BN50" s="38">
        <f t="shared" si="160"/>
        <v>12.122367666666667</v>
      </c>
      <c r="BO50" s="38">
        <f t="shared" si="161"/>
        <v>0.20372513003570047</v>
      </c>
      <c r="BP50" s="38">
        <f t="shared" si="164"/>
        <v>245.96698837937655</v>
      </c>
      <c r="BQ50" s="27">
        <f t="shared" si="146"/>
        <v>258.08935604604324</v>
      </c>
      <c r="BR50" s="211">
        <v>12.122367666666667</v>
      </c>
      <c r="BS50" s="61">
        <f t="shared" si="178"/>
        <v>3.8639908727028414E-8</v>
      </c>
      <c r="BT50" s="61"/>
      <c r="BU50" s="342">
        <f t="shared" si="62"/>
        <v>0.92735780944868196</v>
      </c>
      <c r="BV50" s="342"/>
      <c r="BW50" s="342"/>
      <c r="BX50" s="27">
        <f t="shared" si="165"/>
        <v>0.49278475539666655</v>
      </c>
      <c r="BY50" s="56"/>
      <c r="BZ50" s="38">
        <f t="shared" si="162"/>
        <v>12.122367666666667</v>
      </c>
      <c r="CA50" s="38">
        <f t="shared" si="163"/>
        <v>0.20372513003570047</v>
      </c>
      <c r="CB50" s="245">
        <f t="shared" si="166"/>
        <v>244.4627729947567</v>
      </c>
      <c r="CC50" s="58">
        <f t="shared" si="147"/>
        <v>256.5851406614234</v>
      </c>
      <c r="CD50" s="38">
        <v>59.119</v>
      </c>
      <c r="CE50" s="35"/>
      <c r="CF50" s="80">
        <f t="shared" si="167"/>
        <v>497375480.55554122</v>
      </c>
      <c r="CG50" s="77">
        <f t="shared" si="168"/>
        <v>497375480.55554122</v>
      </c>
      <c r="CH50" s="62"/>
      <c r="CI50" s="93">
        <f t="shared" si="148"/>
        <v>27617083.333341002</v>
      </c>
      <c r="CJ50" s="58"/>
      <c r="CK50" s="38">
        <v>6.3784913456753651</v>
      </c>
      <c r="CL50" s="38"/>
      <c r="CM50" s="38"/>
      <c r="CN50" s="38"/>
      <c r="CO50" s="38">
        <f t="shared" si="169"/>
        <v>-46.296481023678446</v>
      </c>
      <c r="CP50" s="37"/>
      <c r="CQ50" s="37"/>
      <c r="CR50" s="56"/>
      <c r="CS50" s="58">
        <f t="shared" si="170"/>
        <v>-46.296481023678453</v>
      </c>
      <c r="CT50" s="58"/>
      <c r="CU50" s="58"/>
      <c r="CV50" s="58"/>
      <c r="CW50" s="38">
        <v>30.467358222577158</v>
      </c>
      <c r="CX50" s="38"/>
      <c r="CY50" s="38"/>
      <c r="CZ50" s="38"/>
      <c r="DA50" s="38">
        <f t="shared" si="171"/>
        <v>86.239436562006674</v>
      </c>
      <c r="DB50" s="38"/>
      <c r="DC50" s="38"/>
      <c r="DD50" s="38"/>
      <c r="DE50" s="38">
        <f t="shared" si="172"/>
        <v>86.239436562006659</v>
      </c>
      <c r="DF50" s="38"/>
      <c r="DG50" s="38"/>
      <c r="DH50" s="38"/>
      <c r="DI50" s="38">
        <f t="shared" si="173"/>
        <v>-1.7289869341067978</v>
      </c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V50" s="38">
        <f t="shared" si="177"/>
        <v>0</v>
      </c>
      <c r="DW50" s="56"/>
      <c r="DX50" s="38">
        <v>2.6332036018628671</v>
      </c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K50"/>
      <c r="FL50"/>
      <c r="FM50"/>
      <c r="FN50"/>
    </row>
    <row r="51" spans="1:170" ht="15.75" thickBot="1" x14ac:dyDescent="0.25">
      <c r="A51" s="202">
        <v>44</v>
      </c>
      <c r="B51" s="203">
        <v>43676</v>
      </c>
      <c r="C51" s="60">
        <v>0.61805555555555602</v>
      </c>
      <c r="D51" s="87">
        <f t="shared" ref="D51:D60" si="179">(B51+C51-(Inoculo_Fecha+Inoculo_Hora))*24</f>
        <v>1324.3333333333139</v>
      </c>
      <c r="E51" s="87">
        <f t="shared" ref="E51:E60" si="180">D51/24</f>
        <v>55.180555555554747</v>
      </c>
      <c r="F51" s="116">
        <v>1</v>
      </c>
      <c r="G51" s="258">
        <v>5080000</v>
      </c>
      <c r="H51" s="258">
        <v>5820000</v>
      </c>
      <c r="I51" s="258">
        <v>5880000</v>
      </c>
      <c r="J51" s="258">
        <f t="shared" ref="J51:J60" si="181">AVERAGE(G51:I51)</f>
        <v>5593333.333333333</v>
      </c>
      <c r="K51" s="258">
        <f t="shared" ref="K51:K60" si="182">STDEV(G51:I51)</f>
        <v>445570.79497351858</v>
      </c>
      <c r="L51" s="257">
        <f t="shared" ref="L51:L60" si="183">K51/J51</f>
        <v>7.9661047969043858E-2</v>
      </c>
      <c r="M51" s="118">
        <f t="shared" ref="M51:M60" si="184">F51*J51</f>
        <v>5593333.333333333</v>
      </c>
      <c r="N51" s="204">
        <v>260000</v>
      </c>
      <c r="O51" s="88">
        <f t="shared" ref="O51:O60" si="185">N51*F51</f>
        <v>260000</v>
      </c>
      <c r="P51" s="38">
        <v>7.11</v>
      </c>
      <c r="Q51" s="38">
        <v>41.8</v>
      </c>
      <c r="R51" s="84">
        <f t="shared" ref="R51:R60" si="186">BG51</f>
        <v>1.3279316887504118E-2</v>
      </c>
      <c r="S51" s="84"/>
      <c r="T51" s="311">
        <f t="shared" si="15"/>
        <v>14039491.298494782</v>
      </c>
      <c r="U51" s="84" t="e">
        <f>#REF!</f>
        <v>#REF!</v>
      </c>
      <c r="V51" s="63">
        <f t="shared" ref="V51:V60" si="187">J51+N51</f>
        <v>5853333.333333333</v>
      </c>
      <c r="W51" s="89">
        <f t="shared" ref="W51:W60" si="188">V51*F51</f>
        <v>5853333.333333333</v>
      </c>
      <c r="X51" s="90">
        <f t="shared" ref="X51:X60" si="189">J51/V51</f>
        <v>0.95558086560364464</v>
      </c>
      <c r="Y51" s="61">
        <f t="shared" ref="Y51:Y60" si="190">AVERAGE(M51,M50)*(D51-D50)+Y50</f>
        <v>7347960437.5000458</v>
      </c>
      <c r="Z51" s="148">
        <f t="shared" ref="Z51:Z60" si="191">AVERAGE(O51,O50)*(D51-D50)+Z50</f>
        <v>504189147.22219324</v>
      </c>
      <c r="AA51" s="27">
        <v>41.73</v>
      </c>
      <c r="AB51" s="27">
        <v>0</v>
      </c>
      <c r="AC51" s="27">
        <v>0</v>
      </c>
      <c r="AD51" s="27">
        <v>0</v>
      </c>
      <c r="AE51" s="27">
        <f t="shared" ref="AE51:AE60" si="192">E51-E50</f>
        <v>1.0416666666642413</v>
      </c>
      <c r="AF51" s="27">
        <f t="shared" ref="AF51:AF60" si="193">(AD50+AC50+AA51+AB51)-AA50-AB50</f>
        <v>0.82999999999999829</v>
      </c>
      <c r="AG51" s="27">
        <f t="shared" ref="AG51:AG60" si="194">AF51+AG50</f>
        <v>41.73</v>
      </c>
      <c r="AH51" s="27">
        <f t="shared" ref="AH51:AH60" si="195">AF51/AE51</f>
        <v>0.79680000000185358</v>
      </c>
      <c r="AI51" s="27">
        <f t="shared" ref="AI51:AI60" si="196">AH51/2</f>
        <v>0.39840000000092679</v>
      </c>
      <c r="AJ51" s="109">
        <f t="shared" ref="AJ51:AJ60" si="197">AI51/24</f>
        <v>1.6600000000038615E-2</v>
      </c>
      <c r="AK51" s="109">
        <f t="shared" ref="AK51:AK60" si="198">AI51*1000000/M51</f>
        <v>7.1227651966792635E-2</v>
      </c>
      <c r="AL51" s="27">
        <f t="shared" ref="AL51:AL60" si="199">(AA51+AC50)-AA50</f>
        <v>0.82999999999999829</v>
      </c>
      <c r="AM51" s="27">
        <f t="shared" ref="AM51:AM60" si="200">AL51+AM50</f>
        <v>41.73</v>
      </c>
      <c r="AN51" s="27">
        <f t="shared" ref="AN51:AN60" si="201">AL51/AE51</f>
        <v>0.79680000000185358</v>
      </c>
      <c r="AO51" s="27">
        <f t="shared" ref="AO51:AO60" si="202">AN51/2</f>
        <v>0.39840000000092679</v>
      </c>
      <c r="AP51" s="27">
        <f t="shared" ref="AP51:AP60" si="203">AO51/24</f>
        <v>1.6600000000038615E-2</v>
      </c>
      <c r="AQ51" s="27">
        <f t="shared" ref="AQ51:AQ60" si="204">(AB51+AD50)-AB50</f>
        <v>0</v>
      </c>
      <c r="AR51" s="27">
        <f t="shared" ref="AR51:AR60" si="205">AQ51+AR50</f>
        <v>0</v>
      </c>
      <c r="AS51" s="27">
        <f t="shared" ref="AS51:AS60" si="206">AQ51/AE51</f>
        <v>0</v>
      </c>
      <c r="AT51" s="27">
        <f t="shared" ref="AT51:AT60" si="207">AS51/2</f>
        <v>0</v>
      </c>
      <c r="AU51" s="145">
        <f t="shared" ref="AU51:AU60" si="208">M51</f>
        <v>5593333.333333333</v>
      </c>
      <c r="AV51" s="27">
        <v>1</v>
      </c>
      <c r="AW51" s="27">
        <f t="shared" ref="AW51:AW60" si="209">AO51/24</f>
        <v>1.6600000000038615E-2</v>
      </c>
      <c r="AX51" s="145">
        <f t="shared" ref="AX51:AX60" si="210">AV51*AW51*AU51</f>
        <v>92849.333333549323</v>
      </c>
      <c r="AY51" s="145">
        <f t="shared" ref="AY51:AY60" si="211">AVERAGE(AX51,AX50)*(D51-D50)+AY50</f>
        <v>115380898.11471802</v>
      </c>
      <c r="AZ51" s="27">
        <f t="shared" ref="AZ51:AZ60" si="212">AT51/24</f>
        <v>0</v>
      </c>
      <c r="BA51" s="145">
        <f t="shared" ref="BA51:BA60" si="213">AZ51*AU51</f>
        <v>0</v>
      </c>
      <c r="BB51" s="145">
        <f t="shared" ref="BB51:BB60" si="214">AVERAGE(BA51,BA50)*(D51-D50)+BB50</f>
        <v>0</v>
      </c>
      <c r="BC51" s="145">
        <f t="shared" ref="BC51:BC60" si="215">AU51+AY51+BB51</f>
        <v>120974231.44805135</v>
      </c>
      <c r="BD51" s="145">
        <f t="shared" ref="BD51:BD60" si="216">Y51</f>
        <v>7347960437.5000458</v>
      </c>
      <c r="BE51" s="84">
        <f t="shared" ref="BE51:BE60" si="217">(BC51-BC50)/(BD51-BD50)</f>
        <v>1.3175644195383574E-2</v>
      </c>
      <c r="BF51" s="84">
        <f t="shared" ref="BF51:BF60" si="218">(W51-W50)/(((W51+W50)/2)*(D51-D50))+AZ51+(AW51*AV51)</f>
        <v>1.3281222707454467E-2</v>
      </c>
      <c r="BG51" s="84">
        <f t="shared" ref="BG51:BG60" si="219">((LN(W51)-LN(W50))/(D51-D50))+AZ51+(AW51*AV51)</f>
        <v>1.3279316887504118E-2</v>
      </c>
      <c r="BH51" s="38">
        <f t="shared" ref="BH51:BH60" si="220">BR51</f>
        <v>9.643835666666666</v>
      </c>
      <c r="BI51" s="38"/>
      <c r="BJ51" s="38">
        <f t="shared" si="61"/>
        <v>4.3397260499999994</v>
      </c>
      <c r="BK51" s="38"/>
      <c r="BL51" s="38">
        <f>'Analisis economico'!$C$5/BJ51</f>
        <v>0.82032827855573986</v>
      </c>
      <c r="BM51" s="38"/>
      <c r="BN51" s="38">
        <f t="shared" si="160"/>
        <v>9.643835666666666</v>
      </c>
      <c r="BO51" s="38">
        <f t="shared" si="161"/>
        <v>0.16008767206703906</v>
      </c>
      <c r="BP51" s="38">
        <f t="shared" si="164"/>
        <v>250.51464840565021</v>
      </c>
      <c r="BQ51" s="27">
        <f t="shared" ref="BQ51:BQ60" si="221">BP51+BN51</f>
        <v>260.15848407231687</v>
      </c>
      <c r="BR51" s="211">
        <v>9.643835666666666</v>
      </c>
      <c r="BS51" s="61">
        <f t="shared" si="178"/>
        <v>1.3930767473686593E-8</v>
      </c>
      <c r="BT51" s="61"/>
      <c r="BU51" s="342">
        <f t="shared" si="62"/>
        <v>0.33433841936847825</v>
      </c>
      <c r="BV51" s="342"/>
      <c r="BW51" s="342"/>
      <c r="BX51" s="27">
        <f t="shared" si="165"/>
        <v>0.50181772977999983</v>
      </c>
      <c r="BY51" s="56"/>
      <c r="BZ51" s="38">
        <f t="shared" si="162"/>
        <v>9.643835666666666</v>
      </c>
      <c r="CA51" s="38">
        <f t="shared" si="163"/>
        <v>0.16008767206703906</v>
      </c>
      <c r="CB51" s="245">
        <f t="shared" si="166"/>
        <v>249.01043302103037</v>
      </c>
      <c r="CC51" s="58">
        <f t="shared" ref="CC51:CC60" si="222">CB51+BZ51</f>
        <v>258.65426868769703</v>
      </c>
      <c r="CD51" s="38">
        <v>60.119</v>
      </c>
      <c r="CE51" s="35"/>
      <c r="CF51" s="80">
        <f t="shared" si="167"/>
        <v>503750480.55552638</v>
      </c>
      <c r="CG51" s="77">
        <f t="shared" si="168"/>
        <v>503750480.55552638</v>
      </c>
      <c r="CH51" s="62"/>
      <c r="CI51" s="93">
        <f t="shared" ref="CI51:CI60" si="223">CF51-CF50</f>
        <v>6374999.9999851584</v>
      </c>
      <c r="CJ51" s="58"/>
      <c r="CK51" s="38">
        <v>0.73298836668763412</v>
      </c>
      <c r="CL51" s="38"/>
      <c r="CM51" s="38"/>
      <c r="CN51" s="38"/>
      <c r="CO51" s="38">
        <f t="shared" si="169"/>
        <v>-96.586984485595835</v>
      </c>
      <c r="CP51" s="37"/>
      <c r="CQ51" s="37"/>
      <c r="CR51" s="56"/>
      <c r="CS51" s="58">
        <f t="shared" si="170"/>
        <v>-96.586984485595835</v>
      </c>
      <c r="CT51" s="58"/>
      <c r="CU51" s="58"/>
      <c r="CV51" s="58"/>
      <c r="CW51" s="38">
        <v>36.709115919768237</v>
      </c>
      <c r="CX51" s="38"/>
      <c r="CY51" s="38"/>
      <c r="CZ51" s="38"/>
      <c r="DA51" s="38">
        <f t="shared" si="171"/>
        <v>137.94959440689064</v>
      </c>
      <c r="DB51" s="38"/>
      <c r="DC51" s="38"/>
      <c r="DD51" s="38"/>
      <c r="DE51" s="38">
        <f t="shared" si="172"/>
        <v>137.94959440689064</v>
      </c>
      <c r="DF51" s="38"/>
      <c r="DG51" s="38"/>
      <c r="DH51" s="38"/>
      <c r="DI51" s="38">
        <f t="shared" si="173"/>
        <v>-1.5777323060779427</v>
      </c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V51" s="38">
        <f t="shared" si="177"/>
        <v>0</v>
      </c>
      <c r="DW51" s="56"/>
      <c r="DX51" s="38">
        <v>2.2939947661535069</v>
      </c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K51"/>
      <c r="FL51"/>
      <c r="FM51"/>
      <c r="FN51"/>
    </row>
    <row r="52" spans="1:170" ht="15.75" thickBot="1" x14ac:dyDescent="0.25">
      <c r="A52" s="202">
        <v>45</v>
      </c>
      <c r="B52" s="203">
        <v>43677</v>
      </c>
      <c r="C52" s="60">
        <v>0.4861111111111111</v>
      </c>
      <c r="D52" s="87">
        <f t="shared" si="179"/>
        <v>1345.1666666666279</v>
      </c>
      <c r="E52" s="87">
        <f t="shared" si="180"/>
        <v>56.048611111109494</v>
      </c>
      <c r="F52" s="116">
        <v>1</v>
      </c>
      <c r="G52" s="258">
        <v>6600000</v>
      </c>
      <c r="H52" s="258">
        <v>5540000</v>
      </c>
      <c r="I52" s="258">
        <v>6120000</v>
      </c>
      <c r="J52" s="258">
        <f t="shared" si="181"/>
        <v>6086666.666666667</v>
      </c>
      <c r="K52" s="258">
        <f t="shared" si="182"/>
        <v>530785.58131634782</v>
      </c>
      <c r="L52" s="257">
        <f t="shared" si="183"/>
        <v>8.7204640961064811E-2</v>
      </c>
      <c r="M52" s="118">
        <f t="shared" si="184"/>
        <v>6086666.666666667</v>
      </c>
      <c r="N52" s="204">
        <v>300000</v>
      </c>
      <c r="O52" s="88">
        <f t="shared" si="185"/>
        <v>300000</v>
      </c>
      <c r="P52" s="38">
        <v>7.11</v>
      </c>
      <c r="Q52" s="38">
        <v>39.6</v>
      </c>
      <c r="R52" s="84">
        <f t="shared" si="186"/>
        <v>2.0265656848134597E-2</v>
      </c>
      <c r="S52" s="84"/>
      <c r="T52" s="311">
        <f t="shared" si="15"/>
        <v>15771835.268089196</v>
      </c>
      <c r="U52" s="84" t="e">
        <f>#REF!</f>
        <v>#REF!</v>
      </c>
      <c r="V52" s="63">
        <f t="shared" si="187"/>
        <v>6386666.666666667</v>
      </c>
      <c r="W52" s="89">
        <f t="shared" si="188"/>
        <v>6386666.666666667</v>
      </c>
      <c r="X52" s="90">
        <f t="shared" si="189"/>
        <v>0.95302713987473908</v>
      </c>
      <c r="Y52" s="61">
        <f t="shared" si="190"/>
        <v>7469627104.1665993</v>
      </c>
      <c r="Z52" s="148">
        <f t="shared" si="191"/>
        <v>510022480.55552113</v>
      </c>
      <c r="AA52" s="27">
        <v>42.4</v>
      </c>
      <c r="AB52" s="27">
        <v>0</v>
      </c>
      <c r="AC52" s="27">
        <v>0</v>
      </c>
      <c r="AD52" s="27">
        <v>0</v>
      </c>
      <c r="AE52" s="27">
        <f t="shared" si="192"/>
        <v>0.86805555555474712</v>
      </c>
      <c r="AF52" s="27">
        <f t="shared" si="193"/>
        <v>0.67000000000000171</v>
      </c>
      <c r="AG52" s="27">
        <f t="shared" si="194"/>
        <v>42.4</v>
      </c>
      <c r="AH52" s="27">
        <f t="shared" si="195"/>
        <v>0.77184000000072084</v>
      </c>
      <c r="AI52" s="27">
        <f t="shared" si="196"/>
        <v>0.38592000000036042</v>
      </c>
      <c r="AJ52" s="109">
        <f t="shared" si="197"/>
        <v>1.6080000000015016E-2</v>
      </c>
      <c r="AK52" s="109">
        <f t="shared" si="198"/>
        <v>6.3404162103016498E-2</v>
      </c>
      <c r="AL52" s="27">
        <f t="shared" si="199"/>
        <v>0.67000000000000171</v>
      </c>
      <c r="AM52" s="27">
        <f t="shared" si="200"/>
        <v>42.4</v>
      </c>
      <c r="AN52" s="27">
        <f t="shared" si="201"/>
        <v>0.77184000000072084</v>
      </c>
      <c r="AO52" s="27">
        <f t="shared" si="202"/>
        <v>0.38592000000036042</v>
      </c>
      <c r="AP52" s="27">
        <f t="shared" si="203"/>
        <v>1.6080000000015016E-2</v>
      </c>
      <c r="AQ52" s="27">
        <f t="shared" si="204"/>
        <v>0</v>
      </c>
      <c r="AR52" s="27">
        <f t="shared" si="205"/>
        <v>0</v>
      </c>
      <c r="AS52" s="27">
        <f t="shared" si="206"/>
        <v>0</v>
      </c>
      <c r="AT52" s="27">
        <f t="shared" si="207"/>
        <v>0</v>
      </c>
      <c r="AU52" s="145">
        <f t="shared" si="208"/>
        <v>6086666.666666667</v>
      </c>
      <c r="AV52" s="27">
        <v>1</v>
      </c>
      <c r="AW52" s="27">
        <f t="shared" si="209"/>
        <v>1.6080000000015016E-2</v>
      </c>
      <c r="AX52" s="145">
        <f t="shared" si="210"/>
        <v>97873.600000091406</v>
      </c>
      <c r="AY52" s="145">
        <f t="shared" si="211"/>
        <v>117367595.3369416</v>
      </c>
      <c r="AZ52" s="27">
        <f t="shared" si="212"/>
        <v>0</v>
      </c>
      <c r="BA52" s="145">
        <f t="shared" si="213"/>
        <v>0</v>
      </c>
      <c r="BB52" s="145">
        <f t="shared" si="214"/>
        <v>0</v>
      </c>
      <c r="BC52" s="145">
        <f t="shared" si="215"/>
        <v>123454262.00360827</v>
      </c>
      <c r="BD52" s="145">
        <f t="shared" si="216"/>
        <v>7469627104.1665993</v>
      </c>
      <c r="BE52" s="84">
        <f t="shared" si="217"/>
        <v>2.0383812785418329E-2</v>
      </c>
      <c r="BF52" s="84">
        <f t="shared" si="218"/>
        <v>2.0263006535966629E-2</v>
      </c>
      <c r="BG52" s="84">
        <f t="shared" si="219"/>
        <v>2.0265656848134597E-2</v>
      </c>
      <c r="BH52" s="38">
        <f t="shared" si="220"/>
        <v>10.908601000000001</v>
      </c>
      <c r="BI52" s="38"/>
      <c r="BJ52" s="38">
        <f t="shared" si="61"/>
        <v>4.9088704500000002</v>
      </c>
      <c r="BK52" s="38"/>
      <c r="BL52" s="38">
        <f>'Analisis economico'!$C$5/BJ52</f>
        <v>0.72521775350579887</v>
      </c>
      <c r="BM52" s="38"/>
      <c r="BN52" s="38">
        <f t="shared" si="160"/>
        <v>10.908601000000001</v>
      </c>
      <c r="BO52" s="38">
        <f t="shared" si="161"/>
        <v>0.17541030408016381</v>
      </c>
      <c r="BP52" s="38">
        <f t="shared" si="164"/>
        <v>254.00941899051364</v>
      </c>
      <c r="BQ52" s="27">
        <f t="shared" si="221"/>
        <v>264.91801999051364</v>
      </c>
      <c r="BR52" s="211">
        <v>10.908601000000001</v>
      </c>
      <c r="BS52" s="61">
        <f t="shared" si="178"/>
        <v>3.8690124452090909E-8</v>
      </c>
      <c r="BT52" s="61"/>
      <c r="BU52" s="342">
        <f t="shared" si="62"/>
        <v>0.9285629868501819</v>
      </c>
      <c r="BV52" s="342"/>
      <c r="BW52" s="342"/>
      <c r="BX52" s="27">
        <f t="shared" si="165"/>
        <v>0.50870279606333313</v>
      </c>
      <c r="BY52" s="56"/>
      <c r="BZ52" s="38">
        <f t="shared" si="162"/>
        <v>10.908601000000001</v>
      </c>
      <c r="CA52" s="38">
        <f t="shared" si="163"/>
        <v>0.17541030408016381</v>
      </c>
      <c r="CB52" s="245">
        <f t="shared" si="166"/>
        <v>252.5052036058938</v>
      </c>
      <c r="CC52" s="58">
        <f t="shared" si="222"/>
        <v>263.4138046058938</v>
      </c>
      <c r="CD52" s="38">
        <v>61.119</v>
      </c>
      <c r="CE52" s="35"/>
      <c r="CF52" s="80">
        <f t="shared" si="167"/>
        <v>509583813.88885427</v>
      </c>
      <c r="CG52" s="77">
        <f t="shared" si="168"/>
        <v>509583813.88885427</v>
      </c>
      <c r="CH52" s="62"/>
      <c r="CI52" s="93">
        <f t="shared" si="223"/>
        <v>5833333.3333278894</v>
      </c>
      <c r="CJ52" s="58"/>
      <c r="CK52" s="38">
        <v>0.49455054208283139</v>
      </c>
      <c r="CL52" s="38"/>
      <c r="CM52" s="38"/>
      <c r="CN52" s="38"/>
      <c r="CO52" s="38">
        <f t="shared" si="169"/>
        <v>-66.351986773095518</v>
      </c>
      <c r="CP52" s="37"/>
      <c r="CQ52" s="37"/>
      <c r="CR52" s="56"/>
      <c r="CS52" s="58">
        <f t="shared" si="170"/>
        <v>-66.351986773095518</v>
      </c>
      <c r="CT52" s="58"/>
      <c r="CU52" s="58"/>
      <c r="CV52" s="58"/>
      <c r="CW52" s="38">
        <v>35.36283210752422</v>
      </c>
      <c r="CX52" s="38"/>
      <c r="CY52" s="38"/>
      <c r="CZ52" s="38"/>
      <c r="DA52" s="38">
        <f t="shared" si="171"/>
        <v>88.156993005513598</v>
      </c>
      <c r="DB52" s="38"/>
      <c r="DC52" s="38"/>
      <c r="DD52" s="38"/>
      <c r="DE52" s="38">
        <f t="shared" si="172"/>
        <v>88.156993005513584</v>
      </c>
      <c r="DF52" s="38"/>
      <c r="DG52" s="38"/>
      <c r="DH52" s="38"/>
      <c r="DI52" s="38">
        <f t="shared" si="173"/>
        <v>-1.5044524960407943</v>
      </c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V52" s="38">
        <f t="shared" ref="DV52:DV61" si="224">DU52/1000</f>
        <v>0</v>
      </c>
      <c r="DW52" s="56"/>
      <c r="DX52" s="38">
        <v>2.1914826354289425</v>
      </c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K52"/>
      <c r="FL52"/>
      <c r="FM52"/>
      <c r="FN52"/>
    </row>
    <row r="53" spans="1:170" ht="15.75" thickBot="1" x14ac:dyDescent="0.25">
      <c r="A53" s="202">
        <v>46</v>
      </c>
      <c r="B53" s="203">
        <v>43679</v>
      </c>
      <c r="C53" s="60">
        <v>0.41666666666666669</v>
      </c>
      <c r="D53" s="87">
        <f t="shared" si="179"/>
        <v>1391.4999999999418</v>
      </c>
      <c r="E53" s="87">
        <f t="shared" si="180"/>
        <v>57.979166666664241</v>
      </c>
      <c r="F53" s="116">
        <v>1</v>
      </c>
      <c r="G53" s="258">
        <v>6480000</v>
      </c>
      <c r="H53" s="258">
        <v>7025000</v>
      </c>
      <c r="I53" s="258"/>
      <c r="J53" s="258">
        <f t="shared" si="181"/>
        <v>6752500</v>
      </c>
      <c r="K53" s="258">
        <f t="shared" si="182"/>
        <v>385373.19574666838</v>
      </c>
      <c r="L53" s="257">
        <f t="shared" si="183"/>
        <v>5.7071187818832782E-2</v>
      </c>
      <c r="M53" s="118">
        <f t="shared" si="184"/>
        <v>6752500</v>
      </c>
      <c r="N53" s="204">
        <v>410000</v>
      </c>
      <c r="O53" s="88">
        <f t="shared" si="185"/>
        <v>410000</v>
      </c>
      <c r="P53" s="38">
        <v>7.13</v>
      </c>
      <c r="Q53" s="38">
        <v>45</v>
      </c>
      <c r="R53" s="84">
        <f t="shared" si="186"/>
        <v>1.9201005715826499E-2</v>
      </c>
      <c r="S53" s="84"/>
      <c r="T53" s="311">
        <f t="shared" si="15"/>
        <v>16820743.727591474</v>
      </c>
      <c r="U53" s="84" t="e">
        <f>#REF!</f>
        <v>#REF!</v>
      </c>
      <c r="V53" s="63">
        <f t="shared" si="187"/>
        <v>7162500</v>
      </c>
      <c r="W53" s="89">
        <f t="shared" si="188"/>
        <v>7162500</v>
      </c>
      <c r="X53" s="90">
        <f t="shared" si="189"/>
        <v>0.94275741710296679</v>
      </c>
      <c r="Y53" s="61">
        <f t="shared" si="190"/>
        <v>7767067798.610919</v>
      </c>
      <c r="Z53" s="148">
        <f t="shared" si="191"/>
        <v>526470813.88884759</v>
      </c>
      <c r="AA53" s="27">
        <v>43.95</v>
      </c>
      <c r="AB53" s="27">
        <v>0</v>
      </c>
      <c r="AC53" s="27">
        <v>0</v>
      </c>
      <c r="AD53" s="27">
        <v>0</v>
      </c>
      <c r="AE53" s="27">
        <f t="shared" si="192"/>
        <v>1.9305555555547471</v>
      </c>
      <c r="AF53" s="27">
        <f t="shared" si="193"/>
        <v>1.5500000000000043</v>
      </c>
      <c r="AG53" s="27">
        <f t="shared" si="194"/>
        <v>43.95</v>
      </c>
      <c r="AH53" s="27">
        <f t="shared" si="195"/>
        <v>0.80287769784206509</v>
      </c>
      <c r="AI53" s="27">
        <f t="shared" si="196"/>
        <v>0.40143884892103254</v>
      </c>
      <c r="AJ53" s="109">
        <f t="shared" si="197"/>
        <v>1.6726618705043023E-2</v>
      </c>
      <c r="AK53" s="109">
        <f t="shared" si="198"/>
        <v>5.9450403394451325E-2</v>
      </c>
      <c r="AL53" s="27">
        <f t="shared" si="199"/>
        <v>1.5500000000000043</v>
      </c>
      <c r="AM53" s="27">
        <f t="shared" si="200"/>
        <v>43.95</v>
      </c>
      <c r="AN53" s="27">
        <f t="shared" si="201"/>
        <v>0.80287769784206509</v>
      </c>
      <c r="AO53" s="27">
        <f t="shared" si="202"/>
        <v>0.40143884892103254</v>
      </c>
      <c r="AP53" s="27">
        <f t="shared" si="203"/>
        <v>1.6726618705043023E-2</v>
      </c>
      <c r="AQ53" s="27">
        <f t="shared" si="204"/>
        <v>0</v>
      </c>
      <c r="AR53" s="27">
        <f t="shared" si="205"/>
        <v>0</v>
      </c>
      <c r="AS53" s="27">
        <f t="shared" si="206"/>
        <v>0</v>
      </c>
      <c r="AT53" s="27">
        <f t="shared" si="207"/>
        <v>0</v>
      </c>
      <c r="AU53" s="145">
        <f t="shared" si="208"/>
        <v>6752500</v>
      </c>
      <c r="AV53" s="27">
        <v>1</v>
      </c>
      <c r="AW53" s="27">
        <f t="shared" si="209"/>
        <v>1.6726618705043023E-2</v>
      </c>
      <c r="AX53" s="145">
        <f t="shared" si="210"/>
        <v>112946.49280580301</v>
      </c>
      <c r="AY53" s="145">
        <f t="shared" si="211"/>
        <v>122251594.15360944</v>
      </c>
      <c r="AZ53" s="27">
        <f t="shared" si="212"/>
        <v>0</v>
      </c>
      <c r="BA53" s="145">
        <f t="shared" si="213"/>
        <v>0</v>
      </c>
      <c r="BB53" s="145">
        <f t="shared" si="214"/>
        <v>0</v>
      </c>
      <c r="BC53" s="145">
        <f t="shared" si="215"/>
        <v>129004094.15360944</v>
      </c>
      <c r="BD53" s="145">
        <f t="shared" si="216"/>
        <v>7767067798.610919</v>
      </c>
      <c r="BE53" s="84">
        <f t="shared" si="217"/>
        <v>1.8658617511532489E-2</v>
      </c>
      <c r="BF53" s="84">
        <f t="shared" si="218"/>
        <v>1.91982990273094E-2</v>
      </c>
      <c r="BG53" s="84">
        <f t="shared" si="219"/>
        <v>1.9201005715826499E-2</v>
      </c>
      <c r="BH53" s="38">
        <f t="shared" si="220"/>
        <v>9.0263880000000007</v>
      </c>
      <c r="BI53" s="38"/>
      <c r="BJ53" s="38">
        <f t="shared" si="61"/>
        <v>4.0618746000000003</v>
      </c>
      <c r="BK53" s="38"/>
      <c r="BL53" s="38">
        <f>'Analisis economico'!$C$5/BJ53</f>
        <v>0.8764426159291081</v>
      </c>
      <c r="BM53" s="38"/>
      <c r="BN53" s="38">
        <f t="shared" si="160"/>
        <v>9.0263880000000007</v>
      </c>
      <c r="BO53" s="38">
        <f t="shared" si="161"/>
        <v>0.15098095035977588</v>
      </c>
      <c r="BP53" s="38">
        <f t="shared" si="164"/>
        <v>261.57081638503576</v>
      </c>
      <c r="BQ53" s="27">
        <f t="shared" si="221"/>
        <v>270.59720438503575</v>
      </c>
      <c r="BR53" s="211">
        <v>9.0263880000000007</v>
      </c>
      <c r="BS53" s="61">
        <f t="shared" si="178"/>
        <v>1.9642891328018135E-8</v>
      </c>
      <c r="BT53" s="61"/>
      <c r="BU53" s="342">
        <f t="shared" si="62"/>
        <v>0.47142939187243527</v>
      </c>
      <c r="BV53" s="342"/>
      <c r="BW53" s="342"/>
      <c r="BX53" s="27">
        <f t="shared" si="165"/>
        <v>0.52415241253833322</v>
      </c>
      <c r="BY53" s="56"/>
      <c r="BZ53" s="38">
        <f t="shared" si="162"/>
        <v>9.0263880000000007</v>
      </c>
      <c r="CA53" s="38">
        <f t="shared" si="163"/>
        <v>0.15098095035977588</v>
      </c>
      <c r="CB53" s="245">
        <f t="shared" si="166"/>
        <v>260.06660100041591</v>
      </c>
      <c r="CC53" s="58">
        <f t="shared" si="222"/>
        <v>269.09298900041591</v>
      </c>
      <c r="CD53" s="38">
        <v>62.119</v>
      </c>
      <c r="CE53" s="35"/>
      <c r="CF53" s="80">
        <f t="shared" si="167"/>
        <v>526032147.22218072</v>
      </c>
      <c r="CG53" s="77">
        <f t="shared" si="168"/>
        <v>526032147.22218072</v>
      </c>
      <c r="CH53" s="62"/>
      <c r="CI53" s="93">
        <f t="shared" si="223"/>
        <v>16448333.333326459</v>
      </c>
      <c r="CJ53" s="58"/>
      <c r="CK53" s="38">
        <v>0.25964674395334331</v>
      </c>
      <c r="CL53" s="38"/>
      <c r="CM53" s="38"/>
      <c r="CN53" s="38"/>
      <c r="CO53" s="38">
        <f t="shared" si="169"/>
        <v>-62.340670581179175</v>
      </c>
      <c r="CP53" s="37"/>
      <c r="CQ53" s="37"/>
      <c r="CR53" s="56"/>
      <c r="CS53" s="58">
        <f t="shared" si="170"/>
        <v>-62.340670581179182</v>
      </c>
      <c r="CT53" s="58"/>
      <c r="CU53" s="58"/>
      <c r="CV53" s="58"/>
      <c r="CW53" s="38">
        <v>35.917033820903079</v>
      </c>
      <c r="CX53" s="38"/>
      <c r="CY53" s="38"/>
      <c r="CZ53" s="38"/>
      <c r="DA53" s="38">
        <f t="shared" si="171"/>
        <v>94.725268891943188</v>
      </c>
      <c r="DB53" s="38"/>
      <c r="DC53" s="38"/>
      <c r="DD53" s="38"/>
      <c r="DE53" s="38">
        <f t="shared" si="172"/>
        <v>94.725268891943173</v>
      </c>
      <c r="DF53" s="38"/>
      <c r="DG53" s="38"/>
      <c r="DH53" s="38"/>
      <c r="DI53" s="38">
        <f t="shared" si="173"/>
        <v>-1.5129106729595536</v>
      </c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V53" s="38">
        <f t="shared" si="224"/>
        <v>0</v>
      </c>
      <c r="DW53" s="56"/>
      <c r="DX53" s="38">
        <v>1.8384325224809455</v>
      </c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K53"/>
      <c r="FL53"/>
      <c r="FM53"/>
      <c r="FN53"/>
    </row>
    <row r="54" spans="1:170" ht="15.75" thickBot="1" x14ac:dyDescent="0.25">
      <c r="A54" s="202">
        <v>47</v>
      </c>
      <c r="B54" s="318">
        <v>43680</v>
      </c>
      <c r="C54" s="60">
        <v>0.44097222222222227</v>
      </c>
      <c r="D54" s="87">
        <f t="shared" si="179"/>
        <v>1416.0833333332557</v>
      </c>
      <c r="E54" s="87">
        <f t="shared" si="180"/>
        <v>59.003472222218988</v>
      </c>
      <c r="F54" s="116">
        <v>1</v>
      </c>
      <c r="G54" s="258">
        <v>7325000</v>
      </c>
      <c r="H54" s="258">
        <v>7325000</v>
      </c>
      <c r="I54" s="258"/>
      <c r="J54" s="258">
        <f t="shared" si="181"/>
        <v>7325000</v>
      </c>
      <c r="K54" s="258">
        <f t="shared" si="182"/>
        <v>0</v>
      </c>
      <c r="L54" s="257">
        <f t="shared" si="183"/>
        <v>0</v>
      </c>
      <c r="M54" s="118">
        <f t="shared" si="184"/>
        <v>7325000</v>
      </c>
      <c r="N54" s="204">
        <v>138000</v>
      </c>
      <c r="O54" s="88">
        <f t="shared" si="185"/>
        <v>138000</v>
      </c>
      <c r="P54" s="38">
        <v>7.11</v>
      </c>
      <c r="Q54" s="38">
        <v>39</v>
      </c>
      <c r="R54" s="84">
        <f t="shared" si="186"/>
        <v>1.8959934756966394E-2</v>
      </c>
      <c r="S54" s="84"/>
      <c r="T54" s="311">
        <f t="shared" si="15"/>
        <v>17654207.516326055</v>
      </c>
      <c r="U54" s="84" t="e">
        <f>#REF!</f>
        <v>#REF!</v>
      </c>
      <c r="V54" s="63">
        <f t="shared" si="187"/>
        <v>7463000</v>
      </c>
      <c r="W54" s="89">
        <f t="shared" si="188"/>
        <v>7463000</v>
      </c>
      <c r="X54" s="90">
        <f t="shared" si="189"/>
        <v>0.98150877663138147</v>
      </c>
      <c r="Y54" s="61">
        <f t="shared" si="190"/>
        <v>7940103736.1107826</v>
      </c>
      <c r="Z54" s="148">
        <f t="shared" si="191"/>
        <v>533206647.2221756</v>
      </c>
      <c r="AA54" s="27">
        <v>44.8</v>
      </c>
      <c r="AB54" s="27">
        <v>0</v>
      </c>
      <c r="AC54" s="27">
        <v>0</v>
      </c>
      <c r="AD54" s="27">
        <v>0</v>
      </c>
      <c r="AE54" s="27">
        <f t="shared" si="192"/>
        <v>1.0243055555547471</v>
      </c>
      <c r="AF54" s="27">
        <f t="shared" si="193"/>
        <v>0.84999999999999432</v>
      </c>
      <c r="AG54" s="27">
        <f t="shared" si="194"/>
        <v>44.8</v>
      </c>
      <c r="AH54" s="27">
        <f t="shared" si="195"/>
        <v>0.82983050847522566</v>
      </c>
      <c r="AI54" s="27">
        <f t="shared" si="196"/>
        <v>0.41491525423761283</v>
      </c>
      <c r="AJ54" s="109">
        <f t="shared" si="197"/>
        <v>1.7288135593233868E-2</v>
      </c>
      <c r="AK54" s="109">
        <f t="shared" si="198"/>
        <v>5.6643720715032465E-2</v>
      </c>
      <c r="AL54" s="27">
        <f t="shared" si="199"/>
        <v>0.84999999999999432</v>
      </c>
      <c r="AM54" s="27">
        <f t="shared" si="200"/>
        <v>44.8</v>
      </c>
      <c r="AN54" s="27">
        <f t="shared" si="201"/>
        <v>0.82983050847522566</v>
      </c>
      <c r="AO54" s="27">
        <f t="shared" si="202"/>
        <v>0.41491525423761283</v>
      </c>
      <c r="AP54" s="27">
        <f t="shared" si="203"/>
        <v>1.7288135593233868E-2</v>
      </c>
      <c r="AQ54" s="27">
        <f t="shared" si="204"/>
        <v>0</v>
      </c>
      <c r="AR54" s="27">
        <f t="shared" si="205"/>
        <v>0</v>
      </c>
      <c r="AS54" s="27">
        <f t="shared" si="206"/>
        <v>0</v>
      </c>
      <c r="AT54" s="27">
        <f t="shared" si="207"/>
        <v>0</v>
      </c>
      <c r="AU54" s="145">
        <f t="shared" si="208"/>
        <v>7325000</v>
      </c>
      <c r="AV54" s="27">
        <v>1</v>
      </c>
      <c r="AW54" s="27">
        <f t="shared" si="209"/>
        <v>1.7288135593233868E-2</v>
      </c>
      <c r="AX54" s="145">
        <f t="shared" si="210"/>
        <v>126635.59322043808</v>
      </c>
      <c r="AY54" s="145">
        <f t="shared" si="211"/>
        <v>125196457.29434633</v>
      </c>
      <c r="AZ54" s="27">
        <f t="shared" si="212"/>
        <v>0</v>
      </c>
      <c r="BA54" s="145">
        <f t="shared" si="213"/>
        <v>0</v>
      </c>
      <c r="BB54" s="145">
        <f t="shared" si="214"/>
        <v>0</v>
      </c>
      <c r="BC54" s="145">
        <f t="shared" si="215"/>
        <v>132521457.29434633</v>
      </c>
      <c r="BD54" s="145">
        <f t="shared" si="216"/>
        <v>7940103736.1107826</v>
      </c>
      <c r="BE54" s="84">
        <f t="shared" si="217"/>
        <v>2.032735622182337E-2</v>
      </c>
      <c r="BF54" s="84">
        <f t="shared" si="218"/>
        <v>1.8959699480084774E-2</v>
      </c>
      <c r="BG54" s="84">
        <f t="shared" si="219"/>
        <v>1.8959934756966394E-2</v>
      </c>
      <c r="BH54" s="38">
        <f t="shared" si="220"/>
        <v>8.4703158333333342</v>
      </c>
      <c r="BI54" s="38"/>
      <c r="BJ54" s="38">
        <f t="shared" si="61"/>
        <v>3.8116421250000005</v>
      </c>
      <c r="BK54" s="38"/>
      <c r="BL54" s="38">
        <f>'Analisis economico'!$C$5/BJ54</f>
        <v>0.93398065276130815</v>
      </c>
      <c r="BM54" s="38"/>
      <c r="BN54" s="38">
        <f t="shared" si="160"/>
        <v>8.4703158333333342</v>
      </c>
      <c r="BO54" s="38">
        <f t="shared" si="161"/>
        <v>0.1464359686441824</v>
      </c>
      <c r="BP54" s="38">
        <f t="shared" si="164"/>
        <v>265.22656601445652</v>
      </c>
      <c r="BQ54" s="27">
        <f t="shared" si="221"/>
        <v>273.69688184778988</v>
      </c>
      <c r="BR54" s="234">
        <f>AVERAGE(BR53,BR55)</f>
        <v>8.4703158333333342</v>
      </c>
      <c r="BS54" s="230">
        <f t="shared" si="178"/>
        <v>1.8273530016960423E-8</v>
      </c>
      <c r="BT54" s="230"/>
      <c r="BU54" s="341">
        <f t="shared" si="62"/>
        <v>0.43856472040705013</v>
      </c>
      <c r="BV54" s="341"/>
      <c r="BW54" s="341"/>
      <c r="BX54" s="27">
        <f t="shared" si="165"/>
        <v>0.53158851166749987</v>
      </c>
      <c r="BY54" s="56"/>
      <c r="BZ54" s="38">
        <f t="shared" si="162"/>
        <v>8.4703158333333342</v>
      </c>
      <c r="CA54" s="38">
        <f t="shared" si="163"/>
        <v>0.1464359686441824</v>
      </c>
      <c r="CB54" s="245">
        <f t="shared" si="166"/>
        <v>263.72235062983668</v>
      </c>
      <c r="CC54" s="58">
        <f t="shared" si="222"/>
        <v>272.19266646317004</v>
      </c>
      <c r="CD54" s="38">
        <v>63.119</v>
      </c>
      <c r="CE54" s="35"/>
      <c r="CF54" s="80">
        <f t="shared" si="167"/>
        <v>532767980.55550873</v>
      </c>
      <c r="CG54" s="77">
        <f t="shared" si="168"/>
        <v>532767980.55550873</v>
      </c>
      <c r="CH54" s="62"/>
      <c r="CI54" s="93">
        <f t="shared" si="223"/>
        <v>6735833.3333280087</v>
      </c>
      <c r="CJ54" s="58"/>
      <c r="CK54" s="323">
        <f>AVERAGE(CK53,CK55)</f>
        <v>0.25254886233519636</v>
      </c>
      <c r="CL54" s="38"/>
      <c r="CM54" s="38"/>
      <c r="CN54" s="38"/>
      <c r="CO54" s="38">
        <f t="shared" si="169"/>
        <v>-58.359300739418565</v>
      </c>
      <c r="CP54" s="37"/>
      <c r="CQ54" s="37"/>
      <c r="CR54" s="56"/>
      <c r="CS54" s="58">
        <f t="shared" si="170"/>
        <v>-58.359300739418572</v>
      </c>
      <c r="CT54" s="58"/>
      <c r="CU54" s="58"/>
      <c r="CV54" s="58"/>
      <c r="CW54" s="323">
        <f>AVERAGE(CW53,CW55)</f>
        <v>31.914933266466118</v>
      </c>
      <c r="CX54" s="323"/>
      <c r="CY54" s="323"/>
      <c r="CZ54" s="323"/>
      <c r="DA54" s="38">
        <f t="shared" si="171"/>
        <v>60.173583603909535</v>
      </c>
      <c r="DB54" s="38"/>
      <c r="DC54" s="38"/>
      <c r="DD54" s="38"/>
      <c r="DE54" s="38">
        <f t="shared" si="172"/>
        <v>60.17358360390952</v>
      </c>
      <c r="DF54" s="38"/>
      <c r="DG54" s="38"/>
      <c r="DH54" s="38"/>
      <c r="DI54" s="38">
        <f t="shared" si="173"/>
        <v>-1.3439308952128857</v>
      </c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V54" s="38">
        <f t="shared" si="224"/>
        <v>0</v>
      </c>
      <c r="DW54" s="56"/>
      <c r="DX54" s="38">
        <v>1.7903755900232192</v>
      </c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K54"/>
      <c r="FL54"/>
      <c r="FM54"/>
      <c r="FN54"/>
    </row>
    <row r="55" spans="1:170" ht="15.75" thickBot="1" x14ac:dyDescent="0.25">
      <c r="A55" s="202">
        <v>48</v>
      </c>
      <c r="B55" s="203">
        <v>43683</v>
      </c>
      <c r="C55" s="60">
        <v>0.39930555555555558</v>
      </c>
      <c r="D55" s="87">
        <f t="shared" si="179"/>
        <v>1487.0833333333139</v>
      </c>
      <c r="E55" s="87">
        <f t="shared" si="180"/>
        <v>61.961805555554747</v>
      </c>
      <c r="F55" s="116">
        <v>1</v>
      </c>
      <c r="G55" s="258">
        <v>7620000</v>
      </c>
      <c r="H55" s="258">
        <v>8130000</v>
      </c>
      <c r="I55" s="258">
        <v>8070000</v>
      </c>
      <c r="J55" s="258">
        <f t="shared" si="181"/>
        <v>7940000</v>
      </c>
      <c r="K55" s="258">
        <f t="shared" si="182"/>
        <v>278747.19729532709</v>
      </c>
      <c r="L55" s="257">
        <f t="shared" si="183"/>
        <v>3.5106699911250261E-2</v>
      </c>
      <c r="M55" s="118">
        <f t="shared" si="184"/>
        <v>7940000</v>
      </c>
      <c r="N55" s="204">
        <v>260000</v>
      </c>
      <c r="O55" s="88">
        <f t="shared" si="185"/>
        <v>260000</v>
      </c>
      <c r="P55" s="38">
        <v>7.12</v>
      </c>
      <c r="Q55" s="38">
        <v>44.2</v>
      </c>
      <c r="R55" s="84">
        <f t="shared" si="186"/>
        <v>1.7875727832674899E-2</v>
      </c>
      <c r="S55" s="84"/>
      <c r="T55" s="311">
        <f t="shared" si="15"/>
        <v>19990780.141860347</v>
      </c>
      <c r="U55" s="84" t="e">
        <f>#REF!</f>
        <v>#REF!</v>
      </c>
      <c r="V55" s="63">
        <f t="shared" si="187"/>
        <v>8200000</v>
      </c>
      <c r="W55" s="89">
        <f t="shared" si="188"/>
        <v>8200000</v>
      </c>
      <c r="X55" s="90">
        <f t="shared" si="189"/>
        <v>0.96829268292682924</v>
      </c>
      <c r="Y55" s="61">
        <f t="shared" si="190"/>
        <v>8482011236.111227</v>
      </c>
      <c r="Z55" s="148">
        <f t="shared" si="191"/>
        <v>547335647.22218716</v>
      </c>
      <c r="AA55" s="27">
        <v>47.15</v>
      </c>
      <c r="AB55" s="27">
        <v>0</v>
      </c>
      <c r="AC55" s="27">
        <v>0</v>
      </c>
      <c r="AD55" s="27">
        <v>0</v>
      </c>
      <c r="AE55" s="27">
        <f t="shared" si="192"/>
        <v>2.9583333333357587</v>
      </c>
      <c r="AF55" s="27">
        <f t="shared" si="193"/>
        <v>2.3500000000000014</v>
      </c>
      <c r="AG55" s="27">
        <f t="shared" si="194"/>
        <v>47.15</v>
      </c>
      <c r="AH55" s="27">
        <f t="shared" si="195"/>
        <v>0.79436619718244783</v>
      </c>
      <c r="AI55" s="27">
        <f t="shared" si="196"/>
        <v>0.39718309859122392</v>
      </c>
      <c r="AJ55" s="109">
        <f t="shared" si="197"/>
        <v>1.6549295774634331E-2</v>
      </c>
      <c r="AK55" s="109">
        <f t="shared" si="198"/>
        <v>5.0023060275972787E-2</v>
      </c>
      <c r="AL55" s="27">
        <f t="shared" si="199"/>
        <v>2.3500000000000014</v>
      </c>
      <c r="AM55" s="27">
        <f t="shared" si="200"/>
        <v>47.15</v>
      </c>
      <c r="AN55" s="27">
        <f t="shared" si="201"/>
        <v>0.79436619718244783</v>
      </c>
      <c r="AO55" s="27">
        <f t="shared" si="202"/>
        <v>0.39718309859122392</v>
      </c>
      <c r="AP55" s="27">
        <f t="shared" si="203"/>
        <v>1.6549295774634331E-2</v>
      </c>
      <c r="AQ55" s="27">
        <f t="shared" si="204"/>
        <v>0</v>
      </c>
      <c r="AR55" s="27">
        <f t="shared" si="205"/>
        <v>0</v>
      </c>
      <c r="AS55" s="27">
        <f t="shared" si="206"/>
        <v>0</v>
      </c>
      <c r="AT55" s="27">
        <f t="shared" si="207"/>
        <v>0</v>
      </c>
      <c r="AU55" s="145">
        <f t="shared" si="208"/>
        <v>7940000</v>
      </c>
      <c r="AV55" s="27">
        <v>1</v>
      </c>
      <c r="AW55" s="27">
        <f t="shared" si="209"/>
        <v>1.6549295774634331E-2</v>
      </c>
      <c r="AX55" s="145">
        <f t="shared" si="210"/>
        <v>131401.40845059659</v>
      </c>
      <c r="AY55" s="145">
        <f t="shared" si="211"/>
        <v>134356770.85367557</v>
      </c>
      <c r="AZ55" s="27">
        <f t="shared" si="212"/>
        <v>0</v>
      </c>
      <c r="BA55" s="145">
        <f t="shared" si="213"/>
        <v>0</v>
      </c>
      <c r="BB55" s="145">
        <f t="shared" si="214"/>
        <v>0</v>
      </c>
      <c r="BC55" s="145">
        <f t="shared" si="215"/>
        <v>142296770.85367557</v>
      </c>
      <c r="BD55" s="145">
        <f t="shared" si="216"/>
        <v>8482011236.111227</v>
      </c>
      <c r="BE55" s="84">
        <f t="shared" si="217"/>
        <v>1.8038712435833097E-2</v>
      </c>
      <c r="BF55" s="84">
        <f t="shared" si="218"/>
        <v>1.7874748330355756E-2</v>
      </c>
      <c r="BG55" s="84">
        <f t="shared" si="219"/>
        <v>1.7875727832674899E-2</v>
      </c>
      <c r="BH55" s="38">
        <f t="shared" si="220"/>
        <v>7.9142436666666667</v>
      </c>
      <c r="BI55" s="38"/>
      <c r="BJ55" s="38">
        <f t="shared" si="61"/>
        <v>3.5614096499999999</v>
      </c>
      <c r="BK55" s="38"/>
      <c r="BL55" s="38">
        <f>'Analisis economico'!$C$5/BJ55</f>
        <v>0.99960418762834546</v>
      </c>
      <c r="BM55" s="38"/>
      <c r="BN55" s="38">
        <f t="shared" si="160"/>
        <v>7.9142436666666667</v>
      </c>
      <c r="BO55" s="38">
        <f t="shared" si="161"/>
        <v>0.13097515927219319</v>
      </c>
      <c r="BP55" s="38">
        <f t="shared" si="164"/>
        <v>275.07466105549594</v>
      </c>
      <c r="BQ55" s="27">
        <f t="shared" si="221"/>
        <v>282.9889047221626</v>
      </c>
      <c r="BR55" s="211">
        <v>7.9142436666666667</v>
      </c>
      <c r="BS55" s="61">
        <f t="shared" si="178"/>
        <v>1.6736909047348312E-8</v>
      </c>
      <c r="BT55" s="61"/>
      <c r="BU55" s="342">
        <f t="shared" si="62"/>
        <v>0.40168581713635948</v>
      </c>
      <c r="BV55" s="342"/>
      <c r="BW55" s="342"/>
      <c r="BX55" s="27">
        <f t="shared" si="165"/>
        <v>0.55084036907999989</v>
      </c>
      <c r="BY55" s="56"/>
      <c r="BZ55" s="38">
        <f t="shared" si="162"/>
        <v>7.9142436666666667</v>
      </c>
      <c r="CA55" s="38">
        <f t="shared" si="163"/>
        <v>0.13097515927219319</v>
      </c>
      <c r="CB55" s="245">
        <f t="shared" si="166"/>
        <v>273.5704456708761</v>
      </c>
      <c r="CC55" s="58">
        <f t="shared" si="222"/>
        <v>281.48468933754276</v>
      </c>
      <c r="CD55" s="38">
        <v>64.119</v>
      </c>
      <c r="CE55" s="35"/>
      <c r="CF55" s="80">
        <f t="shared" si="167"/>
        <v>546896980.5555203</v>
      </c>
      <c r="CG55" s="77">
        <f t="shared" si="168"/>
        <v>546896980.5555203</v>
      </c>
      <c r="CH55" s="62"/>
      <c r="CI55" s="93">
        <f t="shared" si="223"/>
        <v>14129000.000011563</v>
      </c>
      <c r="CJ55" s="58"/>
      <c r="CK55" s="38">
        <v>0.24545098071704946</v>
      </c>
      <c r="CL55" s="38"/>
      <c r="CM55" s="38"/>
      <c r="CN55" s="38"/>
      <c r="CO55" s="38">
        <f t="shared" si="169"/>
        <v>-51.511601101298808</v>
      </c>
      <c r="CP55" s="37"/>
      <c r="CQ55" s="37"/>
      <c r="CR55" s="56"/>
      <c r="CS55" s="58">
        <f t="shared" si="170"/>
        <v>-51.511601101298815</v>
      </c>
      <c r="CT55" s="58"/>
      <c r="CU55" s="58"/>
      <c r="CV55" s="58"/>
      <c r="CW55" s="38">
        <v>27.912832712029157</v>
      </c>
      <c r="CX55" s="38"/>
      <c r="CY55" s="38"/>
      <c r="CZ55" s="38"/>
      <c r="DA55" s="38">
        <f t="shared" si="171"/>
        <v>57.476067332346389</v>
      </c>
      <c r="DB55" s="38"/>
      <c r="DC55" s="38"/>
      <c r="DD55" s="38"/>
      <c r="DE55" s="38">
        <f t="shared" si="172"/>
        <v>57.476067332346389</v>
      </c>
      <c r="DF55" s="38"/>
      <c r="DG55" s="38"/>
      <c r="DH55" s="38"/>
      <c r="DI55" s="38">
        <f t="shared" si="173"/>
        <v>-1.1750521000996772</v>
      </c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V55" s="38">
        <f t="shared" si="224"/>
        <v>0</v>
      </c>
      <c r="DW55" s="56"/>
      <c r="DX55" s="38">
        <v>1.3795568064471235</v>
      </c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K55"/>
      <c r="FL55"/>
      <c r="FM55"/>
      <c r="FN55"/>
    </row>
    <row r="56" spans="1:170" ht="15.75" thickBot="1" x14ac:dyDescent="0.25">
      <c r="A56" s="202">
        <v>49</v>
      </c>
      <c r="B56" s="203">
        <v>43684</v>
      </c>
      <c r="C56" s="60">
        <v>0.41319444444444442</v>
      </c>
      <c r="D56" s="87">
        <f t="shared" si="179"/>
        <v>1511.4166666666861</v>
      </c>
      <c r="E56" s="87">
        <f t="shared" si="180"/>
        <v>62.975694444445253</v>
      </c>
      <c r="F56" s="116">
        <v>1</v>
      </c>
      <c r="G56" s="258">
        <v>9270000</v>
      </c>
      <c r="H56" s="258">
        <v>9150000</v>
      </c>
      <c r="I56" s="258"/>
      <c r="J56" s="258">
        <f t="shared" si="181"/>
        <v>9210000</v>
      </c>
      <c r="K56" s="258">
        <f t="shared" si="182"/>
        <v>84852.813742385697</v>
      </c>
      <c r="L56" s="257">
        <f t="shared" si="183"/>
        <v>9.2131176701830287E-3</v>
      </c>
      <c r="M56" s="118">
        <f t="shared" si="184"/>
        <v>9210000</v>
      </c>
      <c r="N56" s="204">
        <v>210000</v>
      </c>
      <c r="O56" s="88">
        <f t="shared" si="185"/>
        <v>210000</v>
      </c>
      <c r="P56" s="38">
        <v>7.12</v>
      </c>
      <c r="Q56" s="38">
        <v>37</v>
      </c>
      <c r="R56" s="84">
        <f t="shared" si="186"/>
        <v>2.2138394560981142E-2</v>
      </c>
      <c r="S56" s="84"/>
      <c r="T56" s="311">
        <f t="shared" si="15"/>
        <v>23344791.666703772</v>
      </c>
      <c r="U56" s="84" t="e">
        <f>#REF!</f>
        <v>#REF!</v>
      </c>
      <c r="V56" s="63">
        <f t="shared" si="187"/>
        <v>9420000</v>
      </c>
      <c r="W56" s="89">
        <f t="shared" si="188"/>
        <v>9420000</v>
      </c>
      <c r="X56" s="90">
        <f t="shared" si="189"/>
        <v>0.97770700636942676</v>
      </c>
      <c r="Y56" s="61">
        <f t="shared" si="190"/>
        <v>8690669569.4448929</v>
      </c>
      <c r="Z56" s="148">
        <f t="shared" si="191"/>
        <v>553053980.55552959</v>
      </c>
      <c r="AA56" s="27">
        <v>47.95</v>
      </c>
      <c r="AB56" s="27">
        <v>0</v>
      </c>
      <c r="AC56" s="27">
        <v>0</v>
      </c>
      <c r="AD56" s="27">
        <v>0</v>
      </c>
      <c r="AE56" s="27">
        <f t="shared" si="192"/>
        <v>1.0138888888905058</v>
      </c>
      <c r="AF56" s="27">
        <f t="shared" si="193"/>
        <v>0.80000000000000426</v>
      </c>
      <c r="AG56" s="27">
        <f t="shared" si="194"/>
        <v>47.95</v>
      </c>
      <c r="AH56" s="27">
        <f t="shared" si="195"/>
        <v>0.78904109588915683</v>
      </c>
      <c r="AI56" s="27">
        <f t="shared" si="196"/>
        <v>0.39452054794457841</v>
      </c>
      <c r="AJ56" s="109">
        <f t="shared" si="197"/>
        <v>1.6438356164357435E-2</v>
      </c>
      <c r="AK56" s="109">
        <f t="shared" si="198"/>
        <v>4.2836107268683865E-2</v>
      </c>
      <c r="AL56" s="27">
        <f t="shared" si="199"/>
        <v>0.80000000000000426</v>
      </c>
      <c r="AM56" s="27">
        <f t="shared" si="200"/>
        <v>47.95</v>
      </c>
      <c r="AN56" s="27">
        <f t="shared" si="201"/>
        <v>0.78904109588915683</v>
      </c>
      <c r="AO56" s="27">
        <f t="shared" si="202"/>
        <v>0.39452054794457841</v>
      </c>
      <c r="AP56" s="27">
        <f t="shared" si="203"/>
        <v>1.6438356164357435E-2</v>
      </c>
      <c r="AQ56" s="27">
        <f t="shared" si="204"/>
        <v>0</v>
      </c>
      <c r="AR56" s="27">
        <f t="shared" si="205"/>
        <v>0</v>
      </c>
      <c r="AS56" s="27">
        <f t="shared" si="206"/>
        <v>0</v>
      </c>
      <c r="AT56" s="27">
        <f t="shared" si="207"/>
        <v>0</v>
      </c>
      <c r="AU56" s="145">
        <f t="shared" si="208"/>
        <v>9210000</v>
      </c>
      <c r="AV56" s="27">
        <v>1</v>
      </c>
      <c r="AW56" s="27">
        <f t="shared" si="209"/>
        <v>1.6438356164357435E-2</v>
      </c>
      <c r="AX56" s="145">
        <f t="shared" si="210"/>
        <v>151397.26027373198</v>
      </c>
      <c r="AY56" s="145">
        <f t="shared" si="211"/>
        <v>137797487.98982707</v>
      </c>
      <c r="AZ56" s="27">
        <f t="shared" si="212"/>
        <v>0</v>
      </c>
      <c r="BA56" s="145">
        <f t="shared" si="213"/>
        <v>0</v>
      </c>
      <c r="BB56" s="145">
        <f t="shared" si="214"/>
        <v>0</v>
      </c>
      <c r="BC56" s="145">
        <f t="shared" si="215"/>
        <v>147007487.98982707</v>
      </c>
      <c r="BD56" s="145">
        <f t="shared" si="216"/>
        <v>8690669569.4448929</v>
      </c>
      <c r="BE56" s="84">
        <f t="shared" si="217"/>
        <v>2.2576223345072817E-2</v>
      </c>
      <c r="BF56" s="84">
        <f t="shared" si="218"/>
        <v>2.2129274019214405E-2</v>
      </c>
      <c r="BG56" s="84">
        <f t="shared" si="219"/>
        <v>2.2138394560981142E-2</v>
      </c>
      <c r="BH56" s="38">
        <f t="shared" si="220"/>
        <v>9.1411747083333328</v>
      </c>
      <c r="BI56" s="38"/>
      <c r="BJ56" s="38">
        <f t="shared" si="61"/>
        <v>4.1135286187500002</v>
      </c>
      <c r="BK56" s="38"/>
      <c r="BL56" s="38">
        <f>'Analisis economico'!$C$5/BJ56</f>
        <v>0.86543703227760604</v>
      </c>
      <c r="BM56" s="38"/>
      <c r="BN56" s="38">
        <f t="shared" si="160"/>
        <v>9.1411747083333328</v>
      </c>
      <c r="BO56" s="38">
        <f t="shared" si="161"/>
        <v>0.15026588561619952</v>
      </c>
      <c r="BP56" s="38">
        <f t="shared" si="164"/>
        <v>278.49642710164352</v>
      </c>
      <c r="BQ56" s="27">
        <f t="shared" si="221"/>
        <v>287.63760180997684</v>
      </c>
      <c r="BR56" s="234">
        <f>AVERAGE(BR55,BR57)</f>
        <v>9.1411747083333328</v>
      </c>
      <c r="BS56" s="230">
        <f t="shared" si="178"/>
        <v>2.2227795279328827E-8</v>
      </c>
      <c r="BT56" s="230"/>
      <c r="BU56" s="341">
        <f t="shared" si="62"/>
        <v>0.53346708670389187</v>
      </c>
      <c r="BV56" s="341"/>
      <c r="BW56" s="341"/>
      <c r="BX56" s="27">
        <f t="shared" si="165"/>
        <v>0.55766253642999997</v>
      </c>
      <c r="BY56" s="56"/>
      <c r="BZ56" s="38">
        <f t="shared" si="162"/>
        <v>9.1411747083333328</v>
      </c>
      <c r="CA56" s="38">
        <f t="shared" si="163"/>
        <v>0.15026588561619952</v>
      </c>
      <c r="CB56" s="245">
        <f t="shared" si="166"/>
        <v>276.99221171702368</v>
      </c>
      <c r="CC56" s="58">
        <f t="shared" si="222"/>
        <v>286.133386425357</v>
      </c>
      <c r="CD56" s="38">
        <v>65.119</v>
      </c>
      <c r="CE56" s="35"/>
      <c r="CF56" s="80">
        <f t="shared" si="167"/>
        <v>552615313.88886273</v>
      </c>
      <c r="CG56" s="77">
        <f t="shared" si="168"/>
        <v>552615313.88886273</v>
      </c>
      <c r="CH56" s="62"/>
      <c r="CI56" s="93">
        <f t="shared" si="223"/>
        <v>5718333.333342433</v>
      </c>
      <c r="CJ56" s="58"/>
      <c r="CK56" s="38">
        <v>0.38638582415235156</v>
      </c>
      <c r="CL56" s="38"/>
      <c r="CM56" s="38"/>
      <c r="CN56" s="38"/>
      <c r="CO56" s="38">
        <f t="shared" si="169"/>
        <v>-44.727175025724605</v>
      </c>
      <c r="CP56" s="37"/>
      <c r="CQ56" s="37"/>
      <c r="CR56" s="56"/>
      <c r="CS56" s="58">
        <f t="shared" si="170"/>
        <v>-44.727175025724598</v>
      </c>
      <c r="CT56" s="58"/>
      <c r="CU56" s="58"/>
      <c r="CV56" s="58"/>
      <c r="CW56" s="38">
        <v>30.790492242810757</v>
      </c>
      <c r="CX56" s="38"/>
      <c r="CY56" s="38"/>
      <c r="CZ56" s="38"/>
      <c r="DA56" s="38">
        <f t="shared" si="171"/>
        <v>70.058666185037751</v>
      </c>
      <c r="DB56" s="38"/>
      <c r="DC56" s="38"/>
      <c r="DD56" s="38"/>
      <c r="DE56" s="38">
        <f t="shared" si="172"/>
        <v>70.058666185037737</v>
      </c>
      <c r="DF56" s="38"/>
      <c r="DG56" s="38"/>
      <c r="DH56" s="38"/>
      <c r="DI56" s="38">
        <f t="shared" si="173"/>
        <v>-1.3039296743614845</v>
      </c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V56" s="38">
        <f t="shared" si="224"/>
        <v>0</v>
      </c>
      <c r="DW56" s="56"/>
      <c r="DX56" s="38">
        <v>1.5544470447077898</v>
      </c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K56"/>
      <c r="FL56"/>
      <c r="FM56"/>
      <c r="FN56"/>
    </row>
    <row r="57" spans="1:170" ht="15.75" thickBot="1" x14ac:dyDescent="0.25">
      <c r="A57" s="202">
        <v>50</v>
      </c>
      <c r="B57" s="203">
        <v>43685</v>
      </c>
      <c r="C57" s="60">
        <v>0.47222222222222227</v>
      </c>
      <c r="D57" s="357">
        <f t="shared" si="179"/>
        <v>1536.8333333332557</v>
      </c>
      <c r="E57" s="87">
        <f t="shared" si="180"/>
        <v>64.034722222218988</v>
      </c>
      <c r="F57" s="116">
        <v>1</v>
      </c>
      <c r="G57" s="258">
        <v>7860000</v>
      </c>
      <c r="H57" s="258">
        <v>7080000</v>
      </c>
      <c r="I57" s="258"/>
      <c r="J57" s="258">
        <f t="shared" si="181"/>
        <v>7470000</v>
      </c>
      <c r="K57" s="258">
        <f t="shared" si="182"/>
        <v>551543.28932550712</v>
      </c>
      <c r="L57" s="257">
        <f t="shared" si="183"/>
        <v>7.3834443015462797E-2</v>
      </c>
      <c r="M57" s="118">
        <f t="shared" si="184"/>
        <v>7470000</v>
      </c>
      <c r="N57" s="204">
        <v>570000</v>
      </c>
      <c r="O57" s="88">
        <f t="shared" si="185"/>
        <v>570000</v>
      </c>
      <c r="P57" s="38">
        <v>7.13</v>
      </c>
      <c r="Q57" s="38">
        <v>69.599999999999994</v>
      </c>
      <c r="R57" s="84">
        <f t="shared" si="186"/>
        <v>1.0488944049978384E-2</v>
      </c>
      <c r="S57" s="84"/>
      <c r="T57" s="311">
        <f t="shared" si="15"/>
        <v>18613970.588164371</v>
      </c>
      <c r="U57" s="84" t="e">
        <f>#REF!</f>
        <v>#REF!</v>
      </c>
      <c r="V57" s="63">
        <f t="shared" si="187"/>
        <v>8040000</v>
      </c>
      <c r="W57" s="89">
        <f t="shared" si="188"/>
        <v>8040000</v>
      </c>
      <c r="X57" s="90">
        <f t="shared" si="189"/>
        <v>0.92910447761194026</v>
      </c>
      <c r="Y57" s="61">
        <f t="shared" si="190"/>
        <v>8902644569.4440842</v>
      </c>
      <c r="Z57" s="148">
        <f t="shared" si="191"/>
        <v>562966480.55549181</v>
      </c>
      <c r="AA57" s="27">
        <v>48.8</v>
      </c>
      <c r="AB57" s="27">
        <v>0</v>
      </c>
      <c r="AC57" s="27">
        <v>0</v>
      </c>
      <c r="AD57" s="27">
        <v>0</v>
      </c>
      <c r="AE57" s="27">
        <f t="shared" si="192"/>
        <v>1.0590277777737356</v>
      </c>
      <c r="AF57" s="27">
        <f t="shared" si="193"/>
        <v>0.84999999999999432</v>
      </c>
      <c r="AG57" s="27">
        <f t="shared" si="194"/>
        <v>48.8</v>
      </c>
      <c r="AH57" s="27">
        <f t="shared" si="195"/>
        <v>0.80262295082273027</v>
      </c>
      <c r="AI57" s="27">
        <f t="shared" si="196"/>
        <v>0.40131147541136514</v>
      </c>
      <c r="AJ57" s="109">
        <f t="shared" si="197"/>
        <v>1.6721311475473549E-2</v>
      </c>
      <c r="AK57" s="109">
        <f t="shared" si="198"/>
        <v>5.3723089077826663E-2</v>
      </c>
      <c r="AL57" s="27">
        <f t="shared" si="199"/>
        <v>0.84999999999999432</v>
      </c>
      <c r="AM57" s="27">
        <f t="shared" si="200"/>
        <v>48.8</v>
      </c>
      <c r="AN57" s="27">
        <f t="shared" si="201"/>
        <v>0.80262295082273027</v>
      </c>
      <c r="AO57" s="27">
        <f t="shared" si="202"/>
        <v>0.40131147541136514</v>
      </c>
      <c r="AP57" s="27">
        <f t="shared" si="203"/>
        <v>1.6721311475473549E-2</v>
      </c>
      <c r="AQ57" s="27">
        <f t="shared" si="204"/>
        <v>0</v>
      </c>
      <c r="AR57" s="27">
        <f t="shared" si="205"/>
        <v>0</v>
      </c>
      <c r="AS57" s="27">
        <f t="shared" si="206"/>
        <v>0</v>
      </c>
      <c r="AT57" s="27">
        <f t="shared" si="207"/>
        <v>0</v>
      </c>
      <c r="AU57" s="145">
        <f t="shared" si="208"/>
        <v>7470000</v>
      </c>
      <c r="AV57" s="27">
        <v>1</v>
      </c>
      <c r="AW57" s="27">
        <f t="shared" si="209"/>
        <v>1.6721311475473549E-2</v>
      </c>
      <c r="AX57" s="145">
        <f t="shared" si="210"/>
        <v>124908.1967217874</v>
      </c>
      <c r="AY57" s="145">
        <f t="shared" si="211"/>
        <v>141308869.83913171</v>
      </c>
      <c r="AZ57" s="27">
        <f t="shared" si="212"/>
        <v>0</v>
      </c>
      <c r="BA57" s="145">
        <f t="shared" si="213"/>
        <v>0</v>
      </c>
      <c r="BB57" s="145">
        <f t="shared" si="214"/>
        <v>0</v>
      </c>
      <c r="BC57" s="145">
        <f t="shared" si="215"/>
        <v>148778869.83913171</v>
      </c>
      <c r="BD57" s="145">
        <f t="shared" si="216"/>
        <v>8902644569.4440842</v>
      </c>
      <c r="BE57" s="84">
        <f t="shared" si="217"/>
        <v>8.356560204323172E-3</v>
      </c>
      <c r="BF57" s="84">
        <f t="shared" si="218"/>
        <v>1.050194355251589E-2</v>
      </c>
      <c r="BG57" s="84">
        <f t="shared" si="219"/>
        <v>1.0488944049978384E-2</v>
      </c>
      <c r="BH57" s="38">
        <f t="shared" si="220"/>
        <v>10.36810575</v>
      </c>
      <c r="BI57" s="38"/>
      <c r="BJ57" s="38">
        <f t="shared" si="61"/>
        <v>4.6656475874999996</v>
      </c>
      <c r="BK57" s="38"/>
      <c r="BL57" s="38">
        <f>'Analisis economico'!$C$5/BJ57</f>
        <v>0.76302376749109757</v>
      </c>
      <c r="BM57" s="38"/>
      <c r="BN57" s="38">
        <f t="shared" si="160"/>
        <v>10.36810575</v>
      </c>
      <c r="BO57" s="38">
        <f t="shared" si="161"/>
        <v>0.17336832565639829</v>
      </c>
      <c r="BP57" s="38">
        <f t="shared" si="164"/>
        <v>282.60927853655039</v>
      </c>
      <c r="BQ57" s="27">
        <f t="shared" si="221"/>
        <v>292.97738428655038</v>
      </c>
      <c r="BR57" s="211">
        <v>10.36810575</v>
      </c>
      <c r="BS57" s="61">
        <f t="shared" si="178"/>
        <v>2.5345692365057107E-8</v>
      </c>
      <c r="BT57" s="61"/>
      <c r="BU57" s="342">
        <f t="shared" si="62"/>
        <v>0.60829661676137059</v>
      </c>
      <c r="BV57" s="342"/>
      <c r="BW57" s="342"/>
      <c r="BX57" s="27">
        <f t="shared" si="165"/>
        <v>0.56595398062479163</v>
      </c>
      <c r="BY57" s="56"/>
      <c r="BZ57" s="38">
        <f t="shared" si="162"/>
        <v>10.36810575</v>
      </c>
      <c r="CA57" s="38">
        <f t="shared" si="163"/>
        <v>0.17336832565639829</v>
      </c>
      <c r="CB57" s="245">
        <f t="shared" si="166"/>
        <v>281.10506315193055</v>
      </c>
      <c r="CC57" s="58">
        <f t="shared" si="222"/>
        <v>291.47316890193053</v>
      </c>
      <c r="CD57" s="38">
        <v>66.119</v>
      </c>
      <c r="CE57" s="35"/>
      <c r="CF57" s="80">
        <f t="shared" si="167"/>
        <v>562527813.88882494</v>
      </c>
      <c r="CG57" s="77">
        <f t="shared" si="168"/>
        <v>562527813.88882494</v>
      </c>
      <c r="CH57" s="62"/>
      <c r="CI57" s="93">
        <f t="shared" si="223"/>
        <v>9912499.9999622107</v>
      </c>
      <c r="CJ57" s="58"/>
      <c r="CK57" s="38">
        <v>0.40154660806721981</v>
      </c>
      <c r="CL57" s="38"/>
      <c r="CM57" s="38"/>
      <c r="CN57" s="38"/>
      <c r="CO57" s="38">
        <f t="shared" si="169"/>
        <v>-47.257476467869516</v>
      </c>
      <c r="CP57" s="37"/>
      <c r="CQ57" s="37"/>
      <c r="CR57" s="56"/>
      <c r="CS57" s="58">
        <f t="shared" si="170"/>
        <v>-47.257476467869516</v>
      </c>
      <c r="CT57" s="58"/>
      <c r="CU57" s="58"/>
      <c r="CV57" s="58"/>
      <c r="CW57" s="38">
        <v>30.135076726903751</v>
      </c>
      <c r="CX57" s="38"/>
      <c r="CY57" s="38"/>
      <c r="CZ57" s="38"/>
      <c r="DA57" s="38">
        <f t="shared" si="171"/>
        <v>57.984516524138002</v>
      </c>
      <c r="DB57" s="38"/>
      <c r="DC57" s="38"/>
      <c r="DD57" s="38"/>
      <c r="DE57" s="38">
        <f t="shared" si="172"/>
        <v>57.984516524138009</v>
      </c>
      <c r="DF57" s="38"/>
      <c r="DG57" s="38"/>
      <c r="DH57" s="38"/>
      <c r="DI57" s="38">
        <f t="shared" si="173"/>
        <v>-1.2769937176139494</v>
      </c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V57" s="38">
        <f t="shared" si="224"/>
        <v>0</v>
      </c>
      <c r="DW57" s="56"/>
      <c r="DX57" s="38">
        <v>1.2322292795014511</v>
      </c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K57"/>
      <c r="FL57"/>
      <c r="FM57"/>
      <c r="FN57"/>
    </row>
    <row r="58" spans="1:170" ht="15.75" thickBot="1" x14ac:dyDescent="0.25">
      <c r="A58" s="202">
        <v>51</v>
      </c>
      <c r="B58" s="203">
        <v>43686</v>
      </c>
      <c r="C58" s="60">
        <v>0.47222222222222227</v>
      </c>
      <c r="D58" s="87">
        <f t="shared" si="179"/>
        <v>1560.8333333332557</v>
      </c>
      <c r="E58" s="87">
        <f t="shared" si="180"/>
        <v>65.034722222218988</v>
      </c>
      <c r="F58" s="116">
        <v>1</v>
      </c>
      <c r="G58" s="258">
        <v>9870000</v>
      </c>
      <c r="H58" s="258">
        <v>8790000</v>
      </c>
      <c r="I58" s="258"/>
      <c r="J58" s="300">
        <f t="shared" si="181"/>
        <v>9330000</v>
      </c>
      <c r="K58" s="258">
        <f t="shared" si="182"/>
        <v>763675.32368147129</v>
      </c>
      <c r="L58" s="257">
        <f t="shared" si="183"/>
        <v>8.1851588819021576E-2</v>
      </c>
      <c r="M58" s="118">
        <f t="shared" si="184"/>
        <v>9330000</v>
      </c>
      <c r="N58" s="204">
        <v>645000</v>
      </c>
      <c r="O58" s="88">
        <f t="shared" si="185"/>
        <v>645000</v>
      </c>
      <c r="P58" s="38">
        <v>7.14</v>
      </c>
      <c r="Q58" s="38">
        <v>36.700000000000003</v>
      </c>
      <c r="R58" s="84">
        <f t="shared" si="186"/>
        <v>2.5652203316043936E-2</v>
      </c>
      <c r="S58" s="109">
        <f t="shared" ref="S58:S71" si="225">R58*24</f>
        <v>0.61565287958505444</v>
      </c>
      <c r="T58" s="311">
        <f t="shared" si="15"/>
        <v>23324999.999999877</v>
      </c>
      <c r="U58" s="84" t="e">
        <f>#REF!</f>
        <v>#REF!</v>
      </c>
      <c r="V58" s="63">
        <f t="shared" si="187"/>
        <v>9975000</v>
      </c>
      <c r="W58" s="89">
        <f t="shared" si="188"/>
        <v>9975000</v>
      </c>
      <c r="X58" s="90">
        <f t="shared" si="189"/>
        <v>0.93533834586466169</v>
      </c>
      <c r="Y58" s="61">
        <f t="shared" si="190"/>
        <v>9104244569.4440842</v>
      </c>
      <c r="Z58" s="148">
        <f t="shared" si="191"/>
        <v>577546480.55549181</v>
      </c>
      <c r="AA58" s="27">
        <v>49.6</v>
      </c>
      <c r="AB58" s="27">
        <v>0</v>
      </c>
      <c r="AC58" s="27">
        <v>0</v>
      </c>
      <c r="AD58" s="27">
        <v>0</v>
      </c>
      <c r="AE58" s="27">
        <f t="shared" si="192"/>
        <v>1</v>
      </c>
      <c r="AF58" s="27">
        <f t="shared" si="193"/>
        <v>0.80000000000000426</v>
      </c>
      <c r="AG58" s="27">
        <f t="shared" si="194"/>
        <v>49.6</v>
      </c>
      <c r="AH58" s="27">
        <f t="shared" si="195"/>
        <v>0.80000000000000426</v>
      </c>
      <c r="AI58" s="27">
        <f t="shared" si="196"/>
        <v>0.40000000000000213</v>
      </c>
      <c r="AJ58" s="109">
        <f t="shared" si="197"/>
        <v>1.6666666666666757E-2</v>
      </c>
      <c r="AK58" s="109">
        <f t="shared" si="198"/>
        <v>4.2872454448017377E-2</v>
      </c>
      <c r="AL58" s="27">
        <f t="shared" si="199"/>
        <v>0.80000000000000426</v>
      </c>
      <c r="AM58" s="27">
        <f t="shared" si="200"/>
        <v>49.6</v>
      </c>
      <c r="AN58" s="27">
        <f t="shared" si="201"/>
        <v>0.80000000000000426</v>
      </c>
      <c r="AO58" s="27">
        <f t="shared" si="202"/>
        <v>0.40000000000000213</v>
      </c>
      <c r="AP58" s="27">
        <f t="shared" si="203"/>
        <v>1.6666666666666757E-2</v>
      </c>
      <c r="AQ58" s="27">
        <f t="shared" si="204"/>
        <v>0</v>
      </c>
      <c r="AR58" s="27">
        <f t="shared" si="205"/>
        <v>0</v>
      </c>
      <c r="AS58" s="27">
        <f t="shared" si="206"/>
        <v>0</v>
      </c>
      <c r="AT58" s="27">
        <f t="shared" si="207"/>
        <v>0</v>
      </c>
      <c r="AU58" s="145">
        <f t="shared" si="208"/>
        <v>9330000</v>
      </c>
      <c r="AV58" s="27">
        <v>1</v>
      </c>
      <c r="AW58" s="27">
        <f t="shared" si="209"/>
        <v>1.6666666666666757E-2</v>
      </c>
      <c r="AX58" s="145">
        <f t="shared" si="210"/>
        <v>155500.00000000084</v>
      </c>
      <c r="AY58" s="145">
        <f t="shared" si="211"/>
        <v>144673768.19979316</v>
      </c>
      <c r="AZ58" s="27">
        <f t="shared" si="212"/>
        <v>0</v>
      </c>
      <c r="BA58" s="145">
        <f t="shared" si="213"/>
        <v>0</v>
      </c>
      <c r="BB58" s="145">
        <f t="shared" si="214"/>
        <v>0</v>
      </c>
      <c r="BC58" s="145">
        <f t="shared" si="215"/>
        <v>154003768.19979316</v>
      </c>
      <c r="BD58" s="145">
        <f t="shared" si="216"/>
        <v>9104244569.4440842</v>
      </c>
      <c r="BE58" s="84">
        <f t="shared" si="217"/>
        <v>2.591715456677305E-2</v>
      </c>
      <c r="BF58" s="84">
        <f t="shared" si="218"/>
        <v>2.5617540938107225E-2</v>
      </c>
      <c r="BG58" s="84">
        <f t="shared" si="219"/>
        <v>2.5652203316043936E-2</v>
      </c>
      <c r="BH58" s="38">
        <f t="shared" si="220"/>
        <v>12.599769750000002</v>
      </c>
      <c r="BI58" s="193" t="s">
        <v>307</v>
      </c>
      <c r="BJ58" s="358">
        <f t="shared" si="61"/>
        <v>5.6698963875000006</v>
      </c>
      <c r="BK58" s="193" t="s">
        <v>307</v>
      </c>
      <c r="BL58" s="38">
        <f>'Analisis economico'!$C$5/BJ58</f>
        <v>0.62787743491194437</v>
      </c>
      <c r="BM58" s="193" t="s">
        <v>307</v>
      </c>
      <c r="BN58" s="38">
        <f t="shared" si="160"/>
        <v>12.599769750000002</v>
      </c>
      <c r="BO58" s="38">
        <f t="shared" si="161"/>
        <v>0.20999616250000117</v>
      </c>
      <c r="BP58" s="38">
        <f t="shared" si="164"/>
        <v>287.20965239442717</v>
      </c>
      <c r="BQ58" s="27">
        <f t="shared" si="221"/>
        <v>299.80942214442717</v>
      </c>
      <c r="BR58" s="211">
        <v>12.599769750000002</v>
      </c>
      <c r="BS58" s="61">
        <f t="shared" si="178"/>
        <v>3.3855352678571561E-8</v>
      </c>
      <c r="BT58" s="230" t="s">
        <v>219</v>
      </c>
      <c r="BU58" s="342">
        <f t="shared" si="62"/>
        <v>0.81252846428571757</v>
      </c>
      <c r="BV58" s="230" t="s">
        <v>219</v>
      </c>
      <c r="BW58" s="342"/>
      <c r="BX58" s="27">
        <f t="shared" si="165"/>
        <v>0.57514113082479168</v>
      </c>
      <c r="BY58" s="56"/>
      <c r="BZ58" s="38">
        <f t="shared" si="162"/>
        <v>12.599769750000002</v>
      </c>
      <c r="CA58" s="38">
        <f t="shared" si="163"/>
        <v>0.20999616250000117</v>
      </c>
      <c r="CB58" s="245">
        <f t="shared" si="166"/>
        <v>285.70543700980733</v>
      </c>
      <c r="CC58" s="58">
        <f t="shared" si="222"/>
        <v>298.30520675980733</v>
      </c>
      <c r="CD58" s="38">
        <v>67.119</v>
      </c>
      <c r="CE58" s="35"/>
      <c r="CF58" s="80">
        <f t="shared" si="167"/>
        <v>577107813.88882494</v>
      </c>
      <c r="CG58" s="77">
        <f t="shared" si="168"/>
        <v>577107813.88882494</v>
      </c>
      <c r="CH58" s="62"/>
      <c r="CI58" s="93">
        <f t="shared" si="223"/>
        <v>14580000</v>
      </c>
      <c r="CJ58" s="58"/>
      <c r="CK58" s="320">
        <v>0.22309168357423942</v>
      </c>
      <c r="CL58" s="320">
        <f>AVERAGE(CK58:CK67)</f>
        <v>0.14695820161734938</v>
      </c>
      <c r="CM58" s="320">
        <f>STDEV(CK58:CK67)</f>
        <v>6.0082612059245866E-2</v>
      </c>
      <c r="CN58" s="328">
        <f>CM58/CL58</f>
        <v>0.4088415032166039</v>
      </c>
      <c r="CO58" s="38">
        <f t="shared" si="169"/>
        <v>-47.884559852007641</v>
      </c>
      <c r="CP58" s="320">
        <f>AVERAGE(CO58:CO67)</f>
        <v>-40.386622213146566</v>
      </c>
      <c r="CQ58" s="320">
        <f>STDEV(CO58:CO67)</f>
        <v>3.475248287448351</v>
      </c>
      <c r="CR58" s="328">
        <f>CQ58/CP58</f>
        <v>-8.60494910692753E-2</v>
      </c>
      <c r="CS58" s="58">
        <f t="shared" si="170"/>
        <v>-47.884559852007634</v>
      </c>
      <c r="CT58" s="320">
        <f>AVERAGE(CS58:CS67)</f>
        <v>-40.386622213146566</v>
      </c>
      <c r="CU58" s="320">
        <f>STDEV(CS58:CS67)</f>
        <v>3.475248287448347</v>
      </c>
      <c r="CV58" s="328">
        <f>CU58/CT58</f>
        <v>-8.6049491069275202E-2</v>
      </c>
      <c r="CW58" s="38">
        <v>30.498882578767841</v>
      </c>
      <c r="CX58" s="320">
        <f>AVERAGE(CW58:CW67)</f>
        <v>25.875889355320226</v>
      </c>
      <c r="CY58" s="320">
        <f>STDEV(CW58:CW67)</f>
        <v>2.5685402882367336</v>
      </c>
      <c r="CZ58" s="328">
        <f>CY58/CX58</f>
        <v>9.926384569690655E-2</v>
      </c>
      <c r="DA58" s="38">
        <f t="shared" si="171"/>
        <v>61.957329925587672</v>
      </c>
      <c r="DB58" s="320">
        <f>AVERAGE(DA58:DA67)</f>
        <v>42.305710895462006</v>
      </c>
      <c r="DC58" s="320">
        <f>STDEV(DA58:DA67)</f>
        <v>10.856903771412217</v>
      </c>
      <c r="DD58" s="328">
        <f>DC58/DB58</f>
        <v>0.2566297443444403</v>
      </c>
      <c r="DE58" s="38">
        <f t="shared" si="172"/>
        <v>61.957329925587672</v>
      </c>
      <c r="DF58" s="320">
        <f>AVERAGE(DE59:DE66)</f>
        <v>42.263194298100274</v>
      </c>
      <c r="DG58" s="320">
        <f>STDEV(DE59:DE66)</f>
        <v>6.5652455344164729</v>
      </c>
      <c r="DH58" s="328">
        <f>DG58/DF58</f>
        <v>0.15534191495581251</v>
      </c>
      <c r="DI58" s="320">
        <f t="shared" si="173"/>
        <v>-1.282710189772585</v>
      </c>
      <c r="DJ58" s="320">
        <f>-AVERAGE(DI58:DI67)</f>
        <v>1.084832524437878</v>
      </c>
      <c r="DK58" s="320">
        <f>STDEV(DI58:DI67)</f>
        <v>0.10801961405643701</v>
      </c>
      <c r="DL58" s="328">
        <f>DK58/DJ58</f>
        <v>9.9572617545191103E-2</v>
      </c>
      <c r="DM58" s="352">
        <f t="shared" ref="DM58:DM71" si="226">(-(J58/(CK58-$CP$5))/POWER(10,6))</f>
        <v>0.39239752602968031</v>
      </c>
      <c r="DN58" s="320">
        <f>AVERAGE(DM58:DM63)</f>
        <v>0.40933058622357826</v>
      </c>
      <c r="DO58" s="320">
        <f>STDEV(DM58:DM63)</f>
        <v>3.3113735996231144E-2</v>
      </c>
      <c r="DP58" s="328">
        <f>DO58/DN58</f>
        <v>8.0897292092764028E-2</v>
      </c>
      <c r="DQ58" s="352">
        <f t="shared" ref="DQ58:DQ71" si="227">(-(J58/(DX58-$DY$6)))/POWER(10,6)</f>
        <v>2.0186062425163191</v>
      </c>
      <c r="DR58" s="320">
        <f>AVERAGE(DQ58:DQ63)</f>
        <v>2.1545615005177612</v>
      </c>
      <c r="DS58" s="320">
        <f>STDEV(DQ58:DQ63)</f>
        <v>0.12937975764955406</v>
      </c>
      <c r="DT58" s="328">
        <f>DS58/DR58</f>
        <v>6.0049229329709505E-2</v>
      </c>
      <c r="DV58" s="38">
        <f t="shared" si="224"/>
        <v>0</v>
      </c>
      <c r="DW58" s="56"/>
      <c r="DX58" s="38">
        <v>0.92799903542873741</v>
      </c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K58"/>
      <c r="FL58"/>
      <c r="FM58"/>
      <c r="FN58"/>
    </row>
    <row r="59" spans="1:170" ht="15.75" thickBot="1" x14ac:dyDescent="0.25">
      <c r="A59" s="202">
        <v>52</v>
      </c>
      <c r="B59" s="203">
        <v>43689</v>
      </c>
      <c r="C59" s="60">
        <v>0.40625</v>
      </c>
      <c r="D59" s="87">
        <f t="shared" si="179"/>
        <v>1631.25</v>
      </c>
      <c r="E59" s="87">
        <f t="shared" si="180"/>
        <v>67.96875</v>
      </c>
      <c r="F59" s="116">
        <v>1</v>
      </c>
      <c r="G59" s="258">
        <v>11250000</v>
      </c>
      <c r="H59" s="258">
        <v>10290000</v>
      </c>
      <c r="I59" s="258">
        <v>10800000</v>
      </c>
      <c r="J59" s="300">
        <f>AVERAGE(G59:I59)</f>
        <v>10780000</v>
      </c>
      <c r="K59" s="258">
        <f>STDEV(G59:I59)</f>
        <v>480312.39834091312</v>
      </c>
      <c r="L59" s="257">
        <f t="shared" si="183"/>
        <v>4.4555881107691382E-2</v>
      </c>
      <c r="M59" s="118">
        <f t="shared" si="184"/>
        <v>10780000</v>
      </c>
      <c r="N59" s="204">
        <v>330000</v>
      </c>
      <c r="O59" s="88">
        <f t="shared" si="185"/>
        <v>330000</v>
      </c>
      <c r="P59" s="38">
        <v>7.11</v>
      </c>
      <c r="Q59" s="38">
        <v>52</v>
      </c>
      <c r="R59" s="84">
        <f t="shared" si="186"/>
        <v>1.8216761763893929E-2</v>
      </c>
      <c r="S59" s="109">
        <f t="shared" si="225"/>
        <v>0.43720228233345426</v>
      </c>
      <c r="T59" s="311">
        <f t="shared" si="15"/>
        <v>26918144.208067477</v>
      </c>
      <c r="U59" s="84" t="e">
        <f>#REF!</f>
        <v>#REF!</v>
      </c>
      <c r="V59" s="63">
        <f t="shared" si="187"/>
        <v>11110000</v>
      </c>
      <c r="W59" s="89">
        <f t="shared" si="188"/>
        <v>11110000</v>
      </c>
      <c r="X59" s="90">
        <f t="shared" si="189"/>
        <v>0.97029702970297027</v>
      </c>
      <c r="Y59" s="61">
        <f t="shared" si="190"/>
        <v>9812284152.7781982</v>
      </c>
      <c r="Z59" s="148">
        <f t="shared" si="191"/>
        <v>611874605.55552959</v>
      </c>
      <c r="AA59" s="27">
        <v>51.95</v>
      </c>
      <c r="AB59" s="27">
        <v>0</v>
      </c>
      <c r="AC59" s="27">
        <v>0</v>
      </c>
      <c r="AD59" s="27">
        <v>0</v>
      </c>
      <c r="AE59" s="27">
        <f t="shared" si="192"/>
        <v>2.9340277777810115</v>
      </c>
      <c r="AF59" s="27">
        <f t="shared" si="193"/>
        <v>2.3500000000000014</v>
      </c>
      <c r="AG59" s="27">
        <f t="shared" si="194"/>
        <v>51.95</v>
      </c>
      <c r="AH59" s="27">
        <f t="shared" si="195"/>
        <v>0.8009467455612479</v>
      </c>
      <c r="AI59" s="27">
        <f t="shared" si="196"/>
        <v>0.40047337278062395</v>
      </c>
      <c r="AJ59" s="109">
        <f t="shared" si="197"/>
        <v>1.6686390532525998E-2</v>
      </c>
      <c r="AK59" s="109">
        <f t="shared" si="198"/>
        <v>3.7149663523248978E-2</v>
      </c>
      <c r="AL59" s="27">
        <f t="shared" si="199"/>
        <v>2.3500000000000014</v>
      </c>
      <c r="AM59" s="27">
        <f t="shared" si="200"/>
        <v>51.95</v>
      </c>
      <c r="AN59" s="27">
        <f t="shared" si="201"/>
        <v>0.8009467455612479</v>
      </c>
      <c r="AO59" s="27">
        <f t="shared" si="202"/>
        <v>0.40047337278062395</v>
      </c>
      <c r="AP59" s="27">
        <f t="shared" si="203"/>
        <v>1.6686390532525998E-2</v>
      </c>
      <c r="AQ59" s="27">
        <f t="shared" si="204"/>
        <v>0</v>
      </c>
      <c r="AR59" s="27">
        <f t="shared" si="205"/>
        <v>0</v>
      </c>
      <c r="AS59" s="27">
        <f t="shared" si="206"/>
        <v>0</v>
      </c>
      <c r="AT59" s="27">
        <f t="shared" si="207"/>
        <v>0</v>
      </c>
      <c r="AU59" s="145">
        <f t="shared" si="208"/>
        <v>10780000</v>
      </c>
      <c r="AV59" s="27">
        <v>1</v>
      </c>
      <c r="AW59" s="27">
        <f t="shared" si="209"/>
        <v>1.6686390532525998E-2</v>
      </c>
      <c r="AX59" s="145">
        <f t="shared" si="210"/>
        <v>179879.28994063026</v>
      </c>
      <c r="AY59" s="145">
        <f t="shared" si="211"/>
        <v>156481914.03313255</v>
      </c>
      <c r="AZ59" s="27">
        <f t="shared" si="212"/>
        <v>0</v>
      </c>
      <c r="BA59" s="145">
        <f t="shared" si="213"/>
        <v>0</v>
      </c>
      <c r="BB59" s="145">
        <f t="shared" si="214"/>
        <v>0</v>
      </c>
      <c r="BC59" s="145">
        <f t="shared" si="215"/>
        <v>167261914.03313255</v>
      </c>
      <c r="BD59" s="145">
        <f t="shared" si="216"/>
        <v>9812284152.7781982</v>
      </c>
      <c r="BE59" s="84">
        <f t="shared" si="217"/>
        <v>1.8725147781862159E-2</v>
      </c>
      <c r="BF59" s="84">
        <f t="shared" si="218"/>
        <v>1.8215282464728845E-2</v>
      </c>
      <c r="BG59" s="84">
        <f t="shared" si="219"/>
        <v>1.8216761763893929E-2</v>
      </c>
      <c r="BH59" s="38">
        <f t="shared" si="220"/>
        <v>14.159212500000001</v>
      </c>
      <c r="BI59" s="193">
        <f>AVERAGE(BH58:BH67)</f>
        <v>17.331927758333332</v>
      </c>
      <c r="BJ59" s="358">
        <f t="shared" si="61"/>
        <v>6.3716456250000002</v>
      </c>
      <c r="BK59" s="193">
        <f>AVERAGE(BJ58:BJ67)</f>
        <v>7.7993674912500008</v>
      </c>
      <c r="BL59" s="38">
        <f>'Analisis economico'!$C$5/BJ59</f>
        <v>0.55872536068733425</v>
      </c>
      <c r="BM59" s="193">
        <f>AVERAGE(BL58:BL67)</f>
        <v>0.47780556026752297</v>
      </c>
      <c r="BN59" s="38">
        <f t="shared" si="160"/>
        <v>14.159212500000001</v>
      </c>
      <c r="BO59" s="38">
        <f t="shared" si="161"/>
        <v>0.23626614940802376</v>
      </c>
      <c r="BP59" s="38">
        <f t="shared" si="164"/>
        <v>302.92180462620621</v>
      </c>
      <c r="BQ59" s="27">
        <f t="shared" si="221"/>
        <v>317.08101712620623</v>
      </c>
      <c r="BR59" s="211">
        <v>14.159212500000001</v>
      </c>
      <c r="BS59" s="61">
        <f t="shared" si="178"/>
        <v>2.4405902196178011E-8</v>
      </c>
      <c r="BT59" s="230">
        <f>STDEV(BS58:BS66)</f>
        <v>8.5553326625118137E-9</v>
      </c>
      <c r="BU59" s="342">
        <f t="shared" si="62"/>
        <v>0.58574165270827228</v>
      </c>
      <c r="BV59" s="230">
        <f>STDEV(BU58:BU66)</f>
        <v>0.20532798390028387</v>
      </c>
      <c r="BW59" s="342"/>
      <c r="BX59" s="27">
        <f t="shared" si="165"/>
        <v>0.60658293496854165</v>
      </c>
      <c r="BY59" s="56"/>
      <c r="BZ59" s="38">
        <f t="shared" si="162"/>
        <v>14.159212500000001</v>
      </c>
      <c r="CA59" s="38">
        <f t="shared" si="163"/>
        <v>0.23626614940802376</v>
      </c>
      <c r="CB59" s="245">
        <f t="shared" si="166"/>
        <v>301.41758924158637</v>
      </c>
      <c r="CC59" s="58">
        <f t="shared" si="222"/>
        <v>315.57680174158639</v>
      </c>
      <c r="CD59" s="38">
        <v>68.119</v>
      </c>
      <c r="CE59" s="35"/>
      <c r="CF59" s="80">
        <f t="shared" si="167"/>
        <v>611435938.88886273</v>
      </c>
      <c r="CG59" s="77">
        <f t="shared" si="168"/>
        <v>611435938.88886273</v>
      </c>
      <c r="CH59" s="62"/>
      <c r="CI59" s="93">
        <f t="shared" si="223"/>
        <v>34328125.000037789</v>
      </c>
      <c r="CJ59" s="58"/>
      <c r="CK59" s="320">
        <v>0.12621837254134202</v>
      </c>
      <c r="CL59" s="320"/>
      <c r="CM59" s="320"/>
      <c r="CN59" s="320"/>
      <c r="CO59" s="38">
        <f t="shared" si="169"/>
        <v>-39.675258720399768</v>
      </c>
      <c r="CP59" s="321"/>
      <c r="CQ59" s="321"/>
      <c r="CR59" s="322"/>
      <c r="CS59" s="58">
        <f t="shared" si="170"/>
        <v>-39.675258720399761</v>
      </c>
      <c r="CT59" s="58"/>
      <c r="CU59" s="58"/>
      <c r="CV59" s="58"/>
      <c r="CW59" s="320">
        <v>27.022098397395002</v>
      </c>
      <c r="CX59" s="320"/>
      <c r="CY59" s="320"/>
      <c r="CZ59" s="320"/>
      <c r="DA59" s="38">
        <f t="shared" si="171"/>
        <v>42.817933990869541</v>
      </c>
      <c r="DB59" s="320"/>
      <c r="DC59" s="320"/>
      <c r="DD59" s="320"/>
      <c r="DE59" s="38">
        <f t="shared" si="172"/>
        <v>42.817933990869541</v>
      </c>
      <c r="DF59" s="320"/>
      <c r="DG59" s="320"/>
      <c r="DH59" s="320"/>
      <c r="DI59" s="320">
        <f t="shared" si="173"/>
        <v>-1.1318734006645716</v>
      </c>
      <c r="DJ59" s="320"/>
      <c r="DK59" s="320"/>
      <c r="DL59" s="320"/>
      <c r="DM59" s="352">
        <f t="shared" si="226"/>
        <v>0.45154136735511058</v>
      </c>
      <c r="DN59" s="320"/>
      <c r="DO59" s="320"/>
      <c r="DP59" s="320"/>
      <c r="DQ59" s="352">
        <f t="shared" si="227"/>
        <v>2.3175606510058078</v>
      </c>
      <c r="DR59" s="320"/>
      <c r="DS59" s="320"/>
      <c r="DT59" s="320"/>
      <c r="DV59" s="38">
        <f t="shared" si="224"/>
        <v>0</v>
      </c>
      <c r="DW59" s="56"/>
      <c r="DX59" s="38">
        <v>0.89855754678025679</v>
      </c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K59"/>
      <c r="FL59"/>
      <c r="FM59"/>
      <c r="FN59"/>
    </row>
    <row r="60" spans="1:170" ht="15.75" thickBot="1" x14ac:dyDescent="0.25">
      <c r="A60" s="202">
        <v>53</v>
      </c>
      <c r="B60" s="203">
        <v>43690</v>
      </c>
      <c r="C60" s="60">
        <v>0.4861111111111111</v>
      </c>
      <c r="D60" s="87">
        <f t="shared" si="179"/>
        <v>1657.1666666666279</v>
      </c>
      <c r="E60" s="87">
        <f t="shared" si="180"/>
        <v>69.048611111109494</v>
      </c>
      <c r="F60" s="116">
        <v>1</v>
      </c>
      <c r="G60" s="258">
        <v>9920000</v>
      </c>
      <c r="H60" s="258">
        <v>11000000</v>
      </c>
      <c r="I60" s="258">
        <v>10560000</v>
      </c>
      <c r="J60" s="300">
        <f t="shared" si="181"/>
        <v>10493333.333333334</v>
      </c>
      <c r="K60" s="258">
        <f t="shared" si="182"/>
        <v>543077.64945110132</v>
      </c>
      <c r="L60" s="257">
        <f t="shared" si="183"/>
        <v>5.17545409260897E-2</v>
      </c>
      <c r="M60" s="118">
        <f t="shared" si="184"/>
        <v>10493333.333333334</v>
      </c>
      <c r="N60" s="204">
        <v>280000</v>
      </c>
      <c r="O60" s="88">
        <f t="shared" si="185"/>
        <v>280000</v>
      </c>
      <c r="P60" s="38">
        <v>7.12</v>
      </c>
      <c r="Q60" s="38">
        <v>40</v>
      </c>
      <c r="R60" s="84">
        <f t="shared" si="186"/>
        <v>1.5211382945357031E-2</v>
      </c>
      <c r="S60" s="109">
        <f t="shared" si="225"/>
        <v>0.36507319068856875</v>
      </c>
      <c r="T60" s="311">
        <f t="shared" si="15"/>
        <v>26661982.57076636</v>
      </c>
      <c r="U60" s="84" t="e">
        <f>#REF!</f>
        <v>#REF!</v>
      </c>
      <c r="V60" s="63">
        <f t="shared" si="187"/>
        <v>10773333.333333334</v>
      </c>
      <c r="W60" s="89">
        <f t="shared" si="188"/>
        <v>10773333.333333334</v>
      </c>
      <c r="X60" s="90">
        <f t="shared" si="189"/>
        <v>0.97400990099009899</v>
      </c>
      <c r="Y60" s="61">
        <f t="shared" si="190"/>
        <v>10087951097.222229</v>
      </c>
      <c r="Z60" s="148">
        <f t="shared" si="191"/>
        <v>619779188.88885105</v>
      </c>
      <c r="AA60" s="27">
        <v>52.8</v>
      </c>
      <c r="AB60" s="27">
        <v>0</v>
      </c>
      <c r="AC60" s="27">
        <v>0</v>
      </c>
      <c r="AD60" s="27">
        <v>0</v>
      </c>
      <c r="AE60" s="27">
        <f t="shared" si="192"/>
        <v>1.0798611111094942</v>
      </c>
      <c r="AF60" s="27">
        <f t="shared" si="193"/>
        <v>0.84999999999999432</v>
      </c>
      <c r="AG60" s="27">
        <f t="shared" si="194"/>
        <v>52.8</v>
      </c>
      <c r="AH60" s="27">
        <f t="shared" si="195"/>
        <v>0.7871382636667682</v>
      </c>
      <c r="AI60" s="27">
        <f t="shared" si="196"/>
        <v>0.3935691318333841</v>
      </c>
      <c r="AJ60" s="109">
        <f t="shared" si="197"/>
        <v>1.6398713826391003E-2</v>
      </c>
      <c r="AK60" s="109">
        <f t="shared" si="198"/>
        <v>3.7506588167095053E-2</v>
      </c>
      <c r="AL60" s="27">
        <f t="shared" si="199"/>
        <v>0.84999999999999432</v>
      </c>
      <c r="AM60" s="27">
        <f t="shared" si="200"/>
        <v>52.8</v>
      </c>
      <c r="AN60" s="27">
        <f t="shared" si="201"/>
        <v>0.7871382636667682</v>
      </c>
      <c r="AO60" s="27">
        <f t="shared" si="202"/>
        <v>0.3935691318333841</v>
      </c>
      <c r="AP60" s="27">
        <f t="shared" si="203"/>
        <v>1.6398713826391003E-2</v>
      </c>
      <c r="AQ60" s="27">
        <f t="shared" si="204"/>
        <v>0</v>
      </c>
      <c r="AR60" s="27">
        <f t="shared" si="205"/>
        <v>0</v>
      </c>
      <c r="AS60" s="27">
        <f t="shared" si="206"/>
        <v>0</v>
      </c>
      <c r="AT60" s="27">
        <f t="shared" si="207"/>
        <v>0</v>
      </c>
      <c r="AU60" s="145">
        <f t="shared" si="208"/>
        <v>10493333.333333334</v>
      </c>
      <c r="AV60" s="27">
        <v>1</v>
      </c>
      <c r="AW60" s="27">
        <f t="shared" si="209"/>
        <v>1.6398713826391003E-2</v>
      </c>
      <c r="AX60" s="145">
        <f t="shared" si="210"/>
        <v>172077.17041826295</v>
      </c>
      <c r="AY60" s="145">
        <f t="shared" si="211"/>
        <v>161042683.16527638</v>
      </c>
      <c r="AZ60" s="27">
        <f t="shared" si="212"/>
        <v>0</v>
      </c>
      <c r="BA60" s="145">
        <f t="shared" si="213"/>
        <v>0</v>
      </c>
      <c r="BB60" s="145">
        <f t="shared" si="214"/>
        <v>0</v>
      </c>
      <c r="BC60" s="145">
        <f t="shared" si="215"/>
        <v>171536016.49860972</v>
      </c>
      <c r="BD60" s="145">
        <f t="shared" si="216"/>
        <v>10087951097.222229</v>
      </c>
      <c r="BE60" s="84">
        <f t="shared" si="217"/>
        <v>1.5504588241790261E-2</v>
      </c>
      <c r="BF60" s="84">
        <f t="shared" si="218"/>
        <v>1.5211476626290292E-2</v>
      </c>
      <c r="BG60" s="84">
        <f t="shared" si="219"/>
        <v>1.5211382945357031E-2</v>
      </c>
      <c r="BH60" s="38">
        <f t="shared" si="220"/>
        <v>20.081594000000003</v>
      </c>
      <c r="BI60" s="38" t="s">
        <v>219</v>
      </c>
      <c r="BJ60" s="358">
        <f t="shared" si="61"/>
        <v>9.0367173000000012</v>
      </c>
      <c r="BK60" s="38" t="s">
        <v>219</v>
      </c>
      <c r="BL60" s="38">
        <f>'Analisis economico'!$C$5/BJ60</f>
        <v>0.39394836441325876</v>
      </c>
      <c r="BM60" s="38" t="s">
        <v>219</v>
      </c>
      <c r="BN60" s="38">
        <f t="shared" si="160"/>
        <v>20.081594000000003</v>
      </c>
      <c r="BO60" s="38">
        <f t="shared" si="161"/>
        <v>0.32931231318377063</v>
      </c>
      <c r="BP60" s="38">
        <f t="shared" si="164"/>
        <v>310.25075887061388</v>
      </c>
      <c r="BQ60" s="27">
        <f t="shared" si="221"/>
        <v>330.33235287061387</v>
      </c>
      <c r="BR60" s="211">
        <v>20.081594000000003</v>
      </c>
      <c r="BS60" s="61">
        <f t="shared" si="178"/>
        <v>4.7878620005996536E-8</v>
      </c>
      <c r="BT60" s="230"/>
      <c r="BU60" s="342">
        <f t="shared" si="62"/>
        <v>1.1490868801439169</v>
      </c>
      <c r="BV60" s="230"/>
      <c r="BW60" s="342"/>
      <c r="BX60" s="27">
        <f t="shared" si="165"/>
        <v>0.6211352777310416</v>
      </c>
      <c r="BY60" s="56"/>
      <c r="BZ60" s="38">
        <f t="shared" si="162"/>
        <v>20.081594000000003</v>
      </c>
      <c r="CA60" s="38">
        <f t="shared" si="163"/>
        <v>0.32931231318377063</v>
      </c>
      <c r="CB60" s="245">
        <f t="shared" si="166"/>
        <v>308.74654348599404</v>
      </c>
      <c r="CC60" s="58">
        <f t="shared" si="222"/>
        <v>328.82813748599403</v>
      </c>
      <c r="CD60" s="38">
        <v>69.119</v>
      </c>
      <c r="CE60" s="35"/>
      <c r="CF60" s="80">
        <f t="shared" si="167"/>
        <v>619340522.22218418</v>
      </c>
      <c r="CG60" s="77">
        <f t="shared" si="168"/>
        <v>619340522.22218418</v>
      </c>
      <c r="CH60" s="62"/>
      <c r="CI60" s="93">
        <f t="shared" si="223"/>
        <v>7904583.3333214521</v>
      </c>
      <c r="CJ60" s="58"/>
      <c r="CK60" s="320">
        <v>0.14587495438222522</v>
      </c>
      <c r="CL60" s="320"/>
      <c r="CM60" s="320"/>
      <c r="CN60" s="320"/>
      <c r="CO60" s="38">
        <f t="shared" si="169"/>
        <v>-36.720121110650439</v>
      </c>
      <c r="CP60" s="321"/>
      <c r="CQ60" s="321"/>
      <c r="CR60" s="322"/>
      <c r="CS60" s="58">
        <f t="shared" si="170"/>
        <v>-36.720121110650439</v>
      </c>
      <c r="CT60" s="58"/>
      <c r="CU60" s="58"/>
      <c r="CV60" s="58"/>
      <c r="CW60" s="320">
        <v>25.820645712527732</v>
      </c>
      <c r="CX60" s="320"/>
      <c r="CY60" s="320"/>
      <c r="CZ60" s="320"/>
      <c r="DA60" s="38">
        <f t="shared" si="171"/>
        <v>36.375889966477757</v>
      </c>
      <c r="DB60" s="320"/>
      <c r="DC60" s="320"/>
      <c r="DD60" s="320"/>
      <c r="DE60" s="38">
        <f t="shared" si="172"/>
        <v>36.375889966477757</v>
      </c>
      <c r="DF60" s="320"/>
      <c r="DG60" s="320"/>
      <c r="DH60" s="320"/>
      <c r="DI60" s="320">
        <f t="shared" si="173"/>
        <v>-1.0824394381747078</v>
      </c>
      <c r="DJ60" s="320"/>
      <c r="DK60" s="320"/>
      <c r="DL60" s="320"/>
      <c r="DM60" s="352">
        <f t="shared" si="226"/>
        <v>0.43989596404254017</v>
      </c>
      <c r="DN60" s="320"/>
      <c r="DO60" s="320"/>
      <c r="DP60" s="320"/>
      <c r="DQ60" s="352">
        <f t="shared" si="227"/>
        <v>2.2219217812379615</v>
      </c>
      <c r="DR60" s="320"/>
      <c r="DS60" s="320"/>
      <c r="DT60" s="320"/>
      <c r="DV60" s="38">
        <f t="shared" si="224"/>
        <v>0</v>
      </c>
      <c r="DW60" s="56"/>
      <c r="DX60" s="38">
        <v>0.82736150662923424</v>
      </c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K60"/>
      <c r="FL60"/>
      <c r="FM60"/>
      <c r="FN60"/>
    </row>
    <row r="61" spans="1:170" ht="15.75" thickBot="1" x14ac:dyDescent="0.25">
      <c r="A61" s="202">
        <v>54</v>
      </c>
      <c r="B61" s="203">
        <v>43691</v>
      </c>
      <c r="C61" s="60">
        <v>0.625</v>
      </c>
      <c r="D61" s="87">
        <f t="shared" ref="D61:D79" si="228">(B61+C61-(Inoculo_Fecha+Inoculo_Hora))*24</f>
        <v>1684.5</v>
      </c>
      <c r="E61" s="87">
        <f t="shared" ref="E61:E79" si="229">D61/24</f>
        <v>70.1875</v>
      </c>
      <c r="F61" s="116">
        <v>1</v>
      </c>
      <c r="G61" s="258">
        <v>9000000</v>
      </c>
      <c r="H61" s="258">
        <v>8560000</v>
      </c>
      <c r="I61" s="258">
        <v>8320000</v>
      </c>
      <c r="J61" s="300">
        <f t="shared" ref="J61:J79" si="230">AVERAGE(G61:I61)</f>
        <v>8626666.666666666</v>
      </c>
      <c r="K61" s="258">
        <f t="shared" ref="K61:K79" si="231">STDEV(G61:I61)</f>
        <v>344867.1241700683</v>
      </c>
      <c r="L61" s="257">
        <f t="shared" ref="L61:L79" si="232">K61/J61</f>
        <v>3.9976869107813173E-2</v>
      </c>
      <c r="M61" s="118">
        <f t="shared" ref="M61:M79" si="233">F61*J61</f>
        <v>8626666.666666666</v>
      </c>
      <c r="N61" s="204">
        <v>253000</v>
      </c>
      <c r="O61" s="88">
        <f t="shared" ref="O61:O79" si="234">N61*F61</f>
        <v>253000</v>
      </c>
      <c r="P61" s="38">
        <v>7.29</v>
      </c>
      <c r="Q61" s="38">
        <v>79</v>
      </c>
      <c r="R61" s="84">
        <f t="shared" ref="R61:R79" si="235">BG61</f>
        <v>9.3911002601283992E-3</v>
      </c>
      <c r="S61" s="109">
        <f t="shared" si="225"/>
        <v>0.22538640624308159</v>
      </c>
      <c r="T61" s="311">
        <f t="shared" si="15"/>
        <v>21832921.810730446</v>
      </c>
      <c r="U61" s="84" t="e">
        <f>#REF!</f>
        <v>#REF!</v>
      </c>
      <c r="V61" s="63">
        <f t="shared" ref="V61:V79" si="236">J61+N61</f>
        <v>8879666.666666666</v>
      </c>
      <c r="W61" s="89">
        <f t="shared" ref="W61:W79" si="237">V61*F61</f>
        <v>8879666.666666666</v>
      </c>
      <c r="X61" s="90">
        <f t="shared" ref="X61:X79" si="238">J61/V61</f>
        <v>0.97150793948721803</v>
      </c>
      <c r="Y61" s="61">
        <f t="shared" ref="Y61:Y79" si="239">AVERAGE(M61,M60)*(D61-D60)+Y60</f>
        <v>10349257763.889267</v>
      </c>
      <c r="Z61" s="148">
        <f t="shared" ref="Z61:Z79" si="240">AVERAGE(O61,O60)*(D61-D60)+Z60</f>
        <v>627063522.22219467</v>
      </c>
      <c r="AA61" s="27">
        <v>53.7</v>
      </c>
      <c r="AB61" s="27">
        <v>0</v>
      </c>
      <c r="AC61" s="27">
        <v>0</v>
      </c>
      <c r="AD61" s="27">
        <v>0</v>
      </c>
      <c r="AE61" s="27">
        <f t="shared" ref="AE61:AE79" si="241">E61-E60</f>
        <v>1.1388888888905058</v>
      </c>
      <c r="AF61" s="27">
        <f t="shared" ref="AF61:AF79" si="242">(AD60+AC60+AA61+AB61)-AA60-AB60</f>
        <v>0.90000000000000568</v>
      </c>
      <c r="AG61" s="27">
        <f t="shared" ref="AG61:AG79" si="243">AF61+AG60</f>
        <v>53.7</v>
      </c>
      <c r="AH61" s="27">
        <f t="shared" ref="AH61:AH79" si="244">AF61/AE61</f>
        <v>0.79024390243790743</v>
      </c>
      <c r="AI61" s="27">
        <f t="shared" ref="AI61:AI79" si="245">AH61/2</f>
        <v>0.39512195121895372</v>
      </c>
      <c r="AJ61" s="109">
        <f t="shared" ref="AJ61:AJ79" si="246">AI61/24</f>
        <v>1.6463414634123073E-2</v>
      </c>
      <c r="AK61" s="109">
        <f t="shared" ref="AK61:AK79" si="247">AI61*1000000/M61</f>
        <v>4.5802390017653058E-2</v>
      </c>
      <c r="AL61" s="27">
        <f t="shared" ref="AL61:AL79" si="248">(AA61+AC60)-AA60</f>
        <v>0.90000000000000568</v>
      </c>
      <c r="AM61" s="27">
        <f t="shared" ref="AM61:AM79" si="249">AL61+AM60</f>
        <v>53.7</v>
      </c>
      <c r="AN61" s="27">
        <f t="shared" ref="AN61:AN79" si="250">AL61/AE61</f>
        <v>0.79024390243790743</v>
      </c>
      <c r="AO61" s="27">
        <f t="shared" ref="AO61:AO79" si="251">AN61/2</f>
        <v>0.39512195121895372</v>
      </c>
      <c r="AP61" s="27">
        <f t="shared" ref="AP61:AP79" si="252">AO61/24</f>
        <v>1.6463414634123073E-2</v>
      </c>
      <c r="AQ61" s="27">
        <f t="shared" ref="AQ61:AQ79" si="253">(AB61+AD60)-AB60</f>
        <v>0</v>
      </c>
      <c r="AR61" s="27">
        <f t="shared" ref="AR61:AR79" si="254">AQ61+AR60</f>
        <v>0</v>
      </c>
      <c r="AS61" s="27">
        <f t="shared" ref="AS61:AS79" si="255">AQ61/AE61</f>
        <v>0</v>
      </c>
      <c r="AT61" s="27">
        <f t="shared" ref="AT61:AT79" si="256">AS61/2</f>
        <v>0</v>
      </c>
      <c r="AU61" s="145">
        <f t="shared" ref="AU61:AU79" si="257">M61</f>
        <v>8626666.666666666</v>
      </c>
      <c r="AV61" s="27">
        <v>1</v>
      </c>
      <c r="AW61" s="27">
        <f t="shared" ref="AW61:AW79" si="258">AO61/24</f>
        <v>1.6463414634123073E-2</v>
      </c>
      <c r="AX61" s="145">
        <f t="shared" ref="AX61:AX79" si="259">AV61*AW61*AU61</f>
        <v>142024.39024370169</v>
      </c>
      <c r="AY61" s="145">
        <f t="shared" ref="AY61:AY79" si="260">AVERAGE(AX61,AX60)*(D61-D60)+AY60</f>
        <v>165335404.49432933</v>
      </c>
      <c r="AZ61" s="27">
        <f t="shared" ref="AZ61:AZ79" si="261">AT61/24</f>
        <v>0</v>
      </c>
      <c r="BA61" s="145">
        <f t="shared" ref="BA61:BA79" si="262">AZ61*AU61</f>
        <v>0</v>
      </c>
      <c r="BB61" s="145">
        <f t="shared" ref="BB61:BB79" si="263">AVERAGE(BA61,BA60)*(D61-D60)+BB60</f>
        <v>0</v>
      </c>
      <c r="BC61" s="145">
        <f t="shared" ref="BC61:BC79" si="264">AU61+AY61+BB61</f>
        <v>173962071.16099599</v>
      </c>
      <c r="BD61" s="145">
        <f t="shared" ref="BD61:BD79" si="265">Y61</f>
        <v>10349257763.889267</v>
      </c>
      <c r="BE61" s="84">
        <f t="shared" ref="BE61:BE79" si="266">(BC61-BC60)/(BD61-BD60)</f>
        <v>9.2843198121599947E-3</v>
      </c>
      <c r="BF61" s="84">
        <f t="shared" ref="BF61:BF79" si="267">(W61-W60)/(((W61+W60)/2)*(D61-D60))+AZ61+(AW61*AV61)</f>
        <v>9.4130418864733761E-3</v>
      </c>
      <c r="BG61" s="84">
        <f t="shared" ref="BG61:BG79" si="268">((LN(W61)-LN(W60))/(D61-D60))+AZ61+(AW61*AV61)</f>
        <v>9.3911002601283992E-3</v>
      </c>
      <c r="BH61" s="38">
        <f t="shared" ref="BH61:BH79" si="269">BR61</f>
        <v>13.036695666666667</v>
      </c>
      <c r="BI61" s="38">
        <f>STDEV(BH58:BH67)</f>
        <v>4.1231895853354548</v>
      </c>
      <c r="BJ61" s="358">
        <f t="shared" si="61"/>
        <v>5.86651305</v>
      </c>
      <c r="BK61" s="38">
        <f>STDEV(BJ58:BJ67)</f>
        <v>1.8554353134009494</v>
      </c>
      <c r="BL61" s="38">
        <f>'Analisis economico'!$C$5/BJ61</f>
        <v>0.6068340715614704</v>
      </c>
      <c r="BM61" s="38">
        <f>STDEV(BL58:BL67)</f>
        <v>0.10280231022322976</v>
      </c>
      <c r="BN61" s="38">
        <f t="shared" si="160"/>
        <v>13.036695666666667</v>
      </c>
      <c r="BO61" s="38">
        <f t="shared" si="161"/>
        <v>0.21462852621920886</v>
      </c>
      <c r="BP61" s="38">
        <f t="shared" si="164"/>
        <v>317.68461700913184</v>
      </c>
      <c r="BQ61" s="27">
        <f t="shared" ref="BQ61:BQ79" si="270">BP61+BN61</f>
        <v>330.72131267579852</v>
      </c>
      <c r="BR61" s="211">
        <v>13.036695666666667</v>
      </c>
      <c r="BS61" s="230"/>
      <c r="BT61" s="61" t="s">
        <v>220</v>
      </c>
      <c r="BU61" s="342"/>
      <c r="BV61" s="61" t="s">
        <v>220</v>
      </c>
      <c r="BW61" s="342"/>
      <c r="BX61" s="27">
        <f t="shared" si="165"/>
        <v>0.63603850808104168</v>
      </c>
      <c r="BY61" s="56"/>
      <c r="BZ61" s="57">
        <v>59.43</v>
      </c>
      <c r="CA61" s="38">
        <f t="shared" si="163"/>
        <v>0.97842073170593424</v>
      </c>
      <c r="CB61" s="245">
        <f t="shared" si="166"/>
        <v>326.61889509951203</v>
      </c>
      <c r="CC61" s="58">
        <f t="shared" ref="CC61:CC79" si="271">CB61+BZ61</f>
        <v>386.04889509951204</v>
      </c>
      <c r="CD61" s="38">
        <v>70.119</v>
      </c>
      <c r="CE61" s="35"/>
      <c r="CF61" s="80">
        <f t="shared" si="167"/>
        <v>626624855.55552781</v>
      </c>
      <c r="CG61" s="77">
        <f t="shared" si="168"/>
        <v>626624855.55552781</v>
      </c>
      <c r="CH61" s="62"/>
      <c r="CI61" s="93">
        <f t="shared" ref="CI61:CI79" si="272">CF61-CF60</f>
        <v>7284333.3333436251</v>
      </c>
      <c r="CJ61" s="58"/>
      <c r="CK61" s="320">
        <v>3.3292495558145077E-2</v>
      </c>
      <c r="CL61" s="320"/>
      <c r="CM61" s="320"/>
      <c r="CN61" s="320"/>
      <c r="CO61" s="38">
        <f t="shared" si="169"/>
        <v>-41.607318792372169</v>
      </c>
      <c r="CP61" s="321"/>
      <c r="CQ61" s="321"/>
      <c r="CR61" s="322"/>
      <c r="CS61" s="58">
        <f t="shared" si="170"/>
        <v>-41.607318792372169</v>
      </c>
      <c r="CT61" s="58"/>
      <c r="CU61" s="58"/>
      <c r="CV61" s="58"/>
      <c r="CW61" s="320">
        <v>28.500880547476836</v>
      </c>
      <c r="CX61" s="320"/>
      <c r="CY61" s="320"/>
      <c r="CZ61" s="320"/>
      <c r="DA61" s="38">
        <f t="shared" si="171"/>
        <v>57.030991338768189</v>
      </c>
      <c r="DB61" s="320"/>
      <c r="DC61" s="320"/>
      <c r="DD61" s="320"/>
      <c r="DE61" s="38">
        <f t="shared" si="172"/>
        <v>57.030991338768182</v>
      </c>
      <c r="DF61" s="320"/>
      <c r="DG61" s="320"/>
      <c r="DH61" s="320"/>
      <c r="DI61" s="320">
        <f t="shared" si="173"/>
        <v>-1.1891863136475731</v>
      </c>
      <c r="DJ61" s="320"/>
      <c r="DK61" s="320"/>
      <c r="DL61" s="320"/>
      <c r="DM61" s="352">
        <f t="shared" si="226"/>
        <v>0.35994375385387622</v>
      </c>
      <c r="DN61" s="320"/>
      <c r="DO61" s="320"/>
      <c r="DP61" s="320"/>
      <c r="DQ61" s="352">
        <f t="shared" si="227"/>
        <v>1.9876195729450354</v>
      </c>
      <c r="DR61" s="320"/>
      <c r="DS61" s="320"/>
      <c r="DT61" s="320"/>
      <c r="DV61" s="38">
        <f t="shared" si="224"/>
        <v>0</v>
      </c>
      <c r="DW61" s="56"/>
      <c r="DX61" s="38">
        <v>1.2097999013037375</v>
      </c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K61"/>
      <c r="FL61"/>
      <c r="FM61"/>
      <c r="FN61"/>
    </row>
    <row r="62" spans="1:170" ht="15.75" thickBot="1" x14ac:dyDescent="0.25">
      <c r="A62" s="202">
        <v>55</v>
      </c>
      <c r="B62" s="203">
        <v>43692</v>
      </c>
      <c r="C62" s="60">
        <v>0.65625</v>
      </c>
      <c r="D62" s="87">
        <f t="shared" si="228"/>
        <v>1709.25</v>
      </c>
      <c r="E62" s="87">
        <f t="shared" si="229"/>
        <v>71.21875</v>
      </c>
      <c r="F62" s="116">
        <v>1</v>
      </c>
      <c r="G62" s="258">
        <v>9720000</v>
      </c>
      <c r="H62" s="258">
        <v>9480000</v>
      </c>
      <c r="I62" s="258"/>
      <c r="J62" s="300">
        <f t="shared" si="230"/>
        <v>9600000</v>
      </c>
      <c r="K62" s="258">
        <f t="shared" si="231"/>
        <v>169705.62748477139</v>
      </c>
      <c r="L62" s="257">
        <f t="shared" si="232"/>
        <v>1.7677669529663688E-2</v>
      </c>
      <c r="M62" s="118">
        <f t="shared" si="233"/>
        <v>9600000</v>
      </c>
      <c r="N62" s="204">
        <v>280002</v>
      </c>
      <c r="O62" s="88">
        <f t="shared" si="234"/>
        <v>280002</v>
      </c>
      <c r="P62" s="38">
        <v>7.11</v>
      </c>
      <c r="Q62" s="38">
        <v>34.799999999999997</v>
      </c>
      <c r="R62" s="84">
        <f t="shared" si="235"/>
        <v>2.0474694764723807E-2</v>
      </c>
      <c r="S62" s="109">
        <f t="shared" si="225"/>
        <v>0.49139267435337136</v>
      </c>
      <c r="T62" s="311">
        <f t="shared" si="15"/>
        <v>24750000.000000089</v>
      </c>
      <c r="U62" s="84" t="e">
        <f>#REF!</f>
        <v>#REF!</v>
      </c>
      <c r="V62" s="63">
        <f t="shared" si="236"/>
        <v>9880002</v>
      </c>
      <c r="W62" s="89">
        <f t="shared" si="237"/>
        <v>9880002</v>
      </c>
      <c r="X62" s="90">
        <f t="shared" si="238"/>
        <v>0.97165972233608855</v>
      </c>
      <c r="Y62" s="61">
        <f t="shared" si="239"/>
        <v>10574812763.889267</v>
      </c>
      <c r="Z62" s="148">
        <f t="shared" si="240"/>
        <v>633659421.97219467</v>
      </c>
      <c r="AA62" s="27">
        <v>54.5</v>
      </c>
      <c r="AB62" s="27">
        <v>0</v>
      </c>
      <c r="AC62" s="27">
        <v>0</v>
      </c>
      <c r="AD62" s="27">
        <v>0</v>
      </c>
      <c r="AE62" s="27">
        <f t="shared" si="241"/>
        <v>1.03125</v>
      </c>
      <c r="AF62" s="27">
        <f t="shared" si="242"/>
        <v>0.79999999999999716</v>
      </c>
      <c r="AG62" s="27">
        <f t="shared" si="243"/>
        <v>54.5</v>
      </c>
      <c r="AH62" s="27">
        <f t="shared" si="244"/>
        <v>0.77575757575757298</v>
      </c>
      <c r="AI62" s="27">
        <f t="shared" si="245"/>
        <v>0.38787878787878649</v>
      </c>
      <c r="AJ62" s="109">
        <f t="shared" si="246"/>
        <v>1.6161616161616103E-2</v>
      </c>
      <c r="AK62" s="109">
        <f t="shared" si="247"/>
        <v>4.0404040404040262E-2</v>
      </c>
      <c r="AL62" s="27">
        <f t="shared" si="248"/>
        <v>0.79999999999999716</v>
      </c>
      <c r="AM62" s="27">
        <f t="shared" si="249"/>
        <v>54.5</v>
      </c>
      <c r="AN62" s="27">
        <f t="shared" si="250"/>
        <v>0.77575757575757298</v>
      </c>
      <c r="AO62" s="27">
        <f t="shared" si="251"/>
        <v>0.38787878787878649</v>
      </c>
      <c r="AP62" s="27">
        <f t="shared" si="252"/>
        <v>1.6161616161616103E-2</v>
      </c>
      <c r="AQ62" s="27">
        <f t="shared" si="253"/>
        <v>0</v>
      </c>
      <c r="AR62" s="27">
        <f t="shared" si="254"/>
        <v>0</v>
      </c>
      <c r="AS62" s="27">
        <f t="shared" si="255"/>
        <v>0</v>
      </c>
      <c r="AT62" s="27">
        <f t="shared" si="256"/>
        <v>0</v>
      </c>
      <c r="AU62" s="145">
        <f t="shared" si="257"/>
        <v>9600000</v>
      </c>
      <c r="AV62" s="27">
        <v>1</v>
      </c>
      <c r="AW62" s="27">
        <f t="shared" si="258"/>
        <v>1.6161616161616103E-2</v>
      </c>
      <c r="AX62" s="145">
        <f t="shared" si="259"/>
        <v>155151.51515151458</v>
      </c>
      <c r="AY62" s="145">
        <f t="shared" si="260"/>
        <v>169012956.32359514</v>
      </c>
      <c r="AZ62" s="27">
        <f t="shared" si="261"/>
        <v>0</v>
      </c>
      <c r="BA62" s="145">
        <f t="shared" si="262"/>
        <v>0</v>
      </c>
      <c r="BB62" s="145">
        <f t="shared" si="263"/>
        <v>0</v>
      </c>
      <c r="BC62" s="145">
        <f t="shared" si="264"/>
        <v>178612956.32359514</v>
      </c>
      <c r="BD62" s="145">
        <f t="shared" si="265"/>
        <v>10574812763.889267</v>
      </c>
      <c r="BE62" s="84">
        <f t="shared" si="266"/>
        <v>2.0619738700534886E-2</v>
      </c>
      <c r="BF62" s="84">
        <f t="shared" si="267"/>
        <v>2.0470603696924307E-2</v>
      </c>
      <c r="BG62" s="84">
        <f t="shared" si="268"/>
        <v>2.0474694764723807E-2</v>
      </c>
      <c r="BH62" s="38">
        <f t="shared" si="269"/>
        <v>15.158479</v>
      </c>
      <c r="BI62" s="56" t="s">
        <v>220</v>
      </c>
      <c r="BJ62" s="358">
        <f t="shared" si="61"/>
        <v>6.8213155500000004</v>
      </c>
      <c r="BK62" s="56" t="s">
        <v>220</v>
      </c>
      <c r="BL62" s="38">
        <f>'Analisis economico'!$C$5/BJ62</f>
        <v>0.52189346379086654</v>
      </c>
      <c r="BM62" s="56" t="s">
        <v>220</v>
      </c>
      <c r="BN62" s="38">
        <f t="shared" si="160"/>
        <v>15.158479</v>
      </c>
      <c r="BO62" s="38">
        <f t="shared" si="161"/>
        <v>0.2449855191919183</v>
      </c>
      <c r="BP62" s="38">
        <f t="shared" si="164"/>
        <v>323.37234082109455</v>
      </c>
      <c r="BQ62" s="27">
        <f t="shared" si="270"/>
        <v>338.53081982109455</v>
      </c>
      <c r="BR62" s="211">
        <v>15.158479</v>
      </c>
      <c r="BS62" s="61">
        <f t="shared" si="178"/>
        <v>3.4407653417865472E-8</v>
      </c>
      <c r="BT62" s="257">
        <f>BT59/AVERAGE(BS58:BS66)</f>
        <v>0.25903100022246367</v>
      </c>
      <c r="BU62" s="342">
        <f t="shared" si="62"/>
        <v>0.82578368202877128</v>
      </c>
      <c r="BV62" s="257">
        <f>BV59/AVERAGE(BU58:BU66)</f>
        <v>0.25903100022246411</v>
      </c>
      <c r="BW62" s="342"/>
      <c r="BX62" s="27">
        <f t="shared" si="165"/>
        <v>0.64731657794770825</v>
      </c>
      <c r="BY62" s="56"/>
      <c r="BZ62" s="57">
        <v>60.43</v>
      </c>
      <c r="CA62" s="38">
        <f t="shared" si="163"/>
        <v>0.9766464646464611</v>
      </c>
      <c r="CB62" s="245">
        <f t="shared" si="166"/>
        <v>350.81285165437293</v>
      </c>
      <c r="CC62" s="58">
        <f t="shared" si="271"/>
        <v>411.24285165437294</v>
      </c>
      <c r="CD62" s="38">
        <v>71.119</v>
      </c>
      <c r="CE62" s="35"/>
      <c r="CF62" s="80">
        <f t="shared" si="167"/>
        <v>633220755.30552781</v>
      </c>
      <c r="CG62" s="77">
        <f t="shared" si="168"/>
        <v>633220755.30552781</v>
      </c>
      <c r="CH62" s="62"/>
      <c r="CI62" s="93">
        <f t="shared" si="272"/>
        <v>6595899.75</v>
      </c>
      <c r="CJ62" s="58"/>
      <c r="CK62" s="320">
        <v>0.17523660206551506</v>
      </c>
      <c r="CL62" s="320"/>
      <c r="CM62" s="320"/>
      <c r="CN62" s="320"/>
      <c r="CO62" s="38">
        <f t="shared" si="169"/>
        <v>-41.74746768623114</v>
      </c>
      <c r="CP62" s="321"/>
      <c r="CQ62" s="321"/>
      <c r="CR62" s="322"/>
      <c r="CS62" s="58">
        <f t="shared" si="170"/>
        <v>-41.74746768623114</v>
      </c>
      <c r="CT62" s="58"/>
      <c r="CU62" s="58"/>
      <c r="CV62" s="58"/>
      <c r="CW62" s="320">
        <v>26.618256727721121</v>
      </c>
      <c r="CX62" s="320"/>
      <c r="CY62" s="320"/>
      <c r="CZ62" s="320"/>
      <c r="DA62" s="38">
        <f t="shared" si="171"/>
        <v>40.527603623434814</v>
      </c>
      <c r="DB62" s="320"/>
      <c r="DC62" s="320"/>
      <c r="DD62" s="320"/>
      <c r="DE62" s="38">
        <f t="shared" si="172"/>
        <v>40.527603623434814</v>
      </c>
      <c r="DF62" s="320"/>
      <c r="DG62" s="320"/>
      <c r="DH62" s="320"/>
      <c r="DI62" s="320">
        <f t="shared" si="173"/>
        <v>-1.1172516714280916</v>
      </c>
      <c r="DJ62" s="320"/>
      <c r="DK62" s="320"/>
      <c r="DL62" s="320"/>
      <c r="DM62" s="352">
        <f t="shared" si="226"/>
        <v>0.40294209179144597</v>
      </c>
      <c r="DN62" s="320"/>
      <c r="DO62" s="320"/>
      <c r="DP62" s="320"/>
      <c r="DQ62" s="352">
        <f t="shared" si="227"/>
        <v>2.233287271749842</v>
      </c>
      <c r="DR62" s="320"/>
      <c r="DS62" s="320"/>
      <c r="DT62" s="320"/>
      <c r="DV62" s="38">
        <f t="shared" ref="DV62:DV70" si="273">DU62/1000</f>
        <v>0</v>
      </c>
      <c r="DW62" s="56"/>
      <c r="DX62" s="38">
        <v>1.2514038805325134</v>
      </c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K62"/>
      <c r="FL62"/>
      <c r="FM62"/>
      <c r="FN62"/>
    </row>
    <row r="63" spans="1:170" ht="15.75" thickBot="1" x14ac:dyDescent="0.25">
      <c r="A63" s="202">
        <v>56</v>
      </c>
      <c r="B63" s="203">
        <v>43693</v>
      </c>
      <c r="C63" s="60">
        <v>0.3888888888888889</v>
      </c>
      <c r="D63" s="87">
        <f t="shared" si="228"/>
        <v>1726.8333333333721</v>
      </c>
      <c r="E63" s="87">
        <f t="shared" si="229"/>
        <v>71.951388888890506</v>
      </c>
      <c r="F63" s="116">
        <v>1</v>
      </c>
      <c r="G63" s="258">
        <v>9900000</v>
      </c>
      <c r="H63" s="258">
        <v>10120000</v>
      </c>
      <c r="I63" s="258">
        <v>9240000</v>
      </c>
      <c r="J63" s="300">
        <f t="shared" si="230"/>
        <v>9753333.333333334</v>
      </c>
      <c r="K63" s="258">
        <f t="shared" si="231"/>
        <v>457966.51988254918</v>
      </c>
      <c r="L63" s="257">
        <f t="shared" si="232"/>
        <v>4.6954872168409004E-2</v>
      </c>
      <c r="M63" s="118">
        <f t="shared" si="233"/>
        <v>9753333.333333334</v>
      </c>
      <c r="N63" s="204">
        <v>320000</v>
      </c>
      <c r="O63" s="88">
        <f t="shared" si="234"/>
        <v>320000</v>
      </c>
      <c r="P63" s="38">
        <v>7.11</v>
      </c>
      <c r="Q63" s="38">
        <v>77.8</v>
      </c>
      <c r="R63" s="84">
        <f t="shared" si="235"/>
        <v>1.8163731980296065E-2</v>
      </c>
      <c r="S63" s="109">
        <f t="shared" si="225"/>
        <v>0.43592956752710554</v>
      </c>
      <c r="T63" s="311">
        <f t="shared" si="15"/>
        <v>23818904.321040165</v>
      </c>
      <c r="U63" s="84" t="e">
        <f>#REF!</f>
        <v>#REF!</v>
      </c>
      <c r="V63" s="63">
        <f t="shared" si="236"/>
        <v>10073333.333333334</v>
      </c>
      <c r="W63" s="89">
        <f t="shared" si="237"/>
        <v>10073333.333333334</v>
      </c>
      <c r="X63" s="90">
        <f t="shared" si="238"/>
        <v>0.96823295830575773</v>
      </c>
      <c r="Y63" s="61">
        <f t="shared" si="239"/>
        <v>10744960819.445198</v>
      </c>
      <c r="Z63" s="148">
        <f t="shared" si="240"/>
        <v>638934439.55553961</v>
      </c>
      <c r="AA63" s="27">
        <v>55.1</v>
      </c>
      <c r="AB63" s="27">
        <v>0</v>
      </c>
      <c r="AC63" s="27">
        <v>0</v>
      </c>
      <c r="AD63" s="27">
        <v>0</v>
      </c>
      <c r="AE63" s="27">
        <f t="shared" si="241"/>
        <v>0.73263888889050577</v>
      </c>
      <c r="AF63" s="27">
        <f t="shared" si="242"/>
        <v>0.60000000000000142</v>
      </c>
      <c r="AG63" s="27">
        <f t="shared" si="243"/>
        <v>55.1</v>
      </c>
      <c r="AH63" s="27">
        <f t="shared" si="244"/>
        <v>0.81895734596975855</v>
      </c>
      <c r="AI63" s="27">
        <f t="shared" si="245"/>
        <v>0.40947867298487928</v>
      </c>
      <c r="AJ63" s="109">
        <f t="shared" si="246"/>
        <v>1.706161137436997E-2</v>
      </c>
      <c r="AK63" s="109">
        <f t="shared" si="247"/>
        <v>4.1983459294416874E-2</v>
      </c>
      <c r="AL63" s="27">
        <f t="shared" si="248"/>
        <v>0.60000000000000142</v>
      </c>
      <c r="AM63" s="27">
        <f t="shared" si="249"/>
        <v>55.1</v>
      </c>
      <c r="AN63" s="27">
        <f t="shared" si="250"/>
        <v>0.81895734596975855</v>
      </c>
      <c r="AO63" s="27">
        <f t="shared" si="251"/>
        <v>0.40947867298487928</v>
      </c>
      <c r="AP63" s="27">
        <f t="shared" si="252"/>
        <v>1.706161137436997E-2</v>
      </c>
      <c r="AQ63" s="27">
        <f t="shared" si="253"/>
        <v>0</v>
      </c>
      <c r="AR63" s="27">
        <f t="shared" si="254"/>
        <v>0</v>
      </c>
      <c r="AS63" s="27">
        <f t="shared" si="255"/>
        <v>0</v>
      </c>
      <c r="AT63" s="27">
        <f t="shared" si="256"/>
        <v>0</v>
      </c>
      <c r="AU63" s="145">
        <f t="shared" si="257"/>
        <v>9753333.333333334</v>
      </c>
      <c r="AV63" s="27">
        <v>1</v>
      </c>
      <c r="AW63" s="27">
        <f t="shared" si="258"/>
        <v>1.706161137436997E-2</v>
      </c>
      <c r="AX63" s="145">
        <f t="shared" si="259"/>
        <v>166407.58293802178</v>
      </c>
      <c r="AY63" s="145">
        <f t="shared" si="260"/>
        <v>171839996.72763854</v>
      </c>
      <c r="AZ63" s="27">
        <f t="shared" si="261"/>
        <v>0</v>
      </c>
      <c r="BA63" s="145">
        <f t="shared" si="262"/>
        <v>0</v>
      </c>
      <c r="BB63" s="145">
        <f t="shared" si="263"/>
        <v>0</v>
      </c>
      <c r="BC63" s="145">
        <f t="shared" si="264"/>
        <v>181593330.06097189</v>
      </c>
      <c r="BD63" s="145">
        <f t="shared" si="265"/>
        <v>10744960819.445198</v>
      </c>
      <c r="BE63" s="84">
        <f t="shared" si="266"/>
        <v>1.7516354962969535E-2</v>
      </c>
      <c r="BF63" s="84">
        <f t="shared" si="267"/>
        <v>1.8163697490372735E-2</v>
      </c>
      <c r="BG63" s="84">
        <f t="shared" si="268"/>
        <v>1.8163731980296065E-2</v>
      </c>
      <c r="BH63" s="38">
        <f t="shared" si="269"/>
        <v>17.259742333333332</v>
      </c>
      <c r="BI63" s="346">
        <f>BI61/BI59</f>
        <v>0.23789561339205281</v>
      </c>
      <c r="BJ63" s="358">
        <f t="shared" si="61"/>
        <v>7.7668840499999998</v>
      </c>
      <c r="BK63" s="346">
        <f>BK61/BK59</f>
        <v>0.23789561339205209</v>
      </c>
      <c r="BL63" s="38">
        <f>'Analisis economico'!$C$5/BJ63</f>
        <v>0.45835626965488174</v>
      </c>
      <c r="BM63" s="346">
        <f>BM61/BM59</f>
        <v>0.2151551149083967</v>
      </c>
      <c r="BN63" s="38">
        <f t="shared" si="160"/>
        <v>17.259742333333332</v>
      </c>
      <c r="BO63" s="38">
        <f t="shared" si="161"/>
        <v>0.29447901611309485</v>
      </c>
      <c r="BP63" s="38">
        <f t="shared" si="164"/>
        <v>328.11513319399495</v>
      </c>
      <c r="BQ63" s="27">
        <f t="shared" si="270"/>
        <v>345.3748755273283</v>
      </c>
      <c r="BR63" s="211">
        <v>17.259742333333332</v>
      </c>
      <c r="BS63" s="61">
        <f t="shared" si="178"/>
        <v>4.0929039774093323E-8</v>
      </c>
      <c r="BT63" s="61"/>
      <c r="BU63" s="342">
        <f t="shared" si="62"/>
        <v>0.98229695457823984</v>
      </c>
      <c r="BV63" s="342"/>
      <c r="BW63" s="342"/>
      <c r="BX63" s="27">
        <f t="shared" si="165"/>
        <v>0.6570420443477083</v>
      </c>
      <c r="BY63" s="56"/>
      <c r="BZ63" s="57">
        <v>61.43</v>
      </c>
      <c r="CA63" s="38">
        <f t="shared" si="163"/>
        <v>1.0480947867275472</v>
      </c>
      <c r="CB63" s="245">
        <f t="shared" si="166"/>
        <v>368.61370182274203</v>
      </c>
      <c r="CC63" s="58">
        <f t="shared" si="271"/>
        <v>430.04370182274204</v>
      </c>
      <c r="CD63" s="38">
        <v>72.119</v>
      </c>
      <c r="CE63" s="35"/>
      <c r="CF63" s="80">
        <f t="shared" si="167"/>
        <v>638495772.88887274</v>
      </c>
      <c r="CG63" s="77">
        <f t="shared" si="168"/>
        <v>638495772.88887274</v>
      </c>
      <c r="CH63" s="62"/>
      <c r="CI63" s="93">
        <f t="shared" si="272"/>
        <v>5275017.5833449364</v>
      </c>
      <c r="CJ63" s="58"/>
      <c r="CK63" s="320">
        <v>0.16853280267224754</v>
      </c>
      <c r="CL63" s="320"/>
      <c r="CM63" s="320"/>
      <c r="CN63" s="320"/>
      <c r="CO63" s="38">
        <f t="shared" si="169"/>
        <v>-42.052425255783092</v>
      </c>
      <c r="CP63" s="321"/>
      <c r="CQ63" s="321"/>
      <c r="CR63" s="322"/>
      <c r="CS63" s="58">
        <f t="shared" si="170"/>
        <v>-42.052425255783085</v>
      </c>
      <c r="CT63" s="58"/>
      <c r="CU63" s="58"/>
      <c r="CV63" s="58"/>
      <c r="CW63" s="320">
        <v>26.351361596048406</v>
      </c>
      <c r="CX63" s="320"/>
      <c r="CY63" s="320"/>
      <c r="CZ63" s="320"/>
      <c r="DA63" s="38">
        <f t="shared" si="171"/>
        <v>45.12862396108099</v>
      </c>
      <c r="DB63" s="320"/>
      <c r="DC63" s="320"/>
      <c r="DD63" s="320"/>
      <c r="DE63" s="38">
        <f t="shared" si="172"/>
        <v>45.128623961080997</v>
      </c>
      <c r="DF63" s="320"/>
      <c r="DG63" s="320"/>
      <c r="DH63" s="320"/>
      <c r="DI63" s="320">
        <f t="shared" si="173"/>
        <v>-1.1057381141436062</v>
      </c>
      <c r="DJ63" s="320"/>
      <c r="DK63" s="320"/>
      <c r="DL63" s="320"/>
      <c r="DM63" s="352">
        <f t="shared" si="226"/>
        <v>0.40926281426881622</v>
      </c>
      <c r="DN63" s="320"/>
      <c r="DO63" s="320"/>
      <c r="DP63" s="320"/>
      <c r="DQ63" s="352">
        <f t="shared" si="227"/>
        <v>2.1483734836516013</v>
      </c>
      <c r="DR63" s="320"/>
      <c r="DS63" s="320"/>
      <c r="DT63" s="320"/>
      <c r="DV63" s="38">
        <f t="shared" si="273"/>
        <v>0</v>
      </c>
      <c r="DW63" s="56"/>
      <c r="DX63" s="38">
        <v>1.0101313935621921</v>
      </c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K63"/>
      <c r="FL63"/>
      <c r="FM63"/>
      <c r="FN63"/>
    </row>
    <row r="64" spans="1:170" ht="15.75" thickBot="1" x14ac:dyDescent="0.25">
      <c r="A64" s="202">
        <v>57</v>
      </c>
      <c r="B64" s="203">
        <v>43694</v>
      </c>
      <c r="C64" s="60">
        <v>0.33680555555555558</v>
      </c>
      <c r="D64" s="87">
        <f t="shared" si="228"/>
        <v>1749.5833333333139</v>
      </c>
      <c r="E64" s="87">
        <f t="shared" si="229"/>
        <v>72.899305555554747</v>
      </c>
      <c r="F64" s="116">
        <v>1</v>
      </c>
      <c r="G64" s="258">
        <v>9520000</v>
      </c>
      <c r="H64" s="258">
        <v>8920000</v>
      </c>
      <c r="I64" s="258">
        <v>9080000</v>
      </c>
      <c r="J64" s="300">
        <f t="shared" si="230"/>
        <v>9173333.333333334</v>
      </c>
      <c r="K64" s="258">
        <f t="shared" si="231"/>
        <v>310698.13860616117</v>
      </c>
      <c r="L64" s="257">
        <f t="shared" si="232"/>
        <v>3.3869709877125127E-2</v>
      </c>
      <c r="M64" s="118">
        <f t="shared" si="233"/>
        <v>9173333.333333334</v>
      </c>
      <c r="N64" s="204">
        <v>293000</v>
      </c>
      <c r="O64" s="88">
        <f t="shared" si="234"/>
        <v>293000</v>
      </c>
      <c r="P64" s="38">
        <v>7.12</v>
      </c>
      <c r="Q64" s="38">
        <v>44.6</v>
      </c>
      <c r="R64" s="84">
        <f t="shared" si="235"/>
        <v>1.3751647315860781E-2</v>
      </c>
      <c r="S64" s="109">
        <f t="shared" si="225"/>
        <v>0.33003953558065874</v>
      </c>
      <c r="T64" s="311">
        <f t="shared" si="15"/>
        <v>23188148.14808882</v>
      </c>
      <c r="U64" s="84" t="e">
        <f>#REF!</f>
        <v>#REF!</v>
      </c>
      <c r="V64" s="63">
        <f t="shared" si="236"/>
        <v>9466333.333333334</v>
      </c>
      <c r="W64" s="89">
        <f t="shared" si="237"/>
        <v>9466333.333333334</v>
      </c>
      <c r="X64" s="90">
        <f t="shared" si="238"/>
        <v>0.96904820592274377</v>
      </c>
      <c r="Y64" s="61">
        <f t="shared" si="239"/>
        <v>10960251652.777981</v>
      </c>
      <c r="Z64" s="148">
        <f t="shared" si="240"/>
        <v>645907314.55552173</v>
      </c>
      <c r="AA64" s="27">
        <v>55.85</v>
      </c>
      <c r="AB64" s="27">
        <v>0</v>
      </c>
      <c r="AC64" s="27">
        <v>0</v>
      </c>
      <c r="AD64" s="27">
        <v>0</v>
      </c>
      <c r="AE64" s="27">
        <f t="shared" si="241"/>
        <v>0.94791666666424135</v>
      </c>
      <c r="AF64" s="27">
        <f t="shared" si="242"/>
        <v>0.75</v>
      </c>
      <c r="AG64" s="27">
        <f t="shared" si="243"/>
        <v>55.85</v>
      </c>
      <c r="AH64" s="27">
        <f t="shared" si="244"/>
        <v>0.79120879121081555</v>
      </c>
      <c r="AI64" s="27">
        <f t="shared" si="245"/>
        <v>0.39560439560540778</v>
      </c>
      <c r="AJ64" s="109">
        <f t="shared" si="246"/>
        <v>1.6483516483558659E-2</v>
      </c>
      <c r="AK64" s="109">
        <f t="shared" si="247"/>
        <v>4.3125479172101133E-2</v>
      </c>
      <c r="AL64" s="27">
        <f t="shared" si="248"/>
        <v>0.75</v>
      </c>
      <c r="AM64" s="27">
        <f t="shared" si="249"/>
        <v>55.85</v>
      </c>
      <c r="AN64" s="27">
        <f t="shared" si="250"/>
        <v>0.79120879121081555</v>
      </c>
      <c r="AO64" s="27">
        <f t="shared" si="251"/>
        <v>0.39560439560540778</v>
      </c>
      <c r="AP64" s="27">
        <f t="shared" si="252"/>
        <v>1.6483516483558659E-2</v>
      </c>
      <c r="AQ64" s="27">
        <f t="shared" si="253"/>
        <v>0</v>
      </c>
      <c r="AR64" s="27">
        <f t="shared" si="254"/>
        <v>0</v>
      </c>
      <c r="AS64" s="27">
        <f t="shared" si="255"/>
        <v>0</v>
      </c>
      <c r="AT64" s="27">
        <f t="shared" si="256"/>
        <v>0</v>
      </c>
      <c r="AU64" s="145">
        <f t="shared" si="257"/>
        <v>9173333.333333334</v>
      </c>
      <c r="AV64" s="27">
        <v>1</v>
      </c>
      <c r="AW64" s="27">
        <f t="shared" si="258"/>
        <v>1.6483516483558659E-2</v>
      </c>
      <c r="AX64" s="145">
        <f t="shared" si="259"/>
        <v>151208.7912091781</v>
      </c>
      <c r="AY64" s="145">
        <f t="shared" si="260"/>
        <v>175452882.98355371</v>
      </c>
      <c r="AZ64" s="27">
        <f t="shared" si="261"/>
        <v>0</v>
      </c>
      <c r="BA64" s="145">
        <f t="shared" si="262"/>
        <v>0</v>
      </c>
      <c r="BB64" s="145">
        <f t="shared" si="263"/>
        <v>0</v>
      </c>
      <c r="BC64" s="145">
        <f t="shared" si="264"/>
        <v>184626216.31688705</v>
      </c>
      <c r="BD64" s="145">
        <f t="shared" si="265"/>
        <v>10960251652.777981</v>
      </c>
      <c r="BE64" s="84">
        <f t="shared" si="266"/>
        <v>1.4087391501834749E-2</v>
      </c>
      <c r="BF64" s="84">
        <f t="shared" si="267"/>
        <v>1.3752526325276845E-2</v>
      </c>
      <c r="BG64" s="84">
        <f t="shared" si="268"/>
        <v>1.3751647315860781E-2</v>
      </c>
      <c r="BH64" s="38">
        <f t="shared" si="269"/>
        <v>16.504600999999997</v>
      </c>
      <c r="BI64" s="38"/>
      <c r="BJ64" s="358">
        <f t="shared" si="61"/>
        <v>7.4270704499999987</v>
      </c>
      <c r="BK64" s="38"/>
      <c r="BL64" s="38">
        <f>'Analisis economico'!$C$5/BJ64</f>
        <v>0.47932761968078552</v>
      </c>
      <c r="BM64" s="38"/>
      <c r="BN64" s="38">
        <f t="shared" si="160"/>
        <v>16.504600999999997</v>
      </c>
      <c r="BO64" s="38">
        <f t="shared" si="161"/>
        <v>0.2720538626380587</v>
      </c>
      <c r="BP64" s="38">
        <f t="shared" si="164"/>
        <v>334.55944468977282</v>
      </c>
      <c r="BQ64" s="27">
        <f t="shared" si="270"/>
        <v>351.0640456897728</v>
      </c>
      <c r="BR64" s="211">
        <v>16.504600999999997</v>
      </c>
      <c r="BS64" s="61">
        <f t="shared" si="178"/>
        <v>2.5898329972313098E-8</v>
      </c>
      <c r="BT64" s="61"/>
      <c r="BU64" s="342">
        <f t="shared" si="62"/>
        <v>0.62155991933551424</v>
      </c>
      <c r="BV64" s="342"/>
      <c r="BW64" s="342"/>
      <c r="BX64" s="27">
        <f t="shared" si="165"/>
        <v>0.66970367309770829</v>
      </c>
      <c r="BY64" s="56"/>
      <c r="BZ64" s="57">
        <v>62.43</v>
      </c>
      <c r="CA64" s="38">
        <f t="shared" si="163"/>
        <v>1.0290659340685671</v>
      </c>
      <c r="CB64" s="245">
        <f t="shared" si="166"/>
        <v>392.24140502173736</v>
      </c>
      <c r="CC64" s="58">
        <f t="shared" si="271"/>
        <v>454.67140502173737</v>
      </c>
      <c r="CD64" s="38">
        <v>73.119</v>
      </c>
      <c r="CE64" s="35"/>
      <c r="CF64" s="80">
        <f t="shared" si="167"/>
        <v>645468647.88885486</v>
      </c>
      <c r="CG64" s="77">
        <f t="shared" si="168"/>
        <v>645468647.88885486</v>
      </c>
      <c r="CH64" s="62"/>
      <c r="CI64" s="93">
        <f t="shared" si="272"/>
        <v>6972874.9999821186</v>
      </c>
      <c r="CJ64" s="58"/>
      <c r="CK64" s="320">
        <v>0.22926695449391143</v>
      </c>
      <c r="CL64" s="320"/>
      <c r="CM64" s="320"/>
      <c r="CN64" s="320"/>
      <c r="CO64" s="38">
        <f t="shared" si="169"/>
        <v>-41.175363839143316</v>
      </c>
      <c r="CP64" s="321"/>
      <c r="CQ64" s="321"/>
      <c r="CR64" s="322"/>
      <c r="CS64" s="58">
        <f t="shared" si="170"/>
        <v>-41.175363839143309</v>
      </c>
      <c r="CT64" s="58"/>
      <c r="CU64" s="58"/>
      <c r="CV64" s="58"/>
      <c r="CW64" s="320">
        <v>25.066195359992491</v>
      </c>
      <c r="CX64" s="320"/>
      <c r="CY64" s="320"/>
      <c r="CZ64" s="320"/>
      <c r="DA64" s="38">
        <f t="shared" si="171"/>
        <v>38.810875334790374</v>
      </c>
      <c r="DB64" s="320"/>
      <c r="DC64" s="320"/>
      <c r="DD64" s="320"/>
      <c r="DE64" s="38">
        <f t="shared" si="172"/>
        <v>38.810875334790381</v>
      </c>
      <c r="DF64" s="320"/>
      <c r="DG64" s="320"/>
      <c r="DH64" s="320"/>
      <c r="DI64" s="320">
        <f t="shared" si="173"/>
        <v>-1.0544982063450212</v>
      </c>
      <c r="DJ64" s="320"/>
      <c r="DK64" s="320"/>
      <c r="DL64" s="320"/>
      <c r="DM64" s="352">
        <f t="shared" si="226"/>
        <v>0.38590872716344665</v>
      </c>
      <c r="DN64" s="320"/>
      <c r="DO64" s="320"/>
      <c r="DP64" s="320"/>
      <c r="DQ64" s="352">
        <f t="shared" si="227"/>
        <v>1.883591636538229</v>
      </c>
      <c r="DR64" s="320"/>
      <c r="DS64" s="320"/>
      <c r="DT64" s="320"/>
      <c r="DV64" s="38">
        <f t="shared" si="273"/>
        <v>0</v>
      </c>
      <c r="DW64" s="56"/>
      <c r="DX64" s="38">
        <v>0.67987148839086764</v>
      </c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K64"/>
      <c r="FL64"/>
      <c r="FM64"/>
      <c r="FN64"/>
    </row>
    <row r="65" spans="1:170" ht="15.75" thickBot="1" x14ac:dyDescent="0.25">
      <c r="A65" s="202">
        <v>58</v>
      </c>
      <c r="B65" s="203">
        <v>43698</v>
      </c>
      <c r="C65" s="60">
        <v>0.63888888888888895</v>
      </c>
      <c r="D65" s="87">
        <f t="shared" si="228"/>
        <v>1852.8333333333721</v>
      </c>
      <c r="E65" s="87">
        <f t="shared" si="229"/>
        <v>77.201388888890506</v>
      </c>
      <c r="F65" s="116">
        <v>1</v>
      </c>
      <c r="G65" s="258">
        <v>10240000</v>
      </c>
      <c r="H65" s="258">
        <v>11280000</v>
      </c>
      <c r="I65" s="258">
        <v>10760000</v>
      </c>
      <c r="J65" s="300">
        <f t="shared" si="230"/>
        <v>10760000</v>
      </c>
      <c r="K65" s="258">
        <f t="shared" si="231"/>
        <v>520000</v>
      </c>
      <c r="L65" s="257">
        <f t="shared" si="232"/>
        <v>4.8327137546468404E-2</v>
      </c>
      <c r="M65" s="118">
        <f t="shared" si="233"/>
        <v>10760000</v>
      </c>
      <c r="N65" s="204">
        <v>670000</v>
      </c>
      <c r="O65" s="88">
        <f t="shared" si="234"/>
        <v>670000</v>
      </c>
      <c r="P65" s="38">
        <v>7.17</v>
      </c>
      <c r="Q65" s="38">
        <v>77.7</v>
      </c>
      <c r="R65" s="84">
        <f t="shared" si="235"/>
        <v>1.8532686035778449E-2</v>
      </c>
      <c r="S65" s="109">
        <f t="shared" si="225"/>
        <v>0.44478446485868278</v>
      </c>
      <c r="T65" s="311">
        <f t="shared" si="15"/>
        <v>26835024.154604532</v>
      </c>
      <c r="U65" s="84" t="e">
        <f>#REF!</f>
        <v>#REF!</v>
      </c>
      <c r="V65" s="63">
        <f t="shared" si="236"/>
        <v>11430000</v>
      </c>
      <c r="W65" s="89">
        <f t="shared" si="237"/>
        <v>11430000</v>
      </c>
      <c r="X65" s="90">
        <f t="shared" si="238"/>
        <v>0.94138232720909887</v>
      </c>
      <c r="Y65" s="61">
        <f t="shared" si="239"/>
        <v>11989309986.111895</v>
      </c>
      <c r="Z65" s="148">
        <f t="shared" si="240"/>
        <v>695622189.55554974</v>
      </c>
      <c r="AA65" s="27">
        <v>59.3</v>
      </c>
      <c r="AB65" s="27">
        <v>0</v>
      </c>
      <c r="AC65" s="27">
        <v>0</v>
      </c>
      <c r="AD65" s="27">
        <v>0</v>
      </c>
      <c r="AE65" s="27">
        <f t="shared" si="241"/>
        <v>4.3020833333357587</v>
      </c>
      <c r="AF65" s="27">
        <f t="shared" si="242"/>
        <v>3.4499999999999957</v>
      </c>
      <c r="AG65" s="27">
        <f t="shared" si="243"/>
        <v>59.3</v>
      </c>
      <c r="AH65" s="27">
        <f t="shared" si="244"/>
        <v>0.80193704600438953</v>
      </c>
      <c r="AI65" s="27">
        <f t="shared" si="245"/>
        <v>0.40096852300219477</v>
      </c>
      <c r="AJ65" s="109">
        <f t="shared" si="246"/>
        <v>1.6707021791758116E-2</v>
      </c>
      <c r="AK65" s="109">
        <f t="shared" si="247"/>
        <v>3.7264732621021819E-2</v>
      </c>
      <c r="AL65" s="27">
        <f t="shared" si="248"/>
        <v>3.4499999999999957</v>
      </c>
      <c r="AM65" s="27">
        <f t="shared" si="249"/>
        <v>59.3</v>
      </c>
      <c r="AN65" s="27">
        <f t="shared" si="250"/>
        <v>0.80193704600438953</v>
      </c>
      <c r="AO65" s="27">
        <f t="shared" si="251"/>
        <v>0.40096852300219477</v>
      </c>
      <c r="AP65" s="27">
        <f t="shared" si="252"/>
        <v>1.6707021791758116E-2</v>
      </c>
      <c r="AQ65" s="27">
        <f t="shared" si="253"/>
        <v>0</v>
      </c>
      <c r="AR65" s="27">
        <f t="shared" si="254"/>
        <v>0</v>
      </c>
      <c r="AS65" s="27">
        <f t="shared" si="255"/>
        <v>0</v>
      </c>
      <c r="AT65" s="27">
        <f t="shared" si="256"/>
        <v>0</v>
      </c>
      <c r="AU65" s="145">
        <f t="shared" si="257"/>
        <v>10760000</v>
      </c>
      <c r="AV65" s="27">
        <v>1</v>
      </c>
      <c r="AW65" s="27">
        <f t="shared" si="258"/>
        <v>1.6707021791758116E-2</v>
      </c>
      <c r="AX65" s="145">
        <f t="shared" si="259"/>
        <v>179767.55447931733</v>
      </c>
      <c r="AY65" s="145">
        <f t="shared" si="260"/>
        <v>192539536.82973191</v>
      </c>
      <c r="AZ65" s="27">
        <f t="shared" si="261"/>
        <v>0</v>
      </c>
      <c r="BA65" s="145">
        <f t="shared" si="262"/>
        <v>0</v>
      </c>
      <c r="BB65" s="145">
        <f t="shared" si="263"/>
        <v>0</v>
      </c>
      <c r="BC65" s="145">
        <f t="shared" si="264"/>
        <v>203299536.82973191</v>
      </c>
      <c r="BD65" s="145">
        <f t="shared" si="265"/>
        <v>11989309986.111895</v>
      </c>
      <c r="BE65" s="84">
        <f t="shared" si="266"/>
        <v>1.8146027205617751E-2</v>
      </c>
      <c r="BF65" s="84">
        <f t="shared" si="267"/>
        <v>1.852729935473111E-2</v>
      </c>
      <c r="BG65" s="84">
        <f t="shared" si="268"/>
        <v>1.8532686035778449E-2</v>
      </c>
      <c r="BH65" s="38">
        <f t="shared" si="269"/>
        <v>19.931465333333339</v>
      </c>
      <c r="BI65" s="38"/>
      <c r="BJ65" s="358">
        <f t="shared" si="61"/>
        <v>8.9691594000000023</v>
      </c>
      <c r="BK65" s="38"/>
      <c r="BL65" s="38">
        <f>'Analisis economico'!$C$5/BJ65</f>
        <v>0.39691567974586328</v>
      </c>
      <c r="BM65" s="38"/>
      <c r="BN65" s="38">
        <f t="shared" si="160"/>
        <v>19.931465333333339</v>
      </c>
      <c r="BO65" s="38">
        <f t="shared" si="161"/>
        <v>0.33299542566567153</v>
      </c>
      <c r="BP65" s="38">
        <f t="shared" si="164"/>
        <v>365.79511419847051</v>
      </c>
      <c r="BQ65" s="27">
        <f t="shared" si="270"/>
        <v>385.72657953180385</v>
      </c>
      <c r="BR65" s="211">
        <v>19.931465333333339</v>
      </c>
      <c r="BS65" s="61">
        <f t="shared" si="178"/>
        <v>3.3868800647012548E-8</v>
      </c>
      <c r="BT65" s="61"/>
      <c r="BU65" s="342">
        <f t="shared" si="62"/>
        <v>0.8128512155283012</v>
      </c>
      <c r="BV65" s="342"/>
      <c r="BW65" s="342"/>
      <c r="BX65" s="27">
        <f t="shared" si="165"/>
        <v>0.73255588752270817</v>
      </c>
      <c r="BY65" s="56"/>
      <c r="BZ65" s="57">
        <v>63.43</v>
      </c>
      <c r="CA65" s="38">
        <f t="shared" si="163"/>
        <v>1.0597263922512172</v>
      </c>
      <c r="CB65" s="245">
        <f t="shared" si="166"/>
        <v>500.07530886805705</v>
      </c>
      <c r="CC65" s="58">
        <f t="shared" si="271"/>
        <v>563.505308868057</v>
      </c>
      <c r="CD65" s="38">
        <v>74.119</v>
      </c>
      <c r="CE65" s="35"/>
      <c r="CF65" s="80">
        <f t="shared" si="167"/>
        <v>695183522.88888288</v>
      </c>
      <c r="CG65" s="77">
        <f t="shared" si="168"/>
        <v>695183522.88888288</v>
      </c>
      <c r="CH65" s="62"/>
      <c r="CI65" s="93">
        <f t="shared" si="272"/>
        <v>49714875.000028014</v>
      </c>
      <c r="CJ65" s="58"/>
      <c r="CK65" s="320">
        <v>0.13345017146413257</v>
      </c>
      <c r="CL65" s="320"/>
      <c r="CM65" s="320"/>
      <c r="CN65" s="320"/>
      <c r="CO65" s="38">
        <f t="shared" si="169"/>
        <v>-40.020057102562397</v>
      </c>
      <c r="CP65" s="321"/>
      <c r="CQ65" s="321"/>
      <c r="CR65" s="322"/>
      <c r="CS65" s="58">
        <f t="shared" si="170"/>
        <v>-40.020057102562397</v>
      </c>
      <c r="CT65" s="58"/>
      <c r="CU65" s="58"/>
      <c r="CV65" s="58"/>
      <c r="CW65" s="320">
        <v>23.421565837396152</v>
      </c>
      <c r="CX65" s="320"/>
      <c r="CY65" s="320"/>
      <c r="CZ65" s="320"/>
      <c r="DA65" s="38">
        <f t="shared" si="171"/>
        <v>39.041581228918346</v>
      </c>
      <c r="DB65" s="320"/>
      <c r="DC65" s="320"/>
      <c r="DD65" s="320"/>
      <c r="DE65" s="38">
        <f t="shared" si="172"/>
        <v>39.041581228918346</v>
      </c>
      <c r="DF65" s="320"/>
      <c r="DG65" s="320"/>
      <c r="DH65" s="320"/>
      <c r="DI65" s="320">
        <f t="shared" si="173"/>
        <v>-0.98135532809155046</v>
      </c>
      <c r="DJ65" s="320"/>
      <c r="DK65" s="320"/>
      <c r="DL65" s="320"/>
      <c r="DM65" s="352">
        <f t="shared" si="226"/>
        <v>0.45084019589353819</v>
      </c>
      <c r="DN65" s="320"/>
      <c r="DO65" s="320"/>
      <c r="DP65" s="320"/>
      <c r="DQ65" s="352">
        <f t="shared" si="227"/>
        <v>2.2494377387309763</v>
      </c>
      <c r="DR65" s="320"/>
      <c r="DS65" s="320"/>
      <c r="DT65" s="320"/>
      <c r="DV65" s="38">
        <f t="shared" si="273"/>
        <v>0</v>
      </c>
      <c r="DW65" s="56"/>
      <c r="DX65" s="38">
        <v>0.76658243091881662</v>
      </c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K65"/>
      <c r="FL65"/>
      <c r="FM65"/>
      <c r="FN65"/>
    </row>
    <row r="66" spans="1:170" ht="15.75" thickBot="1" x14ac:dyDescent="0.25">
      <c r="A66" s="202">
        <v>59</v>
      </c>
      <c r="B66" s="203">
        <v>43699</v>
      </c>
      <c r="C66" s="60">
        <v>0.63888888888888895</v>
      </c>
      <c r="D66" s="87">
        <f t="shared" si="228"/>
        <v>1876.8333333333721</v>
      </c>
      <c r="E66" s="87">
        <f t="shared" si="229"/>
        <v>78.201388888890506</v>
      </c>
      <c r="F66" s="116">
        <v>1</v>
      </c>
      <c r="G66" s="258">
        <v>10840000</v>
      </c>
      <c r="H66" s="258">
        <v>10600000</v>
      </c>
      <c r="I66" s="258"/>
      <c r="J66" s="300">
        <f t="shared" si="230"/>
        <v>10720000</v>
      </c>
      <c r="K66" s="258">
        <f t="shared" si="231"/>
        <v>169705.62748477139</v>
      </c>
      <c r="L66" s="257">
        <f t="shared" si="232"/>
        <v>1.5830748832534644E-2</v>
      </c>
      <c r="M66" s="118">
        <f t="shared" si="233"/>
        <v>10720000</v>
      </c>
      <c r="N66" s="204">
        <v>420000</v>
      </c>
      <c r="O66" s="88">
        <f t="shared" si="234"/>
        <v>420000</v>
      </c>
      <c r="P66" s="38">
        <v>7.11</v>
      </c>
      <c r="Q66" s="38">
        <v>69</v>
      </c>
      <c r="R66" s="84">
        <f t="shared" si="235"/>
        <v>1.5595864862184191E-2</v>
      </c>
      <c r="S66" s="109">
        <f t="shared" si="225"/>
        <v>0.37430075669242058</v>
      </c>
      <c r="T66" s="311">
        <f t="shared" si="15"/>
        <v>26799999.999999858</v>
      </c>
      <c r="U66" s="84" t="e">
        <f>#REF!</f>
        <v>#REF!</v>
      </c>
      <c r="V66" s="63">
        <f t="shared" si="236"/>
        <v>11140000</v>
      </c>
      <c r="W66" s="89">
        <f t="shared" si="237"/>
        <v>11140000</v>
      </c>
      <c r="X66" s="90">
        <f t="shared" si="238"/>
        <v>0.9622980251346499</v>
      </c>
      <c r="Y66" s="61">
        <f t="shared" si="239"/>
        <v>12247069986.111895</v>
      </c>
      <c r="Z66" s="148">
        <f t="shared" si="240"/>
        <v>708702189.55554974</v>
      </c>
      <c r="AA66" s="27">
        <v>60.1</v>
      </c>
      <c r="AB66" s="27">
        <v>0</v>
      </c>
      <c r="AC66" s="27">
        <v>0</v>
      </c>
      <c r="AD66" s="27">
        <v>0</v>
      </c>
      <c r="AE66" s="27">
        <f t="shared" si="241"/>
        <v>1</v>
      </c>
      <c r="AF66" s="27">
        <f t="shared" si="242"/>
        <v>0.80000000000000426</v>
      </c>
      <c r="AG66" s="27">
        <f t="shared" si="243"/>
        <v>60.1</v>
      </c>
      <c r="AH66" s="27">
        <f t="shared" si="244"/>
        <v>0.80000000000000426</v>
      </c>
      <c r="AI66" s="27">
        <f t="shared" si="245"/>
        <v>0.40000000000000213</v>
      </c>
      <c r="AJ66" s="109">
        <f t="shared" si="246"/>
        <v>1.6666666666666757E-2</v>
      </c>
      <c r="AK66" s="109">
        <f t="shared" si="247"/>
        <v>3.7313432835821093E-2</v>
      </c>
      <c r="AL66" s="27">
        <f t="shared" si="248"/>
        <v>0.80000000000000426</v>
      </c>
      <c r="AM66" s="27">
        <f t="shared" si="249"/>
        <v>60.1</v>
      </c>
      <c r="AN66" s="27">
        <f t="shared" si="250"/>
        <v>0.80000000000000426</v>
      </c>
      <c r="AO66" s="27">
        <f t="shared" si="251"/>
        <v>0.40000000000000213</v>
      </c>
      <c r="AP66" s="27">
        <f t="shared" si="252"/>
        <v>1.6666666666666757E-2</v>
      </c>
      <c r="AQ66" s="27">
        <f t="shared" si="253"/>
        <v>0</v>
      </c>
      <c r="AR66" s="27">
        <f t="shared" si="254"/>
        <v>0</v>
      </c>
      <c r="AS66" s="27">
        <f t="shared" si="255"/>
        <v>0</v>
      </c>
      <c r="AT66" s="27">
        <f t="shared" si="256"/>
        <v>0</v>
      </c>
      <c r="AU66" s="145">
        <f t="shared" si="257"/>
        <v>10720000</v>
      </c>
      <c r="AV66" s="27">
        <v>1</v>
      </c>
      <c r="AW66" s="27">
        <f t="shared" si="258"/>
        <v>1.6666666666666757E-2</v>
      </c>
      <c r="AX66" s="145">
        <f t="shared" si="259"/>
        <v>178666.66666666762</v>
      </c>
      <c r="AY66" s="145">
        <f t="shared" si="260"/>
        <v>196840747.48348373</v>
      </c>
      <c r="AZ66" s="27">
        <f t="shared" si="261"/>
        <v>0</v>
      </c>
      <c r="BA66" s="145">
        <f t="shared" si="262"/>
        <v>0</v>
      </c>
      <c r="BB66" s="145">
        <f t="shared" si="263"/>
        <v>0</v>
      </c>
      <c r="BC66" s="145">
        <f t="shared" si="264"/>
        <v>207560747.48348373</v>
      </c>
      <c r="BD66" s="145">
        <f t="shared" si="265"/>
        <v>12247069986.111895</v>
      </c>
      <c r="BE66" s="84">
        <f t="shared" si="266"/>
        <v>1.6531698687739838E-2</v>
      </c>
      <c r="BF66" s="84">
        <f t="shared" si="267"/>
        <v>1.5595923792645194E-2</v>
      </c>
      <c r="BG66" s="84">
        <f t="shared" si="268"/>
        <v>1.5595864862184191E-2</v>
      </c>
      <c r="BH66" s="38">
        <f t="shared" si="269"/>
        <v>18.224189000000003</v>
      </c>
      <c r="BI66" s="38"/>
      <c r="BJ66" s="358">
        <f t="shared" si="61"/>
        <v>8.2008850500000019</v>
      </c>
      <c r="BK66" s="38"/>
      <c r="BL66" s="38">
        <f>'Analisis economico'!$C$5/BJ66</f>
        <v>0.43409948783515739</v>
      </c>
      <c r="BM66" s="38"/>
      <c r="BN66" s="38">
        <f t="shared" si="160"/>
        <v>18.224189000000003</v>
      </c>
      <c r="BO66" s="38">
        <f t="shared" si="161"/>
        <v>0.30373648333333503</v>
      </c>
      <c r="BP66" s="38">
        <f t="shared" si="164"/>
        <v>373.43589710645858</v>
      </c>
      <c r="BQ66" s="27">
        <f t="shared" si="270"/>
        <v>391.66008610645861</v>
      </c>
      <c r="BR66" s="211">
        <v>18.224189000000003</v>
      </c>
      <c r="BS66" s="61">
        <f t="shared" si="178"/>
        <v>2.2982055141734067E-8</v>
      </c>
      <c r="BT66" s="61"/>
      <c r="BU66" s="342">
        <f t="shared" si="62"/>
        <v>0.55156932340161768</v>
      </c>
      <c r="BV66" s="342"/>
      <c r="BW66" s="342"/>
      <c r="BX66" s="27">
        <f t="shared" si="165"/>
        <v>0.74781814925604162</v>
      </c>
      <c r="BY66" s="56"/>
      <c r="BZ66" s="57">
        <v>64.430000000000007</v>
      </c>
      <c r="CA66" s="38">
        <f t="shared" si="163"/>
        <v>1.0738333333333392</v>
      </c>
      <c r="CB66" s="245">
        <f t="shared" si="166"/>
        <v>525.67802557507173</v>
      </c>
      <c r="CC66" s="58">
        <f t="shared" si="271"/>
        <v>590.10802557507168</v>
      </c>
      <c r="CD66" s="38">
        <v>75.119</v>
      </c>
      <c r="CE66" s="35"/>
      <c r="CF66" s="80">
        <f t="shared" si="167"/>
        <v>708263522.88888288</v>
      </c>
      <c r="CG66" s="77">
        <f t="shared" si="168"/>
        <v>708263522.88888288</v>
      </c>
      <c r="CH66" s="62"/>
      <c r="CI66" s="93">
        <f t="shared" si="272"/>
        <v>13080000</v>
      </c>
      <c r="CJ66" s="58"/>
      <c r="CK66" s="320">
        <v>7.6313330497887175E-2</v>
      </c>
      <c r="CL66" s="320"/>
      <c r="CM66" s="320"/>
      <c r="CN66" s="320"/>
      <c r="CO66" s="38">
        <f t="shared" si="169"/>
        <v>-37.30285591470318</v>
      </c>
      <c r="CP66" s="321"/>
      <c r="CQ66" s="321"/>
      <c r="CR66" s="322"/>
      <c r="CS66" s="58">
        <f t="shared" si="170"/>
        <v>-37.302855914703187</v>
      </c>
      <c r="CT66" s="58"/>
      <c r="CU66" s="58"/>
      <c r="CV66" s="58"/>
      <c r="CW66" s="320">
        <v>23.856694626142012</v>
      </c>
      <c r="CX66" s="320"/>
      <c r="CY66" s="320"/>
      <c r="CZ66" s="320"/>
      <c r="DA66" s="38">
        <f t="shared" si="171"/>
        <v>38.37205494046222</v>
      </c>
      <c r="DB66" s="320"/>
      <c r="DC66" s="320"/>
      <c r="DD66" s="320"/>
      <c r="DE66" s="38">
        <f t="shared" si="172"/>
        <v>38.37205494046222</v>
      </c>
      <c r="DF66" s="320"/>
      <c r="DG66" s="320"/>
      <c r="DH66" s="320"/>
      <c r="DI66" s="320">
        <f t="shared" si="173"/>
        <v>-0.99719976087776208</v>
      </c>
      <c r="DJ66" s="320"/>
      <c r="DK66" s="320"/>
      <c r="DL66" s="320"/>
      <c r="DM66" s="352">
        <f t="shared" si="226"/>
        <v>0.44809147302810326</v>
      </c>
      <c r="DN66" s="320"/>
      <c r="DO66" s="320"/>
      <c r="DP66" s="320"/>
      <c r="DQ66" s="352">
        <f t="shared" si="227"/>
        <v>2.2685257651117974</v>
      </c>
      <c r="DR66" s="320"/>
      <c r="DS66" s="320"/>
      <c r="DT66" s="320"/>
      <c r="DV66" s="38">
        <f t="shared" si="273"/>
        <v>0</v>
      </c>
      <c r="DW66" s="56"/>
      <c r="DX66" s="38">
        <v>0.82446407492237739</v>
      </c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K66"/>
      <c r="FL66"/>
      <c r="FM66"/>
      <c r="FN66"/>
    </row>
    <row r="67" spans="1:170" ht="15.75" thickBot="1" x14ac:dyDescent="0.25">
      <c r="A67" s="202">
        <v>60</v>
      </c>
      <c r="B67" s="203">
        <v>43700</v>
      </c>
      <c r="C67" s="60">
        <v>0.40972222222222227</v>
      </c>
      <c r="D67" s="87">
        <f t="shared" si="228"/>
        <v>1895.3333333332557</v>
      </c>
      <c r="E67" s="87">
        <f t="shared" si="229"/>
        <v>78.972222222218988</v>
      </c>
      <c r="F67" s="116">
        <v>1</v>
      </c>
      <c r="G67" s="258">
        <v>10720000</v>
      </c>
      <c r="H67" s="258">
        <v>10760000</v>
      </c>
      <c r="I67" s="258"/>
      <c r="J67" s="300">
        <f t="shared" si="230"/>
        <v>10740000</v>
      </c>
      <c r="K67" s="258">
        <f t="shared" si="231"/>
        <v>28284.2712474619</v>
      </c>
      <c r="L67" s="257">
        <f t="shared" si="232"/>
        <v>2.6335448088884452E-3</v>
      </c>
      <c r="M67" s="118">
        <f t="shared" si="233"/>
        <v>10740000</v>
      </c>
      <c r="N67" s="204">
        <v>500000</v>
      </c>
      <c r="O67" s="88">
        <f t="shared" si="234"/>
        <v>500000</v>
      </c>
      <c r="P67" s="38">
        <v>7.11</v>
      </c>
      <c r="Q67" s="38">
        <v>75.400000000000006</v>
      </c>
      <c r="R67" s="84">
        <f t="shared" si="235"/>
        <v>1.6699276214505381E-2</v>
      </c>
      <c r="S67" s="109">
        <f t="shared" si="225"/>
        <v>0.40078262914812912</v>
      </c>
      <c r="T67" s="311">
        <f t="shared" si="15"/>
        <v>27595833.333159614</v>
      </c>
      <c r="U67" s="84" t="e">
        <f>#REF!</f>
        <v>#REF!</v>
      </c>
      <c r="V67" s="63">
        <f t="shared" si="236"/>
        <v>11240000</v>
      </c>
      <c r="W67" s="89">
        <f t="shared" si="237"/>
        <v>11240000</v>
      </c>
      <c r="X67" s="90">
        <f t="shared" si="238"/>
        <v>0.95551601423487542</v>
      </c>
      <c r="Y67" s="61">
        <f t="shared" si="239"/>
        <v>12445574986.110645</v>
      </c>
      <c r="Z67" s="148">
        <f t="shared" si="240"/>
        <v>717212189.55549622</v>
      </c>
      <c r="AA67" s="27">
        <v>60.7</v>
      </c>
      <c r="AB67" s="27">
        <v>0</v>
      </c>
      <c r="AC67" s="27">
        <v>0</v>
      </c>
      <c r="AD67" s="27">
        <v>0</v>
      </c>
      <c r="AE67" s="27">
        <f t="shared" si="241"/>
        <v>0.77083333332848269</v>
      </c>
      <c r="AF67" s="27">
        <f t="shared" si="242"/>
        <v>0.60000000000000142</v>
      </c>
      <c r="AG67" s="27">
        <f t="shared" si="243"/>
        <v>60.7</v>
      </c>
      <c r="AH67" s="27">
        <f t="shared" si="244"/>
        <v>0.77837837838327839</v>
      </c>
      <c r="AI67" s="27">
        <f t="shared" si="245"/>
        <v>0.3891891891916392</v>
      </c>
      <c r="AJ67" s="109">
        <f t="shared" si="246"/>
        <v>1.6216216216318299E-2</v>
      </c>
      <c r="AK67" s="109">
        <f t="shared" si="247"/>
        <v>3.6237354673336983E-2</v>
      </c>
      <c r="AL67" s="27">
        <f t="shared" si="248"/>
        <v>0.60000000000000142</v>
      </c>
      <c r="AM67" s="27">
        <f t="shared" si="249"/>
        <v>60.7</v>
      </c>
      <c r="AN67" s="27">
        <f t="shared" si="250"/>
        <v>0.77837837838327839</v>
      </c>
      <c r="AO67" s="27">
        <f t="shared" si="251"/>
        <v>0.3891891891916392</v>
      </c>
      <c r="AP67" s="27">
        <f t="shared" si="252"/>
        <v>1.6216216216318299E-2</v>
      </c>
      <c r="AQ67" s="27">
        <f t="shared" si="253"/>
        <v>0</v>
      </c>
      <c r="AR67" s="27">
        <f t="shared" si="254"/>
        <v>0</v>
      </c>
      <c r="AS67" s="27">
        <f t="shared" si="255"/>
        <v>0</v>
      </c>
      <c r="AT67" s="27">
        <f t="shared" si="256"/>
        <v>0</v>
      </c>
      <c r="AU67" s="145">
        <f t="shared" si="257"/>
        <v>10740000</v>
      </c>
      <c r="AV67" s="27">
        <v>1</v>
      </c>
      <c r="AW67" s="27">
        <f t="shared" si="258"/>
        <v>1.6216216216318299E-2</v>
      </c>
      <c r="AX67" s="145">
        <f t="shared" si="259"/>
        <v>174162.16216325853</v>
      </c>
      <c r="AY67" s="145">
        <f t="shared" si="260"/>
        <v>200104414.15014002</v>
      </c>
      <c r="AZ67" s="27">
        <f t="shared" si="261"/>
        <v>0</v>
      </c>
      <c r="BA67" s="145">
        <f t="shared" si="262"/>
        <v>0</v>
      </c>
      <c r="BB67" s="145">
        <f t="shared" si="263"/>
        <v>0</v>
      </c>
      <c r="BC67" s="145">
        <f t="shared" si="264"/>
        <v>210844414.15014002</v>
      </c>
      <c r="BD67" s="145">
        <f t="shared" si="265"/>
        <v>12445574986.110645</v>
      </c>
      <c r="BE67" s="84">
        <f t="shared" si="266"/>
        <v>1.6541984668783916E-2</v>
      </c>
      <c r="BF67" s="84">
        <f t="shared" si="267"/>
        <v>1.6699272999646218E-2</v>
      </c>
      <c r="BG67" s="84">
        <f t="shared" si="268"/>
        <v>1.6699276214505381E-2</v>
      </c>
      <c r="BH67" s="38">
        <f t="shared" si="269"/>
        <v>26.363529</v>
      </c>
      <c r="BI67" s="38"/>
      <c r="BJ67" s="358">
        <f t="shared" si="61"/>
        <v>11.863588050000001</v>
      </c>
      <c r="BK67" s="38"/>
      <c r="BL67" s="38">
        <f>'Analisis economico'!$C$5/BJ67</f>
        <v>0.30007785039366736</v>
      </c>
      <c r="BM67" s="38"/>
      <c r="BN67" s="38">
        <f t="shared" si="160"/>
        <v>26.363529</v>
      </c>
      <c r="BO67" s="38">
        <f t="shared" si="161"/>
        <v>0.42751668648917773</v>
      </c>
      <c r="BP67" s="38">
        <f t="shared" si="164"/>
        <v>380.19998892727426</v>
      </c>
      <c r="BQ67" s="27">
        <f t="shared" si="270"/>
        <v>406.56351792727423</v>
      </c>
      <c r="BR67" s="211">
        <v>26.363529</v>
      </c>
      <c r="BS67" s="61">
        <f t="shared" si="178"/>
        <v>7.4695839903747105E-8</v>
      </c>
      <c r="BT67" s="61"/>
      <c r="BU67" s="342">
        <f t="shared" si="62"/>
        <v>1.7927001576899306</v>
      </c>
      <c r="BV67" s="342"/>
      <c r="BW67" s="342"/>
      <c r="BX67" s="27">
        <f t="shared" si="165"/>
        <v>0.76119446465604168</v>
      </c>
      <c r="BY67" s="56"/>
      <c r="BZ67" s="57">
        <v>65.430000000000007</v>
      </c>
      <c r="CA67" s="38">
        <f t="shared" si="163"/>
        <v>1.0610270270337063</v>
      </c>
      <c r="CB67" s="245">
        <f t="shared" si="166"/>
        <v>545.42548390834258</v>
      </c>
      <c r="CC67" s="58">
        <f t="shared" si="271"/>
        <v>610.85548390834265</v>
      </c>
      <c r="CD67" s="38">
        <v>76.119</v>
      </c>
      <c r="CE67" s="35"/>
      <c r="CF67" s="80">
        <f t="shared" si="167"/>
        <v>716773522.88882935</v>
      </c>
      <c r="CG67" s="77">
        <f t="shared" si="168"/>
        <v>716773522.88882935</v>
      </c>
      <c r="CH67" s="62"/>
      <c r="CI67" s="93">
        <f t="shared" si="272"/>
        <v>8509999.999946475</v>
      </c>
      <c r="CJ67" s="58"/>
      <c r="CK67" s="320">
        <v>0.15830464892384841</v>
      </c>
      <c r="CL67" s="320"/>
      <c r="CM67" s="320"/>
      <c r="CN67" s="320"/>
      <c r="CO67" s="38">
        <f t="shared" si="169"/>
        <v>-35.680793857612478</v>
      </c>
      <c r="CP67" s="321"/>
      <c r="CQ67" s="321"/>
      <c r="CR67" s="322"/>
      <c r="CS67" s="58">
        <f t="shared" si="170"/>
        <v>-35.680793857612485</v>
      </c>
      <c r="CT67" s="58"/>
      <c r="CU67" s="58"/>
      <c r="CV67" s="58"/>
      <c r="CW67" s="320">
        <v>21.602312169734674</v>
      </c>
      <c r="CX67" s="320"/>
      <c r="CY67" s="320"/>
      <c r="CZ67" s="320"/>
      <c r="DA67" s="38">
        <f t="shared" si="171"/>
        <v>22.994224644230137</v>
      </c>
      <c r="DB67" s="320"/>
      <c r="DC67" s="320"/>
      <c r="DD67" s="320"/>
      <c r="DE67" s="193">
        <f t="shared" si="172"/>
        <v>22.99422464423014</v>
      </c>
      <c r="DF67" s="320"/>
      <c r="DG67" s="320"/>
      <c r="DH67" s="320"/>
      <c r="DI67" s="320">
        <f t="shared" si="173"/>
        <v>-0.90607282123331057</v>
      </c>
      <c r="DJ67" s="320"/>
      <c r="DK67" s="320"/>
      <c r="DL67" s="320"/>
      <c r="DM67" s="352">
        <f t="shared" si="226"/>
        <v>0.45047132101347082</v>
      </c>
      <c r="DN67" s="320"/>
      <c r="DO67" s="320"/>
      <c r="DP67" s="320"/>
      <c r="DQ67" s="352">
        <f t="shared" si="227"/>
        <v>2.2930212986909111</v>
      </c>
      <c r="DR67" s="320"/>
      <c r="DS67" s="320"/>
      <c r="DT67" s="320"/>
      <c r="DV67" s="38">
        <f t="shared" si="273"/>
        <v>0</v>
      </c>
      <c r="DW67" s="56"/>
      <c r="DX67" s="38">
        <v>0.86622318286730282</v>
      </c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K67"/>
      <c r="FL67"/>
      <c r="FM67"/>
      <c r="FN67"/>
    </row>
    <row r="68" spans="1:170" ht="15.75" thickBot="1" x14ac:dyDescent="0.25">
      <c r="A68" s="202">
        <v>61</v>
      </c>
      <c r="B68" s="203">
        <v>43703</v>
      </c>
      <c r="C68" s="60">
        <v>0.41666666666666669</v>
      </c>
      <c r="D68" s="87">
        <f t="shared" si="228"/>
        <v>1967.4999999999418</v>
      </c>
      <c r="E68" s="87">
        <f t="shared" si="229"/>
        <v>81.979166666664241</v>
      </c>
      <c r="F68" s="116">
        <v>1</v>
      </c>
      <c r="G68" s="258">
        <v>10400000</v>
      </c>
      <c r="H68" s="258">
        <v>10480000</v>
      </c>
      <c r="I68" s="258"/>
      <c r="J68" s="301">
        <f t="shared" si="230"/>
        <v>10440000</v>
      </c>
      <c r="K68" s="258">
        <f t="shared" si="231"/>
        <v>56568.5424949238</v>
      </c>
      <c r="L68" s="257">
        <f t="shared" si="232"/>
        <v>5.4184427677130076E-3</v>
      </c>
      <c r="M68" s="118">
        <f t="shared" si="233"/>
        <v>10440000</v>
      </c>
      <c r="N68" s="204">
        <v>420000</v>
      </c>
      <c r="O68" s="88">
        <f t="shared" si="234"/>
        <v>420000</v>
      </c>
      <c r="P68" s="38">
        <v>7.13</v>
      </c>
      <c r="Q68" s="38">
        <v>60</v>
      </c>
      <c r="R68" s="84">
        <f t="shared" si="235"/>
        <v>1.8230126605633598E-2</v>
      </c>
      <c r="S68" s="109">
        <f t="shared" si="225"/>
        <v>0.43752303853520635</v>
      </c>
      <c r="T68" s="311">
        <f t="shared" si="15"/>
        <v>23253703.703709994</v>
      </c>
      <c r="U68" s="84" t="e">
        <f>#REF!</f>
        <v>#REF!</v>
      </c>
      <c r="V68" s="63">
        <f t="shared" si="236"/>
        <v>10860000</v>
      </c>
      <c r="W68" s="89">
        <f t="shared" si="237"/>
        <v>10860000</v>
      </c>
      <c r="X68" s="90">
        <f t="shared" si="238"/>
        <v>0.96132596685082872</v>
      </c>
      <c r="Y68" s="61">
        <f t="shared" si="239"/>
        <v>13209819986.110851</v>
      </c>
      <c r="Z68" s="148">
        <f t="shared" si="240"/>
        <v>750408856.22217178</v>
      </c>
      <c r="AA68" s="27">
        <v>63.4</v>
      </c>
      <c r="AB68" s="27">
        <v>0</v>
      </c>
      <c r="AC68" s="27">
        <v>0</v>
      </c>
      <c r="AD68" s="27">
        <v>0</v>
      </c>
      <c r="AE68" s="27">
        <f t="shared" si="241"/>
        <v>3.0069444444452529</v>
      </c>
      <c r="AF68" s="27">
        <f t="shared" si="242"/>
        <v>2.6999999999999957</v>
      </c>
      <c r="AG68" s="27">
        <f t="shared" si="243"/>
        <v>63.4</v>
      </c>
      <c r="AH68" s="27">
        <f t="shared" si="244"/>
        <v>0.89792147805980338</v>
      </c>
      <c r="AI68" s="27">
        <f t="shared" si="245"/>
        <v>0.44896073902990169</v>
      </c>
      <c r="AJ68" s="109">
        <f t="shared" si="246"/>
        <v>1.8706697459579237E-2</v>
      </c>
      <c r="AK68" s="109">
        <f t="shared" si="247"/>
        <v>4.3003902205929277E-2</v>
      </c>
      <c r="AL68" s="27">
        <f t="shared" si="248"/>
        <v>2.6999999999999957</v>
      </c>
      <c r="AM68" s="27">
        <f t="shared" si="249"/>
        <v>63.4</v>
      </c>
      <c r="AN68" s="27">
        <f t="shared" si="250"/>
        <v>0.89792147805980338</v>
      </c>
      <c r="AO68" s="27">
        <f t="shared" si="251"/>
        <v>0.44896073902990169</v>
      </c>
      <c r="AP68" s="27">
        <f t="shared" si="252"/>
        <v>1.8706697459579237E-2</v>
      </c>
      <c r="AQ68" s="27">
        <f t="shared" si="253"/>
        <v>0</v>
      </c>
      <c r="AR68" s="27">
        <f t="shared" si="254"/>
        <v>0</v>
      </c>
      <c r="AS68" s="27">
        <f t="shared" si="255"/>
        <v>0</v>
      </c>
      <c r="AT68" s="27">
        <f t="shared" si="256"/>
        <v>0</v>
      </c>
      <c r="AU68" s="145">
        <f t="shared" si="257"/>
        <v>10440000</v>
      </c>
      <c r="AV68" s="27">
        <v>1</v>
      </c>
      <c r="AW68" s="27">
        <f t="shared" si="258"/>
        <v>1.8706697459579237E-2</v>
      </c>
      <c r="AX68" s="145">
        <f t="shared" si="259"/>
        <v>195297.92147800722</v>
      </c>
      <c r="AY68" s="145">
        <f t="shared" si="260"/>
        <v>213435765.50153261</v>
      </c>
      <c r="AZ68" s="27">
        <f t="shared" si="261"/>
        <v>0</v>
      </c>
      <c r="BA68" s="145">
        <f t="shared" si="262"/>
        <v>0</v>
      </c>
      <c r="BB68" s="145">
        <f t="shared" si="263"/>
        <v>0</v>
      </c>
      <c r="BC68" s="145">
        <f t="shared" si="264"/>
        <v>223875765.50153261</v>
      </c>
      <c r="BD68" s="145">
        <f t="shared" si="265"/>
        <v>13209819986.110851</v>
      </c>
      <c r="BE68" s="84">
        <f t="shared" si="266"/>
        <v>1.7051274593080864E-2</v>
      </c>
      <c r="BF68" s="84">
        <f t="shared" si="267"/>
        <v>1.8230173575909715E-2</v>
      </c>
      <c r="BG68" s="84">
        <f t="shared" si="268"/>
        <v>1.8230126605633598E-2</v>
      </c>
      <c r="BH68" s="38">
        <f t="shared" si="269"/>
        <v>23.275247333333333</v>
      </c>
      <c r="BI68" s="193" t="s">
        <v>307</v>
      </c>
      <c r="BJ68" s="320">
        <f t="shared" si="61"/>
        <v>10.473861299999999</v>
      </c>
      <c r="BK68" s="193" t="s">
        <v>307</v>
      </c>
      <c r="BL68" s="38">
        <f>'Analisis economico'!$C$5/BJ68</f>
        <v>0.33989375055023885</v>
      </c>
      <c r="BM68" s="193" t="s">
        <v>307</v>
      </c>
      <c r="BN68" s="38">
        <f t="shared" si="160"/>
        <v>23.275247333333333</v>
      </c>
      <c r="BO68" s="38">
        <f t="shared" si="161"/>
        <v>0.43540301016154509</v>
      </c>
      <c r="BP68" s="38">
        <f t="shared" si="164"/>
        <v>411.33700798142957</v>
      </c>
      <c r="BQ68" s="27">
        <f t="shared" si="270"/>
        <v>434.61225531476288</v>
      </c>
      <c r="BR68" s="211">
        <v>23.275247333333333</v>
      </c>
      <c r="BS68" s="61">
        <f t="shared" si="178"/>
        <v>3.9801231749406409E-8</v>
      </c>
      <c r="BT68" s="230" t="s">
        <v>219</v>
      </c>
      <c r="BU68" s="342">
        <f t="shared" si="62"/>
        <v>0.95522956198575382</v>
      </c>
      <c r="BV68" s="230" t="s">
        <v>219</v>
      </c>
      <c r="BW68" s="342"/>
      <c r="BX68" s="27">
        <f t="shared" si="165"/>
        <v>0.82820681270604157</v>
      </c>
      <c r="BY68" s="56"/>
      <c r="BZ68" s="57">
        <v>66.430000000000007</v>
      </c>
      <c r="CA68" s="38">
        <f t="shared" si="163"/>
        <v>1.2426859122398488</v>
      </c>
      <c r="CB68" s="245">
        <f t="shared" si="166"/>
        <v>628.55112580048569</v>
      </c>
      <c r="CC68" s="58">
        <f t="shared" si="271"/>
        <v>694.98112580048564</v>
      </c>
      <c r="CD68" s="38">
        <v>77.119</v>
      </c>
      <c r="CE68" s="35"/>
      <c r="CF68" s="80">
        <f t="shared" si="167"/>
        <v>749970189.55550492</v>
      </c>
      <c r="CG68" s="77">
        <f t="shared" si="168"/>
        <v>749970189.55550492</v>
      </c>
      <c r="CH68" s="62"/>
      <c r="CI68" s="93">
        <f t="shared" si="272"/>
        <v>33196666.666675568</v>
      </c>
      <c r="CJ68" s="58"/>
      <c r="CK68" s="325">
        <v>0.36070404038151127</v>
      </c>
      <c r="CL68" s="325">
        <f>AVERAGE(CK68:CK71)</f>
        <v>0.23275744698297254</v>
      </c>
      <c r="CM68" s="325">
        <f>STDEV(CK68:CK71)</f>
        <v>9.9351436484032135E-2</v>
      </c>
      <c r="CN68" s="329">
        <f>CM68/CL68</f>
        <v>0.42684536100492726</v>
      </c>
      <c r="CO68" s="38">
        <f t="shared" si="169"/>
        <v>-41.671544783744231</v>
      </c>
      <c r="CP68" s="326">
        <f>AVERAGE(CO68:CO71)</f>
        <v>-42.981434283589991</v>
      </c>
      <c r="CQ68" s="326">
        <f>STDEV(CO68:CO71)</f>
        <v>1.0479677994531913</v>
      </c>
      <c r="CR68" s="329">
        <f>CQ68/CP68</f>
        <v>-2.4381871310732366E-2</v>
      </c>
      <c r="CS68" s="58">
        <f t="shared" si="170"/>
        <v>-41.671544783744224</v>
      </c>
      <c r="CT68" s="326">
        <f>AVERAGE(CS68:CS71)</f>
        <v>-42.981434283589991</v>
      </c>
      <c r="CU68" s="326">
        <f>STDEV(CS68:CS71)</f>
        <v>1.047967799453196</v>
      </c>
      <c r="CV68" s="329">
        <f>CU68/CT68</f>
        <v>-2.4381871310732474E-2</v>
      </c>
      <c r="CW68" s="320">
        <v>23.979737210520724</v>
      </c>
      <c r="CX68" s="326">
        <f>AVERAGE(CW68:CW71)</f>
        <v>23.058627821353745</v>
      </c>
      <c r="CY68" s="326">
        <f>STDEV(CW68:CW71)</f>
        <v>1.4088168796578617</v>
      </c>
      <c r="CZ68" s="329">
        <f>CY68/CX68</f>
        <v>6.1097168945725741E-2</v>
      </c>
      <c r="DA68" s="38">
        <f t="shared" si="171"/>
        <v>43.370003562273197</v>
      </c>
      <c r="DB68" s="326">
        <f>AVERAGE(DA68:DA71)</f>
        <v>42.021841858237494</v>
      </c>
      <c r="DC68" s="326">
        <f>STDEV(DA68:DA71)</f>
        <v>9.1469143830722608</v>
      </c>
      <c r="DD68" s="329">
        <f>DC68/DB68</f>
        <v>0.21767047750857216</v>
      </c>
      <c r="DE68" s="38">
        <f t="shared" si="172"/>
        <v>43.370003562273205</v>
      </c>
      <c r="DF68" s="326">
        <f>AVERAGE(DE68:DE71)</f>
        <v>42.021841858237501</v>
      </c>
      <c r="DG68" s="326">
        <f>STDEV(DE68:DE71)</f>
        <v>9.146914383072243</v>
      </c>
      <c r="DH68" s="329">
        <f>DG68/DF68</f>
        <v>0.21767047750857171</v>
      </c>
      <c r="DI68" s="325">
        <f t="shared" si="173"/>
        <v>-1.0144014970447424</v>
      </c>
      <c r="DJ68" s="325">
        <f>-AVERAGE(DI68:DI71)</f>
        <v>0.97024294402203082</v>
      </c>
      <c r="DK68" s="326">
        <f>STDEV(DI68:DI71)</f>
        <v>6.034774350209534E-2</v>
      </c>
      <c r="DL68" s="329">
        <f>DK68/DJ68</f>
        <v>6.2198590439555987E-2</v>
      </c>
      <c r="DM68" s="353">
        <f t="shared" si="226"/>
        <v>0.44163751821687031</v>
      </c>
      <c r="DN68" s="325">
        <f>AVERAGE(DM68:DM71)</f>
        <v>0.43677905504305242</v>
      </c>
      <c r="DO68" s="325">
        <f>STDEV(DM68:DM71)</f>
        <v>2.2244717248456159E-2</v>
      </c>
      <c r="DP68" s="329">
        <f>DO68/DN68</f>
        <v>5.0928992568710842E-2</v>
      </c>
      <c r="DQ68" s="353">
        <f t="shared" si="227"/>
        <v>2.1843240864933242</v>
      </c>
      <c r="DR68" s="325">
        <f>AVERAGE(DQ68:DQ71)</f>
        <v>2.160592424679844</v>
      </c>
      <c r="DS68" s="325">
        <f>STDEV(DQ68:DQ71)</f>
        <v>0.12608973129318307</v>
      </c>
      <c r="DT68" s="329">
        <f>DS68/DR68</f>
        <v>5.8358869471583474E-2</v>
      </c>
      <c r="DV68" s="38">
        <f t="shared" si="273"/>
        <v>0</v>
      </c>
      <c r="DW68" s="56"/>
      <c r="DX68" s="38">
        <v>0.77048945733130958</v>
      </c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K68"/>
      <c r="FL68"/>
      <c r="FM68"/>
      <c r="FN68"/>
    </row>
    <row r="69" spans="1:170" ht="15.75" thickBot="1" x14ac:dyDescent="0.25">
      <c r="A69" s="202">
        <v>62</v>
      </c>
      <c r="B69" s="203">
        <v>43704</v>
      </c>
      <c r="C69" s="60">
        <v>0.63541666666666663</v>
      </c>
      <c r="D69" s="87">
        <f t="shared" si="228"/>
        <v>1996.7499999999418</v>
      </c>
      <c r="E69" s="87">
        <f t="shared" si="229"/>
        <v>83.197916666664241</v>
      </c>
      <c r="F69" s="116">
        <v>1</v>
      </c>
      <c r="G69" s="258">
        <v>10000000</v>
      </c>
      <c r="H69" s="258">
        <v>9640000</v>
      </c>
      <c r="I69" s="258">
        <v>11280000</v>
      </c>
      <c r="J69" s="301">
        <f t="shared" si="230"/>
        <v>10306666.666666666</v>
      </c>
      <c r="K69" s="258">
        <f t="shared" si="231"/>
        <v>861935.80580767919</v>
      </c>
      <c r="L69" s="257">
        <f t="shared" si="232"/>
        <v>8.3628959166333686E-2</v>
      </c>
      <c r="M69" s="118">
        <f t="shared" si="233"/>
        <v>10306666.666666666</v>
      </c>
      <c r="N69" s="204">
        <v>450000</v>
      </c>
      <c r="O69" s="88">
        <f t="shared" si="234"/>
        <v>450000</v>
      </c>
      <c r="P69" s="38">
        <v>7.11</v>
      </c>
      <c r="Q69" s="38">
        <v>65.7</v>
      </c>
      <c r="R69" s="84">
        <f t="shared" si="235"/>
        <v>1.8476560782563059E-2</v>
      </c>
      <c r="S69" s="109">
        <f t="shared" si="225"/>
        <v>0.44343745878151342</v>
      </c>
      <c r="T69" s="311">
        <f t="shared" si="15"/>
        <v>22838636.363636333</v>
      </c>
      <c r="U69" s="84" t="e">
        <f>#REF!</f>
        <v>#REF!</v>
      </c>
      <c r="V69" s="63">
        <f t="shared" si="236"/>
        <v>10756666.666666666</v>
      </c>
      <c r="W69" s="89">
        <f t="shared" si="237"/>
        <v>10756666.666666666</v>
      </c>
      <c r="X69" s="90">
        <f t="shared" si="238"/>
        <v>0.95816547877285407</v>
      </c>
      <c r="Y69" s="61">
        <f t="shared" si="239"/>
        <v>13513239986.110851</v>
      </c>
      <c r="Z69" s="148">
        <f t="shared" si="240"/>
        <v>763132606.22217178</v>
      </c>
      <c r="AA69" s="27">
        <v>64.5</v>
      </c>
      <c r="AB69" s="27">
        <v>0</v>
      </c>
      <c r="AC69" s="27">
        <v>0</v>
      </c>
      <c r="AD69" s="27">
        <v>0</v>
      </c>
      <c r="AE69" s="27">
        <f t="shared" si="241"/>
        <v>1.21875</v>
      </c>
      <c r="AF69" s="27">
        <f t="shared" si="242"/>
        <v>1.1000000000000014</v>
      </c>
      <c r="AG69" s="27">
        <f t="shared" si="243"/>
        <v>64.5</v>
      </c>
      <c r="AH69" s="27">
        <f t="shared" si="244"/>
        <v>0.90256410256410369</v>
      </c>
      <c r="AI69" s="27">
        <f t="shared" si="245"/>
        <v>0.45128205128205184</v>
      </c>
      <c r="AJ69" s="109">
        <f t="shared" si="246"/>
        <v>1.8803418803418827E-2</v>
      </c>
      <c r="AK69" s="109">
        <f t="shared" si="247"/>
        <v>4.3785451288685495E-2</v>
      </c>
      <c r="AL69" s="27">
        <f t="shared" si="248"/>
        <v>1.1000000000000014</v>
      </c>
      <c r="AM69" s="27">
        <f t="shared" si="249"/>
        <v>64.5</v>
      </c>
      <c r="AN69" s="27">
        <f t="shared" si="250"/>
        <v>0.90256410256410369</v>
      </c>
      <c r="AO69" s="27">
        <f t="shared" si="251"/>
        <v>0.45128205128205184</v>
      </c>
      <c r="AP69" s="27">
        <f t="shared" si="252"/>
        <v>1.8803418803418827E-2</v>
      </c>
      <c r="AQ69" s="27">
        <f t="shared" si="253"/>
        <v>0</v>
      </c>
      <c r="AR69" s="27">
        <f t="shared" si="254"/>
        <v>0</v>
      </c>
      <c r="AS69" s="27">
        <f t="shared" si="255"/>
        <v>0</v>
      </c>
      <c r="AT69" s="27">
        <f t="shared" si="256"/>
        <v>0</v>
      </c>
      <c r="AU69" s="145">
        <f t="shared" si="257"/>
        <v>10306666.666666666</v>
      </c>
      <c r="AV69" s="27">
        <v>1</v>
      </c>
      <c r="AW69" s="27">
        <f t="shared" si="258"/>
        <v>1.8803418803418827E-2</v>
      </c>
      <c r="AX69" s="145">
        <f t="shared" si="259"/>
        <v>193800.56980057003</v>
      </c>
      <c r="AY69" s="145">
        <f t="shared" si="260"/>
        <v>219126330.9364818</v>
      </c>
      <c r="AZ69" s="27">
        <f t="shared" si="261"/>
        <v>0</v>
      </c>
      <c r="BA69" s="145">
        <f t="shared" si="262"/>
        <v>0</v>
      </c>
      <c r="BB69" s="145">
        <f t="shared" si="263"/>
        <v>0</v>
      </c>
      <c r="BC69" s="145">
        <f t="shared" si="264"/>
        <v>229432997.60314846</v>
      </c>
      <c r="BD69" s="145">
        <f t="shared" si="265"/>
        <v>13513239986.110851</v>
      </c>
      <c r="BE69" s="84">
        <f t="shared" si="266"/>
        <v>1.8315312443529914E-2</v>
      </c>
      <c r="BF69" s="84">
        <f t="shared" si="267"/>
        <v>1.8476563272245637E-2</v>
      </c>
      <c r="BG69" s="84">
        <f t="shared" si="268"/>
        <v>1.8476560782563059E-2</v>
      </c>
      <c r="BH69" s="38">
        <f t="shared" si="269"/>
        <v>25.001357333333335</v>
      </c>
      <c r="BI69" s="193">
        <f>AVERAGE(BH68:BH71)</f>
        <v>24.051650166666668</v>
      </c>
      <c r="BJ69" s="320">
        <f t="shared" si="61"/>
        <v>11.2506108</v>
      </c>
      <c r="BK69" s="193">
        <f>AVERAGE(BJ68:BJ71)</f>
        <v>10.823242575000002</v>
      </c>
      <c r="BL69" s="38">
        <f>'Analisis economico'!$C$5/BJ69</f>
        <v>0.31642726455349429</v>
      </c>
      <c r="BM69" s="193">
        <f>AVERAGE(BL68:BL71)</f>
        <v>0.32919506074730309</v>
      </c>
      <c r="BN69" s="38">
        <f t="shared" si="160"/>
        <v>25.001357333333335</v>
      </c>
      <c r="BO69" s="38">
        <f t="shared" si="161"/>
        <v>0.4701109925925932</v>
      </c>
      <c r="BP69" s="38">
        <f t="shared" si="164"/>
        <v>424.58015027170882</v>
      </c>
      <c r="BQ69" s="27">
        <f t="shared" si="270"/>
        <v>449.58150760504213</v>
      </c>
      <c r="BR69" s="211">
        <v>25.001357333333335</v>
      </c>
      <c r="BS69" s="61">
        <f t="shared" si="178"/>
        <v>4.9443597268912258E-8</v>
      </c>
      <c r="BT69" s="230">
        <f>STDEV(BS68:BS71)</f>
        <v>5.3480812537168529E-9</v>
      </c>
      <c r="BU69" s="342">
        <f t="shared" si="62"/>
        <v>1.1866463344538942</v>
      </c>
      <c r="BV69" s="230">
        <f>STDEV(BU68:BU71)</f>
        <v>0.12835395008920447</v>
      </c>
      <c r="BW69" s="342"/>
      <c r="BX69" s="27">
        <f t="shared" si="165"/>
        <v>0.85475894527270824</v>
      </c>
      <c r="BY69" s="56"/>
      <c r="BZ69" s="57">
        <v>67.430000000000007</v>
      </c>
      <c r="CA69" s="38">
        <f t="shared" si="163"/>
        <v>1.2679145299145316</v>
      </c>
      <c r="CB69" s="245">
        <f t="shared" si="166"/>
        <v>665.2686572669935</v>
      </c>
      <c r="CC69" s="58">
        <f t="shared" si="271"/>
        <v>732.69865726699345</v>
      </c>
      <c r="CD69" s="38">
        <v>78.119</v>
      </c>
      <c r="CE69" s="35"/>
      <c r="CF69" s="80">
        <f t="shared" si="167"/>
        <v>762693939.55550492</v>
      </c>
      <c r="CG69" s="77">
        <f t="shared" si="168"/>
        <v>762693939.55550492</v>
      </c>
      <c r="CH69" s="62"/>
      <c r="CI69" s="93">
        <f t="shared" si="272"/>
        <v>12723750</v>
      </c>
      <c r="CJ69" s="58"/>
      <c r="CK69" s="325">
        <v>0.19844413659203322</v>
      </c>
      <c r="CL69" s="325"/>
      <c r="CM69" s="325"/>
      <c r="CN69" s="325"/>
      <c r="CO69" s="38">
        <f t="shared" si="169"/>
        <v>-43.532048497534014</v>
      </c>
      <c r="CP69" s="326"/>
      <c r="CQ69" s="326"/>
      <c r="CR69" s="327"/>
      <c r="CS69" s="58">
        <f t="shared" si="170"/>
        <v>-43.532048497534021</v>
      </c>
      <c r="CT69" s="58"/>
      <c r="CU69" s="58"/>
      <c r="CV69" s="58"/>
      <c r="CW69" s="325">
        <v>20.987333733692665</v>
      </c>
      <c r="CX69" s="325"/>
      <c r="CY69" s="325"/>
      <c r="CZ69" s="325"/>
      <c r="DA69" s="38">
        <f t="shared" si="171"/>
        <v>30.89295706555481</v>
      </c>
      <c r="DB69" s="325"/>
      <c r="DC69" s="325"/>
      <c r="DD69" s="325"/>
      <c r="DE69" s="38">
        <f t="shared" si="172"/>
        <v>30.89295706555481</v>
      </c>
      <c r="DF69" s="325"/>
      <c r="DG69" s="325"/>
      <c r="DH69" s="325"/>
      <c r="DI69" s="325">
        <f t="shared" si="173"/>
        <v>-0.88176310213225051</v>
      </c>
      <c r="DJ69" s="325"/>
      <c r="DK69" s="325"/>
      <c r="DL69" s="325"/>
      <c r="DM69" s="353">
        <f t="shared" si="226"/>
        <v>0.43302491340542693</v>
      </c>
      <c r="DN69" s="325"/>
      <c r="DO69" s="325"/>
      <c r="DP69" s="325"/>
      <c r="DQ69" s="353">
        <f t="shared" si="227"/>
        <v>2.2782640199801425</v>
      </c>
      <c r="DR69" s="325"/>
      <c r="DS69" s="325"/>
      <c r="DT69" s="325"/>
      <c r="DV69" s="38">
        <f t="shared" si="273"/>
        <v>0</v>
      </c>
      <c r="DW69" s="56"/>
      <c r="DX69" s="38">
        <v>1.0260876806734183</v>
      </c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K69"/>
      <c r="FL69"/>
      <c r="FM69"/>
      <c r="FN69"/>
    </row>
    <row r="70" spans="1:170" ht="15.75" thickBot="1" x14ac:dyDescent="0.25">
      <c r="A70" s="202">
        <v>63</v>
      </c>
      <c r="B70" s="203">
        <v>43705</v>
      </c>
      <c r="C70" s="60">
        <v>0.65277777777777779</v>
      </c>
      <c r="D70" s="87">
        <f t="shared" si="228"/>
        <v>2021.1666666667443</v>
      </c>
      <c r="E70" s="87">
        <f t="shared" si="229"/>
        <v>84.215277777781012</v>
      </c>
      <c r="F70" s="116">
        <v>1</v>
      </c>
      <c r="G70" s="258">
        <v>11000000</v>
      </c>
      <c r="H70" s="258">
        <v>10080000</v>
      </c>
      <c r="I70" s="258">
        <v>8240000</v>
      </c>
      <c r="J70" s="301">
        <f t="shared" si="230"/>
        <v>9773333.333333334</v>
      </c>
      <c r="K70" s="258">
        <f t="shared" si="231"/>
        <v>1405323.2131197946</v>
      </c>
      <c r="L70" s="257">
        <f t="shared" si="232"/>
        <v>0.14379159752248921</v>
      </c>
      <c r="M70" s="118">
        <f t="shared" si="233"/>
        <v>9773333.333333334</v>
      </c>
      <c r="N70" s="204">
        <v>380000</v>
      </c>
      <c r="O70" s="88">
        <f t="shared" si="234"/>
        <v>380000</v>
      </c>
      <c r="P70" s="38">
        <v>7.1</v>
      </c>
      <c r="Q70" s="38">
        <v>70.3</v>
      </c>
      <c r="R70" s="84">
        <f t="shared" si="235"/>
        <v>1.6065925245090838E-2</v>
      </c>
      <c r="S70" s="109">
        <f t="shared" si="225"/>
        <v>0.38558220588218012</v>
      </c>
      <c r="T70" s="311">
        <f t="shared" si="15"/>
        <v>22095576.131810013</v>
      </c>
      <c r="U70" s="84" t="e">
        <f>#REF!</f>
        <v>#REF!</v>
      </c>
      <c r="V70" s="63">
        <f t="shared" si="236"/>
        <v>10153333.333333334</v>
      </c>
      <c r="W70" s="89">
        <f t="shared" si="237"/>
        <v>10153333.333333334</v>
      </c>
      <c r="X70" s="90">
        <f t="shared" si="238"/>
        <v>0.96257386736703876</v>
      </c>
      <c r="Y70" s="61">
        <f t="shared" si="239"/>
        <v>13758383319.445549</v>
      </c>
      <c r="Z70" s="148">
        <f t="shared" si="240"/>
        <v>773265522.8888948</v>
      </c>
      <c r="AA70" s="27">
        <v>65.400000000000006</v>
      </c>
      <c r="AB70" s="27">
        <v>0</v>
      </c>
      <c r="AC70" s="27">
        <v>0</v>
      </c>
      <c r="AD70" s="27">
        <v>0</v>
      </c>
      <c r="AE70" s="27">
        <f t="shared" si="241"/>
        <v>1.0173611111167702</v>
      </c>
      <c r="AF70" s="27">
        <f t="shared" si="242"/>
        <v>0.90000000000000568</v>
      </c>
      <c r="AG70" s="27">
        <f t="shared" si="243"/>
        <v>65.400000000000006</v>
      </c>
      <c r="AH70" s="27">
        <f t="shared" si="244"/>
        <v>0.8846416382203407</v>
      </c>
      <c r="AI70" s="27">
        <f t="shared" si="245"/>
        <v>0.44232081911017035</v>
      </c>
      <c r="AJ70" s="109">
        <f t="shared" si="246"/>
        <v>1.843003412959043E-2</v>
      </c>
      <c r="AK70" s="109">
        <f t="shared" si="247"/>
        <v>4.5257928285488094E-2</v>
      </c>
      <c r="AL70" s="27">
        <f t="shared" si="248"/>
        <v>0.90000000000000568</v>
      </c>
      <c r="AM70" s="27">
        <f t="shared" si="249"/>
        <v>65.400000000000006</v>
      </c>
      <c r="AN70" s="27">
        <f t="shared" si="250"/>
        <v>0.8846416382203407</v>
      </c>
      <c r="AO70" s="27">
        <f t="shared" si="251"/>
        <v>0.44232081911017035</v>
      </c>
      <c r="AP70" s="27">
        <f t="shared" si="252"/>
        <v>1.843003412959043E-2</v>
      </c>
      <c r="AQ70" s="27">
        <f t="shared" si="253"/>
        <v>0</v>
      </c>
      <c r="AR70" s="27">
        <f t="shared" si="254"/>
        <v>0</v>
      </c>
      <c r="AS70" s="27">
        <f t="shared" si="255"/>
        <v>0</v>
      </c>
      <c r="AT70" s="27">
        <f t="shared" si="256"/>
        <v>0</v>
      </c>
      <c r="AU70" s="145">
        <f t="shared" si="257"/>
        <v>9773333.333333334</v>
      </c>
      <c r="AV70" s="27">
        <v>1</v>
      </c>
      <c r="AW70" s="27">
        <f t="shared" si="258"/>
        <v>1.843003412959043E-2</v>
      </c>
      <c r="AX70" s="145">
        <f t="shared" si="259"/>
        <v>180122.86689319715</v>
      </c>
      <c r="AY70" s="145">
        <f t="shared" si="260"/>
        <v>223691312.89281029</v>
      </c>
      <c r="AZ70" s="27">
        <f t="shared" si="261"/>
        <v>0</v>
      </c>
      <c r="BA70" s="145">
        <f t="shared" si="262"/>
        <v>0</v>
      </c>
      <c r="BB70" s="145">
        <f t="shared" si="263"/>
        <v>0</v>
      </c>
      <c r="BC70" s="145">
        <f t="shared" si="264"/>
        <v>233464646.22614363</v>
      </c>
      <c r="BD70" s="145">
        <f t="shared" si="265"/>
        <v>13758383319.445549</v>
      </c>
      <c r="BE70" s="84">
        <f t="shared" si="266"/>
        <v>1.6446087144824373E-2</v>
      </c>
      <c r="BF70" s="84">
        <f t="shared" si="267"/>
        <v>1.6066581464761736E-2</v>
      </c>
      <c r="BG70" s="84">
        <f t="shared" si="268"/>
        <v>1.6065925245090838E-2</v>
      </c>
      <c r="BH70" s="38">
        <f t="shared" si="269"/>
        <v>23.510940666666666</v>
      </c>
      <c r="BI70" s="38" t="s">
        <v>219</v>
      </c>
      <c r="BJ70" s="320">
        <f t="shared" si="61"/>
        <v>10.579923300000001</v>
      </c>
      <c r="BK70" s="38" t="s">
        <v>219</v>
      </c>
      <c r="BL70" s="38">
        <f>'Analisis economico'!$C$5/BJ70</f>
        <v>0.33648637131424192</v>
      </c>
      <c r="BM70" s="38" t="s">
        <v>219</v>
      </c>
      <c r="BN70" s="38">
        <f t="shared" si="160"/>
        <v>23.510940666666666</v>
      </c>
      <c r="BO70" s="38">
        <f t="shared" si="161"/>
        <v>0.43330743890544227</v>
      </c>
      <c r="BP70" s="38">
        <f t="shared" si="164"/>
        <v>435.60938362297537</v>
      </c>
      <c r="BQ70" s="27">
        <f t="shared" si="270"/>
        <v>459.12032428964204</v>
      </c>
      <c r="BR70" s="211">
        <v>23.510940666666666</v>
      </c>
      <c r="BS70" s="61">
        <f t="shared" si="178"/>
        <v>3.844628469037559E-8</v>
      </c>
      <c r="BT70" s="230"/>
      <c r="BU70" s="342">
        <f t="shared" si="62"/>
        <v>0.92271083256901421</v>
      </c>
      <c r="BV70" s="230"/>
      <c r="BW70" s="342"/>
      <c r="BX70" s="27">
        <f t="shared" si="165"/>
        <v>0.87658947937270837</v>
      </c>
      <c r="BY70" s="56"/>
      <c r="BZ70" s="57">
        <v>68.430000000000007</v>
      </c>
      <c r="CA70" s="38">
        <f t="shared" si="163"/>
        <v>1.2611672354878734</v>
      </c>
      <c r="CB70" s="245">
        <f t="shared" si="166"/>
        <v>696.14453048645294</v>
      </c>
      <c r="CC70" s="58">
        <f t="shared" si="271"/>
        <v>764.57453048645289</v>
      </c>
      <c r="CD70" s="38">
        <v>79.119</v>
      </c>
      <c r="CE70" s="35"/>
      <c r="CF70" s="80">
        <f t="shared" si="167"/>
        <v>772826856.22222793</v>
      </c>
      <c r="CG70" s="77">
        <f t="shared" si="168"/>
        <v>772826856.22222793</v>
      </c>
      <c r="CH70" s="62"/>
      <c r="CI70" s="93">
        <f t="shared" si="272"/>
        <v>10132916.666723013</v>
      </c>
      <c r="CJ70" s="58"/>
      <c r="CK70" s="325">
        <v>0.12396986907082309</v>
      </c>
      <c r="CL70" s="325"/>
      <c r="CM70" s="325"/>
      <c r="CN70" s="325"/>
      <c r="CO70" s="38">
        <f t="shared" si="169"/>
        <v>-44.063735975634856</v>
      </c>
      <c r="CP70" s="326"/>
      <c r="CQ70" s="326"/>
      <c r="CR70" s="327"/>
      <c r="CS70" s="58">
        <f t="shared" si="170"/>
        <v>-44.063735975634856</v>
      </c>
      <c r="CT70" s="58"/>
      <c r="CU70" s="58"/>
      <c r="CV70" s="58"/>
      <c r="CW70" s="325">
        <v>23.9113267956212</v>
      </c>
      <c r="CX70" s="325"/>
      <c r="CY70" s="325"/>
      <c r="CZ70" s="325"/>
      <c r="DA70" s="38">
        <f t="shared" si="171"/>
        <v>53.137042332860062</v>
      </c>
      <c r="DB70" s="325"/>
      <c r="DC70" s="325"/>
      <c r="DD70" s="325"/>
      <c r="DE70" s="38">
        <f t="shared" si="172"/>
        <v>53.137042332860062</v>
      </c>
      <c r="DF70" s="325"/>
      <c r="DG70" s="325"/>
      <c r="DH70" s="325"/>
      <c r="DI70" s="325">
        <f t="shared" si="173"/>
        <v>-1.0014783305473509</v>
      </c>
      <c r="DJ70" s="325"/>
      <c r="DK70" s="325"/>
      <c r="DL70" s="325"/>
      <c r="DM70" s="353">
        <f t="shared" si="226"/>
        <v>0.40933661415818412</v>
      </c>
      <c r="DN70" s="325"/>
      <c r="DO70" s="325"/>
      <c r="DP70" s="325"/>
      <c r="DQ70" s="353">
        <f t="shared" si="227"/>
        <v>2.1977996102639277</v>
      </c>
      <c r="DR70" s="325"/>
      <c r="DS70" s="325"/>
      <c r="DT70" s="325"/>
      <c r="DV70" s="38">
        <f t="shared" si="273"/>
        <v>0</v>
      </c>
      <c r="DW70" s="56"/>
      <c r="DX70" s="38">
        <v>1.103128097898024</v>
      </c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K70"/>
      <c r="FL70"/>
      <c r="FM70"/>
      <c r="FN70"/>
    </row>
    <row r="71" spans="1:170" ht="15" x14ac:dyDescent="0.2">
      <c r="A71" s="202">
        <v>64</v>
      </c>
      <c r="B71" s="203">
        <v>43706</v>
      </c>
      <c r="C71" s="60">
        <v>0.70486111111111116</v>
      </c>
      <c r="D71" s="87">
        <f t="shared" si="228"/>
        <v>2046.4166666666279</v>
      </c>
      <c r="E71" s="87">
        <f t="shared" si="229"/>
        <v>85.267361111109494</v>
      </c>
      <c r="F71" s="116">
        <v>1</v>
      </c>
      <c r="G71" s="258">
        <v>9920000</v>
      </c>
      <c r="H71" s="258">
        <v>11600000</v>
      </c>
      <c r="I71" s="258">
        <v>11480000</v>
      </c>
      <c r="J71" s="301">
        <f t="shared" si="230"/>
        <v>11000000</v>
      </c>
      <c r="K71" s="258">
        <f t="shared" si="231"/>
        <v>937229.96110879851</v>
      </c>
      <c r="L71" s="257">
        <f t="shared" si="232"/>
        <v>8.5202723737163505E-2</v>
      </c>
      <c r="M71" s="118">
        <f t="shared" si="233"/>
        <v>11000000</v>
      </c>
      <c r="N71" s="204">
        <v>427000</v>
      </c>
      <c r="O71" s="88">
        <f t="shared" si="234"/>
        <v>427000</v>
      </c>
      <c r="P71" s="38">
        <v>7.1</v>
      </c>
      <c r="Q71" s="38">
        <v>71.400000000000006</v>
      </c>
      <c r="R71" s="84">
        <f t="shared" si="235"/>
        <v>2.3492155143302926E-2</v>
      </c>
      <c r="S71" s="109">
        <f t="shared" si="225"/>
        <v>0.56381172343927022</v>
      </c>
      <c r="T71" s="311">
        <f t="shared" si="15"/>
        <v>24364035.087607257</v>
      </c>
      <c r="U71" s="84" t="e">
        <f>#REF!</f>
        <v>#REF!</v>
      </c>
      <c r="V71" s="63">
        <f t="shared" si="236"/>
        <v>11427000</v>
      </c>
      <c r="W71" s="89">
        <f t="shared" si="237"/>
        <v>11427000</v>
      </c>
      <c r="X71" s="90">
        <f t="shared" si="238"/>
        <v>0.96263236194976809</v>
      </c>
      <c r="Y71" s="61">
        <f t="shared" si="239"/>
        <v>14020646652.777674</v>
      </c>
      <c r="Z71" s="148">
        <f t="shared" si="240"/>
        <v>783453897.88884783</v>
      </c>
      <c r="AA71" s="27">
        <v>66.349999999999994</v>
      </c>
      <c r="AB71" s="27">
        <v>0</v>
      </c>
      <c r="AC71" s="27">
        <v>0</v>
      </c>
      <c r="AD71" s="27">
        <v>0</v>
      </c>
      <c r="AE71" s="27">
        <f t="shared" si="241"/>
        <v>1.0520833333284827</v>
      </c>
      <c r="AF71" s="27">
        <f t="shared" si="242"/>
        <v>0.94999999999998863</v>
      </c>
      <c r="AG71" s="27">
        <f t="shared" si="243"/>
        <v>66.349999999999994</v>
      </c>
      <c r="AH71" s="27">
        <f t="shared" si="244"/>
        <v>0.90297029703385534</v>
      </c>
      <c r="AI71" s="27">
        <f t="shared" si="245"/>
        <v>0.45148514851692767</v>
      </c>
      <c r="AJ71" s="109">
        <f t="shared" si="246"/>
        <v>1.8811881188205318E-2</v>
      </c>
      <c r="AK71" s="109">
        <f t="shared" si="247"/>
        <v>4.1044104410629785E-2</v>
      </c>
      <c r="AL71" s="27">
        <f t="shared" si="248"/>
        <v>0.94999999999998863</v>
      </c>
      <c r="AM71" s="27">
        <f t="shared" si="249"/>
        <v>66.349999999999994</v>
      </c>
      <c r="AN71" s="27">
        <f t="shared" si="250"/>
        <v>0.90297029703385534</v>
      </c>
      <c r="AO71" s="27">
        <f t="shared" si="251"/>
        <v>0.45148514851692767</v>
      </c>
      <c r="AP71" s="27">
        <f t="shared" si="252"/>
        <v>1.8811881188205318E-2</v>
      </c>
      <c r="AQ71" s="27">
        <f t="shared" si="253"/>
        <v>0</v>
      </c>
      <c r="AR71" s="27">
        <f t="shared" si="254"/>
        <v>0</v>
      </c>
      <c r="AS71" s="27">
        <f t="shared" si="255"/>
        <v>0</v>
      </c>
      <c r="AT71" s="27">
        <f t="shared" si="256"/>
        <v>0</v>
      </c>
      <c r="AU71" s="145">
        <f t="shared" si="257"/>
        <v>11000000</v>
      </c>
      <c r="AV71" s="27">
        <v>1</v>
      </c>
      <c r="AW71" s="27">
        <f t="shared" si="258"/>
        <v>1.8811881188205318E-2</v>
      </c>
      <c r="AX71" s="145">
        <f t="shared" si="259"/>
        <v>206930.69307025851</v>
      </c>
      <c r="AY71" s="145">
        <f t="shared" si="260"/>
        <v>228577864.08732638</v>
      </c>
      <c r="AZ71" s="27">
        <f t="shared" si="261"/>
        <v>0</v>
      </c>
      <c r="BA71" s="145">
        <f t="shared" si="262"/>
        <v>0</v>
      </c>
      <c r="BB71" s="145">
        <f t="shared" si="263"/>
        <v>0</v>
      </c>
      <c r="BC71" s="145">
        <f t="shared" si="264"/>
        <v>239577864.08732638</v>
      </c>
      <c r="BD71" s="145">
        <f t="shared" si="265"/>
        <v>14020646652.777674</v>
      </c>
      <c r="BE71" s="84">
        <f t="shared" si="266"/>
        <v>2.3309464512300315E-2</v>
      </c>
      <c r="BF71" s="84">
        <f t="shared" si="267"/>
        <v>2.3486715765180185E-2</v>
      </c>
      <c r="BG71" s="84">
        <f t="shared" si="268"/>
        <v>2.3492155143302926E-2</v>
      </c>
      <c r="BH71" s="38">
        <f t="shared" si="269"/>
        <v>24.419055333333333</v>
      </c>
      <c r="BI71" s="38">
        <f>STDEV(BH68:BH71)</f>
        <v>0.80251653812858592</v>
      </c>
      <c r="BJ71" s="320">
        <f t="shared" si="61"/>
        <v>10.9885749</v>
      </c>
      <c r="BK71" s="38">
        <f>STDEV(BJ68:BJ71)</f>
        <v>0.3611324421578635</v>
      </c>
      <c r="BL71" s="38">
        <f>'Analisis economico'!$C$5/BJ71</f>
        <v>0.32397285657123748</v>
      </c>
      <c r="BM71" s="38">
        <f>STDEV(BL68:BL71)</f>
        <v>1.0922655498033295E-2</v>
      </c>
      <c r="BN71" s="38">
        <f t="shared" si="160"/>
        <v>24.419055333333333</v>
      </c>
      <c r="BO71" s="38">
        <f t="shared" si="161"/>
        <v>0.45936836765887806</v>
      </c>
      <c r="BP71" s="38">
        <f t="shared" si="164"/>
        <v>446.87941568079793</v>
      </c>
      <c r="BQ71" s="27">
        <f t="shared" si="270"/>
        <v>471.29847101413128</v>
      </c>
      <c r="BR71" s="211">
        <v>24.419055333333333</v>
      </c>
      <c r="BS71" s="61">
        <f t="shared" si="178"/>
        <v>4.6866973589102045E-8</v>
      </c>
      <c r="BT71" s="61" t="s">
        <v>220</v>
      </c>
      <c r="BU71" s="342">
        <f t="shared" si="62"/>
        <v>1.124807366138449</v>
      </c>
      <c r="BV71" s="61" t="s">
        <v>220</v>
      </c>
      <c r="BW71" s="342"/>
      <c r="BX71" s="27">
        <f t="shared" si="165"/>
        <v>0.89935622747270805</v>
      </c>
      <c r="BY71" s="56"/>
      <c r="BZ71" s="57">
        <v>69.430000000000007</v>
      </c>
      <c r="CA71" s="38">
        <f t="shared" si="163"/>
        <v>1.3061089108970954</v>
      </c>
      <c r="CB71" s="245">
        <f t="shared" si="166"/>
        <v>728.55639183441372</v>
      </c>
      <c r="CC71" s="58">
        <f t="shared" si="271"/>
        <v>797.98639183441378</v>
      </c>
      <c r="CD71" s="38">
        <v>80.119</v>
      </c>
      <c r="CE71" s="35"/>
      <c r="CF71" s="80">
        <f t="shared" si="167"/>
        <v>783015231.22218096</v>
      </c>
      <c r="CG71" s="77">
        <f t="shared" si="168"/>
        <v>783015231.22218096</v>
      </c>
      <c r="CH71" s="62"/>
      <c r="CI71" s="93">
        <f t="shared" si="272"/>
        <v>10188374.999953032</v>
      </c>
      <c r="CJ71" s="58"/>
      <c r="CK71" s="38">
        <v>0.24791174188752263</v>
      </c>
      <c r="CL71" s="38"/>
      <c r="CM71" s="38"/>
      <c r="CN71" s="38"/>
      <c r="CO71" s="38">
        <f t="shared" si="169"/>
        <v>-42.658407877446862</v>
      </c>
      <c r="CP71" s="38"/>
      <c r="CQ71" s="38"/>
      <c r="CR71" s="56"/>
      <c r="CS71" s="58">
        <f t="shared" si="170"/>
        <v>-42.658407877446855</v>
      </c>
      <c r="CT71" s="58"/>
      <c r="CU71" s="58"/>
      <c r="CV71" s="58"/>
      <c r="CW71" s="325">
        <v>23.356113545580406</v>
      </c>
      <c r="CX71" s="325"/>
      <c r="CY71" s="325"/>
      <c r="CZ71" s="325"/>
      <c r="DA71" s="38">
        <f t="shared" si="171"/>
        <v>40.687364472261912</v>
      </c>
      <c r="DB71" s="325"/>
      <c r="DC71" s="325"/>
      <c r="DD71" s="325"/>
      <c r="DE71" s="38">
        <f t="shared" si="172"/>
        <v>40.687364472261912</v>
      </c>
      <c r="DF71" s="325"/>
      <c r="DG71" s="325"/>
      <c r="DH71" s="325"/>
      <c r="DI71" s="325">
        <f t="shared" si="173"/>
        <v>-0.98332884636377915</v>
      </c>
      <c r="DJ71" s="38"/>
      <c r="DK71" s="38"/>
      <c r="DL71" s="38"/>
      <c r="DM71" s="353">
        <f t="shared" si="226"/>
        <v>0.46311717439172839</v>
      </c>
      <c r="DN71" s="38"/>
      <c r="DO71" s="38"/>
      <c r="DP71" s="38"/>
      <c r="DQ71" s="353">
        <f t="shared" si="227"/>
        <v>1.9819819819819819</v>
      </c>
      <c r="DR71" s="38"/>
      <c r="DS71" s="38"/>
      <c r="DT71" s="38"/>
      <c r="DV71" s="38">
        <f t="shared" ref="DV71:DV79" si="274">DU71/1000</f>
        <v>0</v>
      </c>
      <c r="DW71" s="56"/>
      <c r="DX71" s="38">
        <f t="shared" ref="DX71:DX79" si="275">DW71/146*1000</f>
        <v>0</v>
      </c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K71"/>
      <c r="FL71"/>
      <c r="FM71"/>
      <c r="FN71"/>
    </row>
    <row r="72" spans="1:170" s="309" customFormat="1" ht="15" x14ac:dyDescent="0.2">
      <c r="A72" s="229">
        <v>65</v>
      </c>
      <c r="B72" s="302">
        <v>43707</v>
      </c>
      <c r="C72" s="225">
        <v>0.4201388888888889</v>
      </c>
      <c r="D72" s="282">
        <f t="shared" si="228"/>
        <v>2063.5833333333721</v>
      </c>
      <c r="E72" s="282">
        <f t="shared" si="229"/>
        <v>85.982638888890506</v>
      </c>
      <c r="F72" s="283">
        <v>1</v>
      </c>
      <c r="G72" s="284">
        <v>9160000</v>
      </c>
      <c r="H72" s="284">
        <v>9200000</v>
      </c>
      <c r="I72" s="284"/>
      <c r="J72" s="284">
        <f t="shared" si="230"/>
        <v>9180000</v>
      </c>
      <c r="K72" s="284">
        <f t="shared" si="231"/>
        <v>28284.2712474619</v>
      </c>
      <c r="L72" s="285">
        <f t="shared" si="232"/>
        <v>3.0810752992877885E-3</v>
      </c>
      <c r="M72" s="286">
        <f t="shared" si="233"/>
        <v>9180000</v>
      </c>
      <c r="N72" s="287">
        <v>400000</v>
      </c>
      <c r="O72" s="288">
        <f t="shared" si="234"/>
        <v>400000</v>
      </c>
      <c r="P72" s="193">
        <v>7.08</v>
      </c>
      <c r="Q72" s="193">
        <v>60.5</v>
      </c>
      <c r="R72" s="289">
        <f t="shared" si="235"/>
        <v>8.6620552903410863E-3</v>
      </c>
      <c r="S72" s="289"/>
      <c r="T72" s="289"/>
      <c r="U72" s="289" t="e">
        <f>#REF!</f>
        <v>#REF!</v>
      </c>
      <c r="V72" s="290">
        <f t="shared" si="236"/>
        <v>9580000</v>
      </c>
      <c r="W72" s="291">
        <f t="shared" si="237"/>
        <v>9580000</v>
      </c>
      <c r="X72" s="292">
        <f t="shared" si="238"/>
        <v>0.95824634655532359</v>
      </c>
      <c r="Y72" s="230">
        <f t="shared" si="239"/>
        <v>14193858319.445124</v>
      </c>
      <c r="Z72" s="293">
        <f t="shared" si="240"/>
        <v>790552314.55554664</v>
      </c>
      <c r="AA72" s="198">
        <v>67</v>
      </c>
      <c r="AB72" s="198">
        <v>0</v>
      </c>
      <c r="AC72" s="198">
        <v>0</v>
      </c>
      <c r="AD72" s="198">
        <v>0</v>
      </c>
      <c r="AE72" s="198">
        <f t="shared" si="241"/>
        <v>0.71527777778101154</v>
      </c>
      <c r="AF72" s="198">
        <f t="shared" si="242"/>
        <v>0.65000000000000568</v>
      </c>
      <c r="AG72" s="198">
        <f t="shared" si="243"/>
        <v>67</v>
      </c>
      <c r="AH72" s="198">
        <f t="shared" si="244"/>
        <v>0.90873786407356949</v>
      </c>
      <c r="AI72" s="198">
        <f t="shared" si="245"/>
        <v>0.45436893203678475</v>
      </c>
      <c r="AJ72" s="294">
        <f t="shared" si="246"/>
        <v>1.8932038834866032E-2</v>
      </c>
      <c r="AK72" s="294">
        <f t="shared" si="247"/>
        <v>4.9495526365662831E-2</v>
      </c>
      <c r="AL72" s="198">
        <f t="shared" si="248"/>
        <v>0.65000000000000568</v>
      </c>
      <c r="AM72" s="198">
        <f t="shared" si="249"/>
        <v>67</v>
      </c>
      <c r="AN72" s="198">
        <f t="shared" si="250"/>
        <v>0.90873786407356949</v>
      </c>
      <c r="AO72" s="198">
        <f t="shared" si="251"/>
        <v>0.45436893203678475</v>
      </c>
      <c r="AP72" s="198">
        <f t="shared" si="252"/>
        <v>1.8932038834866032E-2</v>
      </c>
      <c r="AQ72" s="198">
        <f t="shared" si="253"/>
        <v>0</v>
      </c>
      <c r="AR72" s="198">
        <f t="shared" si="254"/>
        <v>0</v>
      </c>
      <c r="AS72" s="198">
        <f t="shared" si="255"/>
        <v>0</v>
      </c>
      <c r="AT72" s="198">
        <f t="shared" si="256"/>
        <v>0</v>
      </c>
      <c r="AU72" s="295">
        <f t="shared" si="257"/>
        <v>9180000</v>
      </c>
      <c r="AV72" s="198">
        <v>1</v>
      </c>
      <c r="AW72" s="198">
        <f t="shared" si="258"/>
        <v>1.8932038834866032E-2</v>
      </c>
      <c r="AX72" s="295">
        <f t="shared" si="259"/>
        <v>173796.11650407017</v>
      </c>
      <c r="AY72" s="295">
        <f t="shared" si="260"/>
        <v>231845769.20285413</v>
      </c>
      <c r="AZ72" s="198">
        <f t="shared" si="261"/>
        <v>0</v>
      </c>
      <c r="BA72" s="295">
        <f t="shared" si="262"/>
        <v>0</v>
      </c>
      <c r="BB72" s="295">
        <f t="shared" si="263"/>
        <v>0</v>
      </c>
      <c r="BC72" s="295">
        <f t="shared" si="264"/>
        <v>241025769.20285413</v>
      </c>
      <c r="BD72" s="295">
        <f t="shared" si="265"/>
        <v>14193858319.445124</v>
      </c>
      <c r="BE72" s="289">
        <f t="shared" si="266"/>
        <v>8.359166235075783E-3</v>
      </c>
      <c r="BF72" s="289">
        <f t="shared" si="267"/>
        <v>8.6885739889363597E-3</v>
      </c>
      <c r="BG72" s="289">
        <f t="shared" si="268"/>
        <v>8.6620552903410863E-3</v>
      </c>
      <c r="BH72" s="193">
        <f t="shared" si="269"/>
        <v>22.963299333333332</v>
      </c>
      <c r="BI72" s="56" t="s">
        <v>220</v>
      </c>
      <c r="BJ72" s="56"/>
      <c r="BK72" s="56" t="s">
        <v>220</v>
      </c>
      <c r="BL72" s="193"/>
      <c r="BM72" s="56" t="s">
        <v>220</v>
      </c>
      <c r="BN72" s="193">
        <f t="shared" ref="BN72:BN79" si="276">BH72*F72</f>
        <v>22.963299333333332</v>
      </c>
      <c r="BO72" s="193">
        <f t="shared" ref="BO72:BO79" si="277">BN72*AJ72</f>
        <v>0.4347420747553199</v>
      </c>
      <c r="BP72" s="193">
        <f t="shared" si="164"/>
        <v>454.55386364488783</v>
      </c>
      <c r="BQ72" s="198">
        <f t="shared" si="270"/>
        <v>477.51716297822117</v>
      </c>
      <c r="BR72" s="234">
        <v>22.963299333333332</v>
      </c>
      <c r="BS72" s="341"/>
      <c r="BT72" s="257">
        <f>BT69/AVERAGE(BS68:BS71)</f>
        <v>0.12255132572787693</v>
      </c>
      <c r="BU72" s="341"/>
      <c r="BV72" s="257">
        <f>BV69/AVERAGE(BU68:BU71)</f>
        <v>0.12255132572787693</v>
      </c>
      <c r="BW72" s="341"/>
      <c r="BX72" s="198">
        <f t="shared" si="165"/>
        <v>0.91475549273937484</v>
      </c>
      <c r="BY72" s="296"/>
      <c r="BZ72" s="297">
        <v>70.430000000000007</v>
      </c>
      <c r="CA72" s="193">
        <f t="shared" ref="CA72:CA79" si="278">BZ72*AJ72</f>
        <v>1.3333834951396148</v>
      </c>
      <c r="CB72" s="298">
        <f t="shared" si="166"/>
        <v>751.21203498633122</v>
      </c>
      <c r="CC72" s="303">
        <f t="shared" si="271"/>
        <v>821.64203498633128</v>
      </c>
      <c r="CD72" s="193">
        <v>81.119</v>
      </c>
      <c r="CE72" s="304"/>
      <c r="CF72" s="305">
        <f t="shared" si="167"/>
        <v>790113647.88887978</v>
      </c>
      <c r="CG72" s="306">
        <f t="shared" si="168"/>
        <v>790113647.88887978</v>
      </c>
      <c r="CH72" s="307"/>
      <c r="CI72" s="308">
        <f t="shared" si="272"/>
        <v>7098416.6666988134</v>
      </c>
      <c r="CJ72" s="303"/>
      <c r="CK72" s="193">
        <v>15.7</v>
      </c>
      <c r="CL72" s="193"/>
      <c r="CM72" s="193"/>
      <c r="CN72" s="193"/>
      <c r="CO72" s="193"/>
      <c r="CP72" s="193"/>
      <c r="CQ72" s="193"/>
      <c r="CR72" s="296"/>
      <c r="CS72" s="296"/>
      <c r="CT72" s="296"/>
      <c r="CU72" s="296"/>
      <c r="CV72" s="296"/>
      <c r="CW72" s="193">
        <v>7.33</v>
      </c>
      <c r="CX72" s="193"/>
      <c r="CY72" s="193"/>
      <c r="CZ72" s="193"/>
      <c r="DA72" s="193"/>
      <c r="DB72" s="193"/>
      <c r="DC72" s="193"/>
      <c r="DD72" s="193"/>
      <c r="DE72" s="193"/>
      <c r="DF72" s="193"/>
      <c r="DG72" s="193"/>
      <c r="DH72" s="193"/>
      <c r="DI72" s="193"/>
      <c r="DJ72" s="193"/>
      <c r="DK72" s="193"/>
      <c r="DL72" s="193"/>
      <c r="DM72" s="193"/>
      <c r="DN72" s="193"/>
      <c r="DO72" s="193"/>
      <c r="DP72" s="193"/>
      <c r="DQ72" s="193"/>
      <c r="DR72" s="193"/>
      <c r="DS72" s="193"/>
      <c r="DT72" s="193"/>
      <c r="DV72" s="193">
        <f t="shared" si="274"/>
        <v>0</v>
      </c>
      <c r="DW72" s="296"/>
      <c r="DX72" s="193">
        <f t="shared" si="275"/>
        <v>0</v>
      </c>
      <c r="DY72" s="310"/>
      <c r="DZ72" s="310"/>
      <c r="EA72" s="310"/>
      <c r="EB72" s="310"/>
      <c r="EC72" s="310"/>
      <c r="ED72" s="310"/>
      <c r="EE72" s="310"/>
      <c r="EF72" s="310"/>
      <c r="EG72" s="310"/>
      <c r="EH72" s="310"/>
      <c r="EI72" s="310"/>
      <c r="EJ72" s="310"/>
      <c r="EK72" s="310"/>
      <c r="EL72" s="310"/>
      <c r="EM72" s="310"/>
      <c r="EN72" s="310"/>
      <c r="EO72" s="310"/>
      <c r="EP72" s="310"/>
      <c r="EQ72" s="310"/>
      <c r="ER72" s="310"/>
      <c r="ES72" s="310"/>
      <c r="ET72" s="310"/>
      <c r="EU72" s="310"/>
      <c r="EV72" s="310"/>
      <c r="EW72" s="310"/>
      <c r="EX72" s="310"/>
      <c r="EY72" s="310"/>
      <c r="EZ72" s="310"/>
      <c r="FK72" s="310"/>
      <c r="FL72" s="310"/>
      <c r="FM72" s="310"/>
      <c r="FN72" s="310"/>
    </row>
    <row r="73" spans="1:170" ht="15" x14ac:dyDescent="0.2">
      <c r="A73" s="229">
        <v>66</v>
      </c>
      <c r="B73" s="302">
        <v>43708</v>
      </c>
      <c r="C73" s="225">
        <v>1.0277777777777799</v>
      </c>
      <c r="D73" s="282">
        <f t="shared" si="228"/>
        <v>2102.1666666667443</v>
      </c>
      <c r="E73" s="282">
        <f t="shared" si="229"/>
        <v>87.590277777781012</v>
      </c>
      <c r="F73" s="283">
        <v>14</v>
      </c>
      <c r="G73" s="284">
        <v>9920000</v>
      </c>
      <c r="H73" s="284">
        <v>11000000</v>
      </c>
      <c r="I73" s="284">
        <v>10560000</v>
      </c>
      <c r="J73" s="284">
        <f t="shared" si="230"/>
        <v>10493333.333333334</v>
      </c>
      <c r="K73" s="284">
        <f t="shared" si="231"/>
        <v>543077.64945110132</v>
      </c>
      <c r="L73" s="285">
        <f t="shared" si="232"/>
        <v>5.17545409260897E-2</v>
      </c>
      <c r="M73" s="286">
        <f t="shared" si="233"/>
        <v>146906666.66666669</v>
      </c>
      <c r="N73" s="287">
        <v>280013</v>
      </c>
      <c r="O73" s="288">
        <f t="shared" si="234"/>
        <v>3920182</v>
      </c>
      <c r="P73" s="193">
        <v>7.12</v>
      </c>
      <c r="Q73" s="193">
        <v>40</v>
      </c>
      <c r="R73" s="289">
        <f t="shared" si="235"/>
        <v>-0.11257568321458106</v>
      </c>
      <c r="S73" s="289"/>
      <c r="T73" s="289"/>
      <c r="U73" s="289" t="e">
        <f>#REF!</f>
        <v>#REF!</v>
      </c>
      <c r="V73" s="290">
        <f t="shared" si="236"/>
        <v>10773346.333333334</v>
      </c>
      <c r="W73" s="291">
        <f t="shared" si="237"/>
        <v>150826848.66666669</v>
      </c>
      <c r="X73" s="292">
        <f t="shared" si="238"/>
        <v>0.97400872567016394</v>
      </c>
      <c r="Y73" s="230">
        <f t="shared" si="239"/>
        <v>17205030263.892597</v>
      </c>
      <c r="Z73" s="293">
        <f t="shared" si="240"/>
        <v>873895825.63896382</v>
      </c>
      <c r="AA73" s="198">
        <v>52.8</v>
      </c>
      <c r="AB73" s="198">
        <v>0</v>
      </c>
      <c r="AC73" s="198">
        <v>0</v>
      </c>
      <c r="AD73" s="198">
        <v>0</v>
      </c>
      <c r="AE73" s="198">
        <f t="shared" si="241"/>
        <v>1.6076388888905058</v>
      </c>
      <c r="AF73" s="198">
        <f t="shared" si="242"/>
        <v>-14.200000000000003</v>
      </c>
      <c r="AG73" s="198">
        <f t="shared" si="243"/>
        <v>52.8</v>
      </c>
      <c r="AH73" s="198">
        <f t="shared" si="244"/>
        <v>-8.8328293736412267</v>
      </c>
      <c r="AI73" s="198">
        <f t="shared" si="245"/>
        <v>-4.4164146868206133</v>
      </c>
      <c r="AJ73" s="294">
        <f t="shared" si="246"/>
        <v>-0.18401727861752556</v>
      </c>
      <c r="AK73" s="294">
        <f t="shared" si="247"/>
        <v>-3.0062724769608452E-2</v>
      </c>
      <c r="AL73" s="198">
        <f t="shared" si="248"/>
        <v>-14.200000000000003</v>
      </c>
      <c r="AM73" s="198">
        <f t="shared" si="249"/>
        <v>52.8</v>
      </c>
      <c r="AN73" s="198">
        <f t="shared" si="250"/>
        <v>-8.8328293736412267</v>
      </c>
      <c r="AO73" s="198">
        <f t="shared" si="251"/>
        <v>-4.4164146868206133</v>
      </c>
      <c r="AP73" s="198">
        <f t="shared" si="252"/>
        <v>-0.18401727861752556</v>
      </c>
      <c r="AQ73" s="198">
        <f t="shared" si="253"/>
        <v>0</v>
      </c>
      <c r="AR73" s="198">
        <f t="shared" si="254"/>
        <v>0</v>
      </c>
      <c r="AS73" s="198">
        <f t="shared" si="255"/>
        <v>0</v>
      </c>
      <c r="AT73" s="198">
        <f t="shared" si="256"/>
        <v>0</v>
      </c>
      <c r="AU73" s="295">
        <f t="shared" si="257"/>
        <v>146906666.66666669</v>
      </c>
      <c r="AV73" s="27">
        <v>1</v>
      </c>
      <c r="AW73" s="198">
        <f t="shared" si="258"/>
        <v>-0.18401727861752556</v>
      </c>
      <c r="AX73" s="295">
        <f t="shared" si="259"/>
        <v>-27033365.01077196</v>
      </c>
      <c r="AY73" s="295">
        <f t="shared" si="260"/>
        <v>-286320080.71625173</v>
      </c>
      <c r="AZ73" s="198">
        <f t="shared" si="261"/>
        <v>0</v>
      </c>
      <c r="BA73" s="295">
        <f t="shared" si="262"/>
        <v>0</v>
      </c>
      <c r="BB73" s="295">
        <f t="shared" si="263"/>
        <v>0</v>
      </c>
      <c r="BC73" s="295">
        <f t="shared" si="264"/>
        <v>-139413414.04958504</v>
      </c>
      <c r="BD73" s="295">
        <f t="shared" si="265"/>
        <v>17205030263.892597</v>
      </c>
      <c r="BE73" s="289">
        <f t="shared" si="266"/>
        <v>-0.12634256371641597</v>
      </c>
      <c r="BF73" s="289">
        <f t="shared" si="267"/>
        <v>-0.13837302487362738</v>
      </c>
      <c r="BG73" s="289">
        <f t="shared" si="268"/>
        <v>-0.11257568321458106</v>
      </c>
      <c r="BH73" s="193">
        <f t="shared" si="269"/>
        <v>69</v>
      </c>
      <c r="BI73" s="346">
        <f>BI71/BI69</f>
        <v>3.3366381623195177E-2</v>
      </c>
      <c r="BJ73" s="346"/>
      <c r="BK73" s="346">
        <f>BK71/BK69</f>
        <v>3.3366381623195156E-2</v>
      </c>
      <c r="BL73" s="193"/>
      <c r="BM73" s="346">
        <f>BM71/BM69</f>
        <v>3.3179888766368064E-2</v>
      </c>
      <c r="BN73" s="193">
        <f t="shared" si="276"/>
        <v>966</v>
      </c>
      <c r="BO73" s="193">
        <f t="shared" si="277"/>
        <v>-177.76069114452969</v>
      </c>
      <c r="BP73" s="193">
        <f t="shared" ref="BP73:BP79" si="279">AVERAGE(BO72:BO73)*(D73-D72)+BP72</f>
        <v>-2966.3592371629502</v>
      </c>
      <c r="BQ73" s="198">
        <f t="shared" si="270"/>
        <v>-2000.3592371629502</v>
      </c>
      <c r="BR73" s="234">
        <v>69</v>
      </c>
      <c r="BS73" s="341"/>
      <c r="BT73" s="341"/>
      <c r="BU73" s="341"/>
      <c r="BV73" s="341"/>
      <c r="BW73" s="341"/>
      <c r="BX73" s="198">
        <f t="shared" ref="BX73:BX79" si="280">(AVERAGE(BH72:BH73)*AF73/1000)+BX72</f>
        <v>0.26181606747270803</v>
      </c>
      <c r="BY73" s="296"/>
      <c r="BZ73" s="297">
        <v>71.430000000000007</v>
      </c>
      <c r="CA73" s="193">
        <f t="shared" si="278"/>
        <v>-13.144354211649853</v>
      </c>
      <c r="CB73" s="298">
        <f t="shared" ref="CB73:CB79" si="281">AVERAGE(CA72:CA73)*(D73-D72)+CB72</f>
        <v>523.35872491342536</v>
      </c>
      <c r="CC73" s="58">
        <f t="shared" si="271"/>
        <v>594.78872491342531</v>
      </c>
      <c r="CD73" s="38">
        <v>82.119</v>
      </c>
      <c r="CE73" s="35"/>
      <c r="CF73" s="80">
        <f t="shared" ref="CF73:CF79" si="282">AVERAGE(N73,N72)*(D73-D72)+CF72</f>
        <v>803232232.01389301</v>
      </c>
      <c r="CG73" s="77">
        <f t="shared" ref="CG73:CG79" si="283">AVERAGE(N73,N72)*(D73-D72)+CG72</f>
        <v>803232232.01389301</v>
      </c>
      <c r="CH73" s="62"/>
      <c r="CI73" s="93">
        <f t="shared" si="272"/>
        <v>13118584.125013232</v>
      </c>
      <c r="CJ73" s="58"/>
      <c r="CK73" s="38">
        <v>15.7</v>
      </c>
      <c r="CL73" s="38"/>
      <c r="CM73" s="38"/>
      <c r="CN73" s="38"/>
      <c r="CO73" s="38"/>
      <c r="CP73" s="38"/>
      <c r="CQ73" s="38"/>
      <c r="CR73" s="56"/>
      <c r="CS73" s="56"/>
      <c r="CT73" s="56"/>
      <c r="CU73" s="56"/>
      <c r="CV73" s="56"/>
      <c r="CW73" s="38">
        <v>7.33</v>
      </c>
      <c r="CX73" s="38"/>
      <c r="CY73" s="38"/>
      <c r="CZ73" s="38"/>
      <c r="DA73" s="38"/>
      <c r="DB73" s="38"/>
      <c r="DC73" s="38"/>
      <c r="DD73" s="38"/>
      <c r="DE73" s="38"/>
      <c r="DF73" s="38"/>
      <c r="DG73" s="38"/>
      <c r="DH73" s="38"/>
      <c r="DI73" s="38"/>
      <c r="DJ73" s="38"/>
      <c r="DK73" s="38"/>
      <c r="DL73" s="38"/>
      <c r="DM73" s="38"/>
      <c r="DN73" s="38"/>
      <c r="DO73" s="38"/>
      <c r="DP73" s="38"/>
      <c r="DQ73" s="38"/>
      <c r="DR73" s="38"/>
      <c r="DS73" s="38"/>
      <c r="DT73" s="38"/>
      <c r="DV73" s="38">
        <f t="shared" si="274"/>
        <v>0</v>
      </c>
      <c r="DW73" s="56"/>
      <c r="DX73" s="38">
        <f t="shared" si="275"/>
        <v>0</v>
      </c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K73"/>
      <c r="FL73"/>
      <c r="FM73"/>
      <c r="FN73"/>
    </row>
    <row r="74" spans="1:170" ht="15" x14ac:dyDescent="0.2">
      <c r="A74" s="229">
        <v>67</v>
      </c>
      <c r="B74" s="302">
        <v>43709</v>
      </c>
      <c r="C74" s="225">
        <v>1.06944444444444</v>
      </c>
      <c r="D74" s="282">
        <f t="shared" si="228"/>
        <v>2127.1666666666861</v>
      </c>
      <c r="E74" s="282">
        <f t="shared" si="229"/>
        <v>88.631944444445253</v>
      </c>
      <c r="F74" s="283">
        <v>15</v>
      </c>
      <c r="G74" s="284">
        <v>9920000</v>
      </c>
      <c r="H74" s="284">
        <v>11000000</v>
      </c>
      <c r="I74" s="284">
        <v>10560000</v>
      </c>
      <c r="J74" s="284">
        <f t="shared" si="230"/>
        <v>10493333.333333334</v>
      </c>
      <c r="K74" s="284">
        <f t="shared" si="231"/>
        <v>543077.64945110132</v>
      </c>
      <c r="L74" s="285">
        <f t="shared" si="232"/>
        <v>5.17545409260897E-2</v>
      </c>
      <c r="M74" s="286">
        <f t="shared" si="233"/>
        <v>157400000</v>
      </c>
      <c r="N74" s="287">
        <v>280014</v>
      </c>
      <c r="O74" s="288">
        <f t="shared" si="234"/>
        <v>4200210</v>
      </c>
      <c r="P74" s="193">
        <v>7.12</v>
      </c>
      <c r="Q74" s="193">
        <v>40</v>
      </c>
      <c r="R74" s="289">
        <f t="shared" si="235"/>
        <v>2.7597185723512345E-3</v>
      </c>
      <c r="S74" s="289"/>
      <c r="T74" s="289"/>
      <c r="U74" s="289" t="e">
        <f>#REF!</f>
        <v>#REF!</v>
      </c>
      <c r="V74" s="290">
        <f t="shared" si="236"/>
        <v>10773347.333333334</v>
      </c>
      <c r="W74" s="291">
        <f t="shared" si="237"/>
        <v>161600210</v>
      </c>
      <c r="X74" s="292">
        <f t="shared" si="238"/>
        <v>0.97400863526105563</v>
      </c>
      <c r="Y74" s="230">
        <f t="shared" si="239"/>
        <v>21008863597.217075</v>
      </c>
      <c r="Z74" s="293">
        <f t="shared" si="240"/>
        <v>975400725.63872743</v>
      </c>
      <c r="AA74" s="198">
        <v>52.8</v>
      </c>
      <c r="AB74" s="198">
        <v>0</v>
      </c>
      <c r="AC74" s="198">
        <v>0</v>
      </c>
      <c r="AD74" s="198">
        <v>0</v>
      </c>
      <c r="AE74" s="198">
        <f t="shared" si="241"/>
        <v>1.0416666666642413</v>
      </c>
      <c r="AF74" s="198">
        <f t="shared" si="242"/>
        <v>0</v>
      </c>
      <c r="AG74" s="198">
        <f t="shared" si="243"/>
        <v>52.8</v>
      </c>
      <c r="AH74" s="198">
        <f t="shared" si="244"/>
        <v>0</v>
      </c>
      <c r="AI74" s="198">
        <f t="shared" si="245"/>
        <v>0</v>
      </c>
      <c r="AJ74" s="294">
        <f t="shared" si="246"/>
        <v>0</v>
      </c>
      <c r="AK74" s="294">
        <f t="shared" si="247"/>
        <v>0</v>
      </c>
      <c r="AL74" s="198">
        <f t="shared" si="248"/>
        <v>0</v>
      </c>
      <c r="AM74" s="198">
        <f t="shared" si="249"/>
        <v>52.8</v>
      </c>
      <c r="AN74" s="198">
        <f t="shared" si="250"/>
        <v>0</v>
      </c>
      <c r="AO74" s="198">
        <f t="shared" si="251"/>
        <v>0</v>
      </c>
      <c r="AP74" s="198">
        <f t="shared" si="252"/>
        <v>0</v>
      </c>
      <c r="AQ74" s="198">
        <f t="shared" si="253"/>
        <v>0</v>
      </c>
      <c r="AR74" s="198">
        <f t="shared" si="254"/>
        <v>0</v>
      </c>
      <c r="AS74" s="198">
        <f t="shared" si="255"/>
        <v>0</v>
      </c>
      <c r="AT74" s="198">
        <f t="shared" si="256"/>
        <v>0</v>
      </c>
      <c r="AU74" s="295">
        <f t="shared" si="257"/>
        <v>157400000</v>
      </c>
      <c r="AV74" s="27">
        <v>1</v>
      </c>
      <c r="AW74" s="198">
        <f t="shared" si="258"/>
        <v>0</v>
      </c>
      <c r="AX74" s="295">
        <f t="shared" si="259"/>
        <v>0</v>
      </c>
      <c r="AY74" s="295">
        <f t="shared" si="260"/>
        <v>-624237143.35011446</v>
      </c>
      <c r="AZ74" s="198">
        <f t="shared" si="261"/>
        <v>0</v>
      </c>
      <c r="BA74" s="295">
        <f t="shared" si="262"/>
        <v>0</v>
      </c>
      <c r="BB74" s="295">
        <f t="shared" si="263"/>
        <v>0</v>
      </c>
      <c r="BC74" s="295">
        <f t="shared" si="264"/>
        <v>-466837143.35011446</v>
      </c>
      <c r="BD74" s="295">
        <f t="shared" si="265"/>
        <v>21008863597.217075</v>
      </c>
      <c r="BE74" s="289">
        <f t="shared" si="266"/>
        <v>-8.6077306918799015E-2</v>
      </c>
      <c r="BF74" s="289">
        <f t="shared" si="267"/>
        <v>2.758624398113395E-3</v>
      </c>
      <c r="BG74" s="289">
        <f t="shared" si="268"/>
        <v>2.7597185723512345E-3</v>
      </c>
      <c r="BH74" s="193">
        <f t="shared" si="269"/>
        <v>70</v>
      </c>
      <c r="BI74" s="193"/>
      <c r="BJ74" s="193"/>
      <c r="BK74" s="193"/>
      <c r="BL74" s="193"/>
      <c r="BM74" s="193"/>
      <c r="BN74" s="193">
        <f t="shared" si="276"/>
        <v>1050</v>
      </c>
      <c r="BO74" s="193">
        <f t="shared" si="277"/>
        <v>0</v>
      </c>
      <c r="BP74" s="193">
        <f t="shared" si="279"/>
        <v>-5188.3678764643973</v>
      </c>
      <c r="BQ74" s="198">
        <f t="shared" si="270"/>
        <v>-4138.3678764643973</v>
      </c>
      <c r="BR74" s="234">
        <v>70</v>
      </c>
      <c r="BS74" s="341"/>
      <c r="BT74" s="341"/>
      <c r="BU74" s="341"/>
      <c r="BV74" s="341"/>
      <c r="BW74" s="341"/>
      <c r="BX74" s="198">
        <f t="shared" si="280"/>
        <v>0.26181606747270803</v>
      </c>
      <c r="BY74" s="296"/>
      <c r="BZ74" s="297">
        <v>72.430000000000007</v>
      </c>
      <c r="CA74" s="193">
        <f t="shared" si="278"/>
        <v>0</v>
      </c>
      <c r="CB74" s="298">
        <f t="shared" si="281"/>
        <v>359.05429726818477</v>
      </c>
      <c r="CC74" s="58">
        <f t="shared" si="271"/>
        <v>431.48429726818478</v>
      </c>
      <c r="CD74" s="38">
        <v>83.119</v>
      </c>
      <c r="CE74" s="35"/>
      <c r="CF74" s="80">
        <f t="shared" si="282"/>
        <v>810232569.51387668</v>
      </c>
      <c r="CG74" s="77">
        <f t="shared" si="283"/>
        <v>810232569.51387668</v>
      </c>
      <c r="CH74" s="62"/>
      <c r="CI74" s="93">
        <f t="shared" si="272"/>
        <v>7000337.4999836683</v>
      </c>
      <c r="CJ74" s="58"/>
      <c r="CK74" s="38">
        <v>15.7</v>
      </c>
      <c r="CL74" s="38"/>
      <c r="CM74" s="38"/>
      <c r="CN74" s="38"/>
      <c r="CO74" s="38"/>
      <c r="CP74" s="38"/>
      <c r="CQ74" s="38"/>
      <c r="CR74" s="56"/>
      <c r="CS74" s="56"/>
      <c r="CT74" s="56"/>
      <c r="CU74" s="56"/>
      <c r="CV74" s="56"/>
      <c r="CW74" s="38">
        <v>7.33</v>
      </c>
      <c r="CX74" s="38"/>
      <c r="CY74" s="38"/>
      <c r="CZ74" s="38"/>
      <c r="DA74" s="38"/>
      <c r="DB74" s="38"/>
      <c r="DC74" s="38"/>
      <c r="DD74" s="38"/>
      <c r="DE74" s="38"/>
      <c r="DF74" s="38"/>
      <c r="DG74" s="38"/>
      <c r="DH74" s="38"/>
      <c r="DI74" s="38"/>
      <c r="DJ74" s="38"/>
      <c r="DK74" s="38"/>
      <c r="DL74" s="38"/>
      <c r="DM74" s="38"/>
      <c r="DN74" s="38"/>
      <c r="DO74" s="38"/>
      <c r="DP74" s="38"/>
      <c r="DQ74" s="38"/>
      <c r="DR74" s="38"/>
      <c r="DS74" s="38"/>
      <c r="DT74" s="38"/>
      <c r="DV74" s="38">
        <f t="shared" si="274"/>
        <v>0</v>
      </c>
      <c r="DW74" s="56"/>
      <c r="DX74" s="38">
        <f t="shared" si="275"/>
        <v>0</v>
      </c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K74"/>
      <c r="FL74"/>
      <c r="FM74"/>
      <c r="FN74"/>
    </row>
    <row r="75" spans="1:170" ht="15" x14ac:dyDescent="0.2">
      <c r="A75" s="229">
        <v>68</v>
      </c>
      <c r="B75" s="302">
        <v>43710</v>
      </c>
      <c r="C75" s="225">
        <v>1.1111111111111101</v>
      </c>
      <c r="D75" s="282">
        <f t="shared" si="228"/>
        <v>2152.1666666666279</v>
      </c>
      <c r="E75" s="282">
        <f t="shared" si="229"/>
        <v>89.673611111109494</v>
      </c>
      <c r="F75" s="283">
        <v>16</v>
      </c>
      <c r="G75" s="284">
        <v>9920000</v>
      </c>
      <c r="H75" s="284">
        <v>11000000</v>
      </c>
      <c r="I75" s="284">
        <v>10560000</v>
      </c>
      <c r="J75" s="284">
        <f t="shared" si="230"/>
        <v>10493333.333333334</v>
      </c>
      <c r="K75" s="284">
        <f t="shared" si="231"/>
        <v>543077.64945110132</v>
      </c>
      <c r="L75" s="285">
        <f t="shared" si="232"/>
        <v>5.17545409260897E-2</v>
      </c>
      <c r="M75" s="286">
        <f t="shared" si="233"/>
        <v>167893333.33333334</v>
      </c>
      <c r="N75" s="287">
        <v>280015</v>
      </c>
      <c r="O75" s="288">
        <f t="shared" si="234"/>
        <v>4480240</v>
      </c>
      <c r="P75" s="193">
        <v>7.12</v>
      </c>
      <c r="Q75" s="193">
        <v>40</v>
      </c>
      <c r="R75" s="289">
        <f t="shared" si="235"/>
        <v>2.5815445583750284E-3</v>
      </c>
      <c r="S75" s="289"/>
      <c r="T75" s="289"/>
      <c r="U75" s="289" t="e">
        <f>#REF!</f>
        <v>#REF!</v>
      </c>
      <c r="V75" s="290">
        <f t="shared" si="236"/>
        <v>10773348.333333334</v>
      </c>
      <c r="W75" s="291">
        <f t="shared" si="237"/>
        <v>172373573.33333334</v>
      </c>
      <c r="X75" s="292">
        <f t="shared" si="238"/>
        <v>0.9740085448519642</v>
      </c>
      <c r="Y75" s="230">
        <f t="shared" si="239"/>
        <v>25075030263.874275</v>
      </c>
      <c r="Z75" s="293">
        <f t="shared" si="240"/>
        <v>1083906350.6384747</v>
      </c>
      <c r="AA75" s="198">
        <v>52.8</v>
      </c>
      <c r="AB75" s="198">
        <v>0</v>
      </c>
      <c r="AC75" s="198">
        <v>0</v>
      </c>
      <c r="AD75" s="198">
        <v>0</v>
      </c>
      <c r="AE75" s="198">
        <f t="shared" si="241"/>
        <v>1.0416666666642413</v>
      </c>
      <c r="AF75" s="198">
        <f t="shared" si="242"/>
        <v>0</v>
      </c>
      <c r="AG75" s="198">
        <f t="shared" si="243"/>
        <v>52.8</v>
      </c>
      <c r="AH75" s="198">
        <f t="shared" si="244"/>
        <v>0</v>
      </c>
      <c r="AI75" s="198">
        <f t="shared" si="245"/>
        <v>0</v>
      </c>
      <c r="AJ75" s="294">
        <f t="shared" si="246"/>
        <v>0</v>
      </c>
      <c r="AK75" s="294">
        <f t="shared" si="247"/>
        <v>0</v>
      </c>
      <c r="AL75" s="198">
        <f t="shared" si="248"/>
        <v>0</v>
      </c>
      <c r="AM75" s="198">
        <f t="shared" si="249"/>
        <v>52.8</v>
      </c>
      <c r="AN75" s="198">
        <f t="shared" si="250"/>
        <v>0</v>
      </c>
      <c r="AO75" s="198">
        <f t="shared" si="251"/>
        <v>0</v>
      </c>
      <c r="AP75" s="198">
        <f t="shared" si="252"/>
        <v>0</v>
      </c>
      <c r="AQ75" s="198">
        <f t="shared" si="253"/>
        <v>0</v>
      </c>
      <c r="AR75" s="198">
        <f t="shared" si="254"/>
        <v>0</v>
      </c>
      <c r="AS75" s="198">
        <f t="shared" si="255"/>
        <v>0</v>
      </c>
      <c r="AT75" s="198">
        <f t="shared" si="256"/>
        <v>0</v>
      </c>
      <c r="AU75" s="295">
        <f t="shared" si="257"/>
        <v>167893333.33333334</v>
      </c>
      <c r="AV75" s="27">
        <v>1</v>
      </c>
      <c r="AW75" s="198">
        <f t="shared" si="258"/>
        <v>0</v>
      </c>
      <c r="AX75" s="295">
        <f t="shared" si="259"/>
        <v>0</v>
      </c>
      <c r="AY75" s="295">
        <f t="shared" si="260"/>
        <v>-624237143.35011446</v>
      </c>
      <c r="AZ75" s="198">
        <f t="shared" si="261"/>
        <v>0</v>
      </c>
      <c r="BA75" s="295">
        <f t="shared" si="262"/>
        <v>0</v>
      </c>
      <c r="BB75" s="295">
        <f t="shared" si="263"/>
        <v>0</v>
      </c>
      <c r="BC75" s="295">
        <f t="shared" si="264"/>
        <v>-456343810.01678109</v>
      </c>
      <c r="BD75" s="295">
        <f t="shared" si="265"/>
        <v>25075030263.874275</v>
      </c>
      <c r="BE75" s="289">
        <f t="shared" si="266"/>
        <v>2.5806451612963408E-3</v>
      </c>
      <c r="BF75" s="289">
        <f t="shared" si="267"/>
        <v>2.5806488702990733E-3</v>
      </c>
      <c r="BG75" s="289">
        <f t="shared" si="268"/>
        <v>2.5815445583750284E-3</v>
      </c>
      <c r="BH75" s="193">
        <f t="shared" si="269"/>
        <v>71</v>
      </c>
      <c r="BI75" s="193"/>
      <c r="BJ75" s="193"/>
      <c r="BK75" s="193"/>
      <c r="BL75" s="193"/>
      <c r="BM75" s="193"/>
      <c r="BN75" s="193">
        <f t="shared" si="276"/>
        <v>1136</v>
      </c>
      <c r="BO75" s="193">
        <f t="shared" si="277"/>
        <v>0</v>
      </c>
      <c r="BP75" s="193">
        <f t="shared" si="279"/>
        <v>-5188.3678764643973</v>
      </c>
      <c r="BQ75" s="198">
        <f t="shared" si="270"/>
        <v>-4052.3678764643973</v>
      </c>
      <c r="BR75" s="234">
        <v>71</v>
      </c>
      <c r="BS75" s="341"/>
      <c r="BT75" s="341"/>
      <c r="BU75" s="341"/>
      <c r="BV75" s="341"/>
      <c r="BW75" s="341"/>
      <c r="BX75" s="198">
        <f t="shared" si="280"/>
        <v>0.26181606747270803</v>
      </c>
      <c r="BY75" s="296"/>
      <c r="BZ75" s="297">
        <v>73.430000000000007</v>
      </c>
      <c r="CA75" s="193">
        <f t="shared" si="278"/>
        <v>0</v>
      </c>
      <c r="CB75" s="298">
        <f t="shared" si="281"/>
        <v>359.05429726818477</v>
      </c>
      <c r="CC75" s="58">
        <f t="shared" si="271"/>
        <v>432.48429726818478</v>
      </c>
      <c r="CD75" s="38">
        <v>84.119</v>
      </c>
      <c r="CE75" s="35"/>
      <c r="CF75" s="80">
        <f t="shared" si="282"/>
        <v>817232932.01386034</v>
      </c>
      <c r="CG75" s="77">
        <f t="shared" si="283"/>
        <v>817232932.01386034</v>
      </c>
      <c r="CH75" s="62"/>
      <c r="CI75" s="93">
        <f t="shared" si="272"/>
        <v>7000362.4999836683</v>
      </c>
      <c r="CJ75" s="58"/>
      <c r="CK75" s="38">
        <v>15.7</v>
      </c>
      <c r="CL75" s="38"/>
      <c r="CM75" s="38"/>
      <c r="CN75" s="38"/>
      <c r="CO75" s="38"/>
      <c r="CP75" s="38"/>
      <c r="CQ75" s="38"/>
      <c r="CR75" s="56"/>
      <c r="CS75" s="56"/>
      <c r="CT75" s="56"/>
      <c r="CU75" s="56"/>
      <c r="CV75" s="56"/>
      <c r="CW75" s="38">
        <v>7.33</v>
      </c>
      <c r="CX75" s="38"/>
      <c r="CY75" s="38"/>
      <c r="CZ75" s="38"/>
      <c r="DA75" s="38"/>
      <c r="DB75" s="38"/>
      <c r="DC75" s="38"/>
      <c r="DD75" s="38"/>
      <c r="DE75" s="38"/>
      <c r="DF75" s="38"/>
      <c r="DG75" s="38"/>
      <c r="DH75" s="38"/>
      <c r="DI75" s="38"/>
      <c r="DJ75" s="38"/>
      <c r="DK75" s="38"/>
      <c r="DL75" s="38"/>
      <c r="DM75" s="38"/>
      <c r="DN75" s="38"/>
      <c r="DO75" s="38"/>
      <c r="DP75" s="38"/>
      <c r="DQ75" s="38"/>
      <c r="DR75" s="38"/>
      <c r="DS75" s="38"/>
      <c r="DT75" s="38"/>
      <c r="DV75" s="38">
        <f t="shared" si="274"/>
        <v>0</v>
      </c>
      <c r="DW75" s="56"/>
      <c r="DX75" s="38">
        <f t="shared" si="275"/>
        <v>0</v>
      </c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K75"/>
      <c r="FL75"/>
      <c r="FM75"/>
      <c r="FN75"/>
    </row>
    <row r="76" spans="1:170" ht="15" x14ac:dyDescent="0.2">
      <c r="A76" s="229">
        <v>69</v>
      </c>
      <c r="B76" s="302">
        <v>43711</v>
      </c>
      <c r="C76" s="225">
        <v>1.1527777777777799</v>
      </c>
      <c r="D76" s="282">
        <f t="shared" si="228"/>
        <v>2177.1666666667443</v>
      </c>
      <c r="E76" s="282">
        <f t="shared" si="229"/>
        <v>90.715277777781012</v>
      </c>
      <c r="F76" s="283">
        <v>17</v>
      </c>
      <c r="G76" s="284">
        <v>9920000</v>
      </c>
      <c r="H76" s="284">
        <v>11000000</v>
      </c>
      <c r="I76" s="284">
        <v>10560000</v>
      </c>
      <c r="J76" s="284">
        <f t="shared" si="230"/>
        <v>10493333.333333334</v>
      </c>
      <c r="K76" s="284">
        <f t="shared" si="231"/>
        <v>543077.64945110132</v>
      </c>
      <c r="L76" s="285">
        <f t="shared" si="232"/>
        <v>5.17545409260897E-2</v>
      </c>
      <c r="M76" s="286">
        <f t="shared" si="233"/>
        <v>178386666.66666669</v>
      </c>
      <c r="N76" s="287">
        <v>280016</v>
      </c>
      <c r="O76" s="288">
        <f t="shared" si="234"/>
        <v>4760272</v>
      </c>
      <c r="P76" s="193">
        <v>7.12</v>
      </c>
      <c r="Q76" s="193">
        <v>40</v>
      </c>
      <c r="R76" s="289">
        <f t="shared" si="235"/>
        <v>2.4249885855120875E-3</v>
      </c>
      <c r="S76" s="289"/>
      <c r="T76" s="289"/>
      <c r="U76" s="289" t="e">
        <f>#REF!</f>
        <v>#REF!</v>
      </c>
      <c r="V76" s="290">
        <f t="shared" si="236"/>
        <v>10773349.333333334</v>
      </c>
      <c r="W76" s="291">
        <f t="shared" si="237"/>
        <v>183146938.66666669</v>
      </c>
      <c r="X76" s="292">
        <f t="shared" si="238"/>
        <v>0.97400845444288942</v>
      </c>
      <c r="Y76" s="230">
        <f t="shared" si="239"/>
        <v>29403530263.894432</v>
      </c>
      <c r="Z76" s="293">
        <f t="shared" si="240"/>
        <v>1199412750.6390126</v>
      </c>
      <c r="AA76" s="198">
        <v>52.8</v>
      </c>
      <c r="AB76" s="198">
        <v>0</v>
      </c>
      <c r="AC76" s="198">
        <v>0</v>
      </c>
      <c r="AD76" s="198">
        <v>0</v>
      </c>
      <c r="AE76" s="198">
        <f t="shared" si="241"/>
        <v>1.0416666666715173</v>
      </c>
      <c r="AF76" s="198">
        <f t="shared" si="242"/>
        <v>0</v>
      </c>
      <c r="AG76" s="198">
        <f t="shared" si="243"/>
        <v>52.8</v>
      </c>
      <c r="AH76" s="198">
        <f t="shared" si="244"/>
        <v>0</v>
      </c>
      <c r="AI76" s="198">
        <f t="shared" si="245"/>
        <v>0</v>
      </c>
      <c r="AJ76" s="294">
        <f t="shared" si="246"/>
        <v>0</v>
      </c>
      <c r="AK76" s="294">
        <f t="shared" si="247"/>
        <v>0</v>
      </c>
      <c r="AL76" s="198">
        <f t="shared" si="248"/>
        <v>0</v>
      </c>
      <c r="AM76" s="198">
        <f t="shared" si="249"/>
        <v>52.8</v>
      </c>
      <c r="AN76" s="198">
        <f t="shared" si="250"/>
        <v>0</v>
      </c>
      <c r="AO76" s="198">
        <f t="shared" si="251"/>
        <v>0</v>
      </c>
      <c r="AP76" s="198">
        <f t="shared" si="252"/>
        <v>0</v>
      </c>
      <c r="AQ76" s="198">
        <f t="shared" si="253"/>
        <v>0</v>
      </c>
      <c r="AR76" s="198">
        <f t="shared" si="254"/>
        <v>0</v>
      </c>
      <c r="AS76" s="198">
        <f t="shared" si="255"/>
        <v>0</v>
      </c>
      <c r="AT76" s="198">
        <f t="shared" si="256"/>
        <v>0</v>
      </c>
      <c r="AU76" s="295">
        <f t="shared" si="257"/>
        <v>178386666.66666669</v>
      </c>
      <c r="AV76" s="198">
        <v>17</v>
      </c>
      <c r="AW76" s="198">
        <f t="shared" si="258"/>
        <v>0</v>
      </c>
      <c r="AX76" s="295">
        <f t="shared" si="259"/>
        <v>0</v>
      </c>
      <c r="AY76" s="295">
        <f t="shared" si="260"/>
        <v>-624237143.35011446</v>
      </c>
      <c r="AZ76" s="198">
        <f t="shared" si="261"/>
        <v>0</v>
      </c>
      <c r="BA76" s="295">
        <f t="shared" si="262"/>
        <v>0</v>
      </c>
      <c r="BB76" s="295">
        <f t="shared" si="263"/>
        <v>0</v>
      </c>
      <c r="BC76" s="295">
        <f t="shared" si="264"/>
        <v>-445850476.68344778</v>
      </c>
      <c r="BD76" s="295">
        <f t="shared" si="265"/>
        <v>29403530263.894432</v>
      </c>
      <c r="BE76" s="289">
        <f t="shared" si="266"/>
        <v>2.4242424242311303E-3</v>
      </c>
      <c r="BF76" s="289">
        <f t="shared" si="267"/>
        <v>2.4242461336876509E-3</v>
      </c>
      <c r="BG76" s="289">
        <f t="shared" si="268"/>
        <v>2.4249885855120875E-3</v>
      </c>
      <c r="BH76" s="193">
        <f t="shared" si="269"/>
        <v>72</v>
      </c>
      <c r="BI76" s="193"/>
      <c r="BJ76" s="193"/>
      <c r="BK76" s="193"/>
      <c r="BL76" s="193"/>
      <c r="BM76" s="193"/>
      <c r="BN76" s="193">
        <f t="shared" si="276"/>
        <v>1224</v>
      </c>
      <c r="BO76" s="193">
        <f t="shared" si="277"/>
        <v>0</v>
      </c>
      <c r="BP76" s="193">
        <f t="shared" si="279"/>
        <v>-5188.3678764643973</v>
      </c>
      <c r="BQ76" s="198">
        <f t="shared" si="270"/>
        <v>-3964.3678764643973</v>
      </c>
      <c r="BR76" s="234">
        <v>72</v>
      </c>
      <c r="BS76" s="341"/>
      <c r="BT76" s="341"/>
      <c r="BU76" s="341"/>
      <c r="BV76" s="341"/>
      <c r="BW76" s="341"/>
      <c r="BX76" s="198">
        <f t="shared" si="280"/>
        <v>0.26181606747270803</v>
      </c>
      <c r="BY76" s="296"/>
      <c r="BZ76" s="297">
        <v>74.430000000000007</v>
      </c>
      <c r="CA76" s="193">
        <f t="shared" si="278"/>
        <v>0</v>
      </c>
      <c r="CB76" s="298">
        <f t="shared" si="281"/>
        <v>359.05429726818477</v>
      </c>
      <c r="CC76" s="58">
        <f t="shared" si="271"/>
        <v>433.48429726818478</v>
      </c>
      <c r="CD76" s="38">
        <v>85.119</v>
      </c>
      <c r="CE76" s="35"/>
      <c r="CF76" s="80">
        <f t="shared" si="282"/>
        <v>824233319.51389289</v>
      </c>
      <c r="CG76" s="77">
        <f t="shared" si="283"/>
        <v>824233319.51389289</v>
      </c>
      <c r="CH76" s="62"/>
      <c r="CI76" s="93">
        <f t="shared" si="272"/>
        <v>7000387.5000325441</v>
      </c>
      <c r="CJ76" s="58"/>
      <c r="CK76" s="38">
        <v>15.7</v>
      </c>
      <c r="CL76" s="38"/>
      <c r="CM76" s="38"/>
      <c r="CN76" s="38"/>
      <c r="CO76" s="38"/>
      <c r="CP76" s="38"/>
      <c r="CQ76" s="38"/>
      <c r="CR76" s="56"/>
      <c r="CS76" s="56"/>
      <c r="CT76" s="56"/>
      <c r="CU76" s="56"/>
      <c r="CV76" s="56"/>
      <c r="CW76" s="38">
        <v>7.33</v>
      </c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V76" s="38">
        <f t="shared" si="274"/>
        <v>0</v>
      </c>
      <c r="DW76" s="56"/>
      <c r="DX76" s="38">
        <f t="shared" si="275"/>
        <v>0</v>
      </c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K76"/>
      <c r="FL76"/>
      <c r="FM76"/>
      <c r="FN76"/>
    </row>
    <row r="77" spans="1:170" ht="15" x14ac:dyDescent="0.2">
      <c r="A77" s="229">
        <v>70</v>
      </c>
      <c r="B77" s="302">
        <v>43712</v>
      </c>
      <c r="C77" s="225">
        <v>1.19444444444444</v>
      </c>
      <c r="D77" s="282">
        <f t="shared" si="228"/>
        <v>2202.1666666666861</v>
      </c>
      <c r="E77" s="282">
        <f t="shared" si="229"/>
        <v>91.756944444445253</v>
      </c>
      <c r="F77" s="283">
        <v>18</v>
      </c>
      <c r="G77" s="284">
        <v>9920000</v>
      </c>
      <c r="H77" s="284">
        <v>11000000</v>
      </c>
      <c r="I77" s="284">
        <v>10560000</v>
      </c>
      <c r="J77" s="284">
        <f t="shared" si="230"/>
        <v>10493333.333333334</v>
      </c>
      <c r="K77" s="284">
        <f t="shared" si="231"/>
        <v>543077.64945110132</v>
      </c>
      <c r="L77" s="285">
        <f t="shared" si="232"/>
        <v>5.17545409260897E-2</v>
      </c>
      <c r="M77" s="286">
        <f t="shared" si="233"/>
        <v>188880000</v>
      </c>
      <c r="N77" s="287">
        <v>280017</v>
      </c>
      <c r="O77" s="288">
        <f t="shared" si="234"/>
        <v>5040306</v>
      </c>
      <c r="P77" s="193">
        <v>7.12</v>
      </c>
      <c r="Q77" s="193">
        <v>40</v>
      </c>
      <c r="R77" s="289">
        <f t="shared" si="235"/>
        <v>2.2863402664689346E-3</v>
      </c>
      <c r="S77" s="289"/>
      <c r="T77" s="289"/>
      <c r="U77" s="289" t="e">
        <f>#REF!</f>
        <v>#REF!</v>
      </c>
      <c r="V77" s="290">
        <f t="shared" si="236"/>
        <v>10773350.333333334</v>
      </c>
      <c r="W77" s="291">
        <f t="shared" si="237"/>
        <v>193920306</v>
      </c>
      <c r="X77" s="292">
        <f t="shared" si="238"/>
        <v>0.97400836403383151</v>
      </c>
      <c r="Y77" s="230">
        <f t="shared" si="239"/>
        <v>33994363597.217079</v>
      </c>
      <c r="Z77" s="293">
        <f t="shared" si="240"/>
        <v>1321919975.6387274</v>
      </c>
      <c r="AA77" s="198">
        <v>52.8</v>
      </c>
      <c r="AB77" s="198">
        <v>0</v>
      </c>
      <c r="AC77" s="198">
        <v>0</v>
      </c>
      <c r="AD77" s="198">
        <v>0</v>
      </c>
      <c r="AE77" s="198">
        <f t="shared" si="241"/>
        <v>1.0416666666642413</v>
      </c>
      <c r="AF77" s="198">
        <f t="shared" si="242"/>
        <v>0</v>
      </c>
      <c r="AG77" s="198">
        <f t="shared" si="243"/>
        <v>52.8</v>
      </c>
      <c r="AH77" s="198">
        <f t="shared" si="244"/>
        <v>0</v>
      </c>
      <c r="AI77" s="198">
        <f t="shared" si="245"/>
        <v>0</v>
      </c>
      <c r="AJ77" s="294">
        <f t="shared" si="246"/>
        <v>0</v>
      </c>
      <c r="AK77" s="294">
        <f t="shared" si="247"/>
        <v>0</v>
      </c>
      <c r="AL77" s="198">
        <f t="shared" si="248"/>
        <v>0</v>
      </c>
      <c r="AM77" s="198">
        <f t="shared" si="249"/>
        <v>52.8</v>
      </c>
      <c r="AN77" s="198">
        <f t="shared" si="250"/>
        <v>0</v>
      </c>
      <c r="AO77" s="198">
        <f t="shared" si="251"/>
        <v>0</v>
      </c>
      <c r="AP77" s="198">
        <f t="shared" si="252"/>
        <v>0</v>
      </c>
      <c r="AQ77" s="198">
        <f t="shared" si="253"/>
        <v>0</v>
      </c>
      <c r="AR77" s="198">
        <f t="shared" si="254"/>
        <v>0</v>
      </c>
      <c r="AS77" s="198">
        <f t="shared" si="255"/>
        <v>0</v>
      </c>
      <c r="AT77" s="198">
        <f t="shared" si="256"/>
        <v>0</v>
      </c>
      <c r="AU77" s="295">
        <f t="shared" si="257"/>
        <v>188880000</v>
      </c>
      <c r="AV77" s="198">
        <v>18</v>
      </c>
      <c r="AW77" s="198">
        <f t="shared" si="258"/>
        <v>0</v>
      </c>
      <c r="AX77" s="295">
        <f t="shared" si="259"/>
        <v>0</v>
      </c>
      <c r="AY77" s="295">
        <f t="shared" si="260"/>
        <v>-624237143.35011446</v>
      </c>
      <c r="AZ77" s="198">
        <f t="shared" si="261"/>
        <v>0</v>
      </c>
      <c r="BA77" s="295">
        <f t="shared" si="262"/>
        <v>0</v>
      </c>
      <c r="BB77" s="295">
        <f t="shared" si="263"/>
        <v>0</v>
      </c>
      <c r="BC77" s="295">
        <f t="shared" si="264"/>
        <v>-435357143.35011446</v>
      </c>
      <c r="BD77" s="295">
        <f t="shared" si="265"/>
        <v>33994363597.217079</v>
      </c>
      <c r="BE77" s="289">
        <f t="shared" si="266"/>
        <v>2.2857142857196019E-3</v>
      </c>
      <c r="BF77" s="289">
        <f t="shared" si="267"/>
        <v>2.2857179955542884E-3</v>
      </c>
      <c r="BG77" s="289">
        <f t="shared" si="268"/>
        <v>2.2863402664689346E-3</v>
      </c>
      <c r="BH77" s="193">
        <f t="shared" si="269"/>
        <v>73</v>
      </c>
      <c r="BI77" s="193"/>
      <c r="BJ77" s="193"/>
      <c r="BK77" s="193"/>
      <c r="BL77" s="193"/>
      <c r="BM77" s="193"/>
      <c r="BN77" s="193">
        <f t="shared" si="276"/>
        <v>1314</v>
      </c>
      <c r="BO77" s="193">
        <f t="shared" si="277"/>
        <v>0</v>
      </c>
      <c r="BP77" s="193">
        <f t="shared" si="279"/>
        <v>-5188.3678764643973</v>
      </c>
      <c r="BQ77" s="198">
        <f t="shared" si="270"/>
        <v>-3874.3678764643973</v>
      </c>
      <c r="BR77" s="234">
        <v>73</v>
      </c>
      <c r="BS77" s="341"/>
      <c r="BT77" s="341"/>
      <c r="BU77" s="341"/>
      <c r="BV77" s="341"/>
      <c r="BW77" s="341"/>
      <c r="BX77" s="198">
        <f t="shared" si="280"/>
        <v>0.26181606747270803</v>
      </c>
      <c r="BY77" s="296"/>
      <c r="BZ77" s="297">
        <v>75.430000000000007</v>
      </c>
      <c r="CA77" s="193">
        <f t="shared" si="278"/>
        <v>0</v>
      </c>
      <c r="CB77" s="298">
        <f t="shared" si="281"/>
        <v>359.05429726818477</v>
      </c>
      <c r="CC77" s="58">
        <f t="shared" si="271"/>
        <v>434.48429726818478</v>
      </c>
      <c r="CD77" s="38">
        <v>86.119</v>
      </c>
      <c r="CE77" s="35"/>
      <c r="CF77" s="80">
        <f t="shared" si="282"/>
        <v>831233732.01387656</v>
      </c>
      <c r="CG77" s="77">
        <f t="shared" si="283"/>
        <v>831233732.01387656</v>
      </c>
      <c r="CH77" s="62"/>
      <c r="CI77" s="93">
        <f t="shared" si="272"/>
        <v>7000412.4999836683</v>
      </c>
      <c r="CJ77" s="58"/>
      <c r="CK77" s="38">
        <v>15.7</v>
      </c>
      <c r="CL77" s="38"/>
      <c r="CM77" s="38"/>
      <c r="CN77" s="38"/>
      <c r="CO77" s="38"/>
      <c r="CP77" s="38"/>
      <c r="CQ77" s="38"/>
      <c r="CR77" s="56"/>
      <c r="CS77" s="56"/>
      <c r="CT77" s="56"/>
      <c r="CU77" s="56"/>
      <c r="CV77" s="56"/>
      <c r="CW77" s="38">
        <v>7.33</v>
      </c>
      <c r="CX77" s="38"/>
      <c r="CY77" s="38"/>
      <c r="CZ77" s="38"/>
      <c r="DA77" s="38"/>
      <c r="DB77" s="38"/>
      <c r="DC77" s="38"/>
      <c r="DD77" s="38"/>
      <c r="DE77" s="38"/>
      <c r="DF77" s="38"/>
      <c r="DG77" s="38"/>
      <c r="DH77" s="38"/>
      <c r="DI77" s="38"/>
      <c r="DJ77" s="38"/>
      <c r="DK77" s="38"/>
      <c r="DL77" s="38"/>
      <c r="DM77" s="38"/>
      <c r="DN77" s="38"/>
      <c r="DO77" s="38"/>
      <c r="DP77" s="38"/>
      <c r="DQ77" s="38"/>
      <c r="DR77" s="38"/>
      <c r="DS77" s="38"/>
      <c r="DT77" s="38"/>
      <c r="DV77" s="38">
        <f t="shared" si="274"/>
        <v>0</v>
      </c>
      <c r="DW77" s="56"/>
      <c r="DX77" s="38">
        <f t="shared" si="275"/>
        <v>0</v>
      </c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K77"/>
      <c r="FL77"/>
      <c r="FM77"/>
      <c r="FN77"/>
    </row>
    <row r="78" spans="1:170" ht="15" x14ac:dyDescent="0.2">
      <c r="A78" s="229">
        <v>71</v>
      </c>
      <c r="B78" s="302">
        <v>43708</v>
      </c>
      <c r="C78" s="225">
        <v>1.2361111111111101</v>
      </c>
      <c r="D78" s="282">
        <f t="shared" si="228"/>
        <v>2107.1666666666279</v>
      </c>
      <c r="E78" s="282">
        <f t="shared" si="229"/>
        <v>87.798611111109494</v>
      </c>
      <c r="F78" s="283">
        <v>19</v>
      </c>
      <c r="G78" s="284">
        <v>9920000</v>
      </c>
      <c r="H78" s="284">
        <v>11000000</v>
      </c>
      <c r="I78" s="284">
        <v>10560000</v>
      </c>
      <c r="J78" s="284">
        <f t="shared" si="230"/>
        <v>10493333.333333334</v>
      </c>
      <c r="K78" s="284">
        <f t="shared" si="231"/>
        <v>543077.64945110132</v>
      </c>
      <c r="L78" s="285">
        <f t="shared" si="232"/>
        <v>5.17545409260897E-2</v>
      </c>
      <c r="M78" s="286">
        <f t="shared" si="233"/>
        <v>199373333.33333334</v>
      </c>
      <c r="N78" s="287">
        <v>280018</v>
      </c>
      <c r="O78" s="288">
        <f t="shared" si="234"/>
        <v>5320342</v>
      </c>
      <c r="P78" s="193">
        <v>7.12</v>
      </c>
      <c r="Q78" s="193">
        <v>40</v>
      </c>
      <c r="R78" s="289">
        <f t="shared" si="235"/>
        <v>-5.6912962201971582E-4</v>
      </c>
      <c r="S78" s="289"/>
      <c r="T78" s="289"/>
      <c r="U78" s="289" t="e">
        <f>#REF!</f>
        <v>#REF!</v>
      </c>
      <c r="V78" s="290">
        <f t="shared" si="236"/>
        <v>10773351.333333334</v>
      </c>
      <c r="W78" s="291">
        <f t="shared" si="237"/>
        <v>204693675.33333334</v>
      </c>
      <c r="X78" s="292">
        <f t="shared" si="238"/>
        <v>0.97400827362479037</v>
      </c>
      <c r="Y78" s="230">
        <f t="shared" si="239"/>
        <v>15552330263.872444</v>
      </c>
      <c r="Z78" s="293">
        <f t="shared" si="240"/>
        <v>829789195.63842583</v>
      </c>
      <c r="AA78" s="198">
        <v>52.8</v>
      </c>
      <c r="AB78" s="198">
        <v>0</v>
      </c>
      <c r="AC78" s="198">
        <v>0</v>
      </c>
      <c r="AD78" s="198">
        <v>0</v>
      </c>
      <c r="AE78" s="198">
        <f t="shared" si="241"/>
        <v>-3.9583333333357587</v>
      </c>
      <c r="AF78" s="198">
        <f t="shared" si="242"/>
        <v>0</v>
      </c>
      <c r="AG78" s="198">
        <f t="shared" si="243"/>
        <v>52.8</v>
      </c>
      <c r="AH78" s="198">
        <f t="shared" si="244"/>
        <v>0</v>
      </c>
      <c r="AI78" s="198">
        <f t="shared" si="245"/>
        <v>0</v>
      </c>
      <c r="AJ78" s="294">
        <f t="shared" si="246"/>
        <v>0</v>
      </c>
      <c r="AK78" s="294">
        <f t="shared" si="247"/>
        <v>0</v>
      </c>
      <c r="AL78" s="198">
        <f t="shared" si="248"/>
        <v>0</v>
      </c>
      <c r="AM78" s="198">
        <f t="shared" si="249"/>
        <v>52.8</v>
      </c>
      <c r="AN78" s="198">
        <f t="shared" si="250"/>
        <v>0</v>
      </c>
      <c r="AO78" s="198">
        <f t="shared" si="251"/>
        <v>0</v>
      </c>
      <c r="AP78" s="198">
        <f t="shared" si="252"/>
        <v>0</v>
      </c>
      <c r="AQ78" s="198">
        <f t="shared" si="253"/>
        <v>0</v>
      </c>
      <c r="AR78" s="198">
        <f t="shared" si="254"/>
        <v>0</v>
      </c>
      <c r="AS78" s="198">
        <f t="shared" si="255"/>
        <v>0</v>
      </c>
      <c r="AT78" s="198">
        <f t="shared" si="256"/>
        <v>0</v>
      </c>
      <c r="AU78" s="295">
        <f t="shared" si="257"/>
        <v>199373333.33333334</v>
      </c>
      <c r="AV78" s="198">
        <v>19</v>
      </c>
      <c r="AW78" s="198">
        <f t="shared" si="258"/>
        <v>0</v>
      </c>
      <c r="AX78" s="295">
        <f t="shared" si="259"/>
        <v>0</v>
      </c>
      <c r="AY78" s="295">
        <f t="shared" si="260"/>
        <v>-624237143.35011446</v>
      </c>
      <c r="AZ78" s="198">
        <f t="shared" si="261"/>
        <v>0</v>
      </c>
      <c r="BA78" s="295">
        <f t="shared" si="262"/>
        <v>0</v>
      </c>
      <c r="BB78" s="295">
        <f t="shared" si="263"/>
        <v>0</v>
      </c>
      <c r="BC78" s="295">
        <f t="shared" si="264"/>
        <v>-424863810.01678109</v>
      </c>
      <c r="BD78" s="295">
        <f t="shared" si="265"/>
        <v>15552330263.872444</v>
      </c>
      <c r="BE78" s="289">
        <f t="shared" si="266"/>
        <v>-5.6899004267390663E-4</v>
      </c>
      <c r="BF78" s="289">
        <f t="shared" si="267"/>
        <v>-5.6899101902999744E-4</v>
      </c>
      <c r="BG78" s="289">
        <f t="shared" si="268"/>
        <v>-5.6912962201971582E-4</v>
      </c>
      <c r="BH78" s="193">
        <f t="shared" si="269"/>
        <v>74</v>
      </c>
      <c r="BI78" s="193"/>
      <c r="BJ78" s="193"/>
      <c r="BK78" s="193"/>
      <c r="BL78" s="193"/>
      <c r="BM78" s="193"/>
      <c r="BN78" s="193">
        <f t="shared" si="276"/>
        <v>1406</v>
      </c>
      <c r="BO78" s="193">
        <f t="shared" si="277"/>
        <v>0</v>
      </c>
      <c r="BP78" s="193">
        <f t="shared" si="279"/>
        <v>-5188.3678764643973</v>
      </c>
      <c r="BQ78" s="198">
        <f t="shared" si="270"/>
        <v>-3782.3678764643973</v>
      </c>
      <c r="BR78" s="234">
        <v>74</v>
      </c>
      <c r="BS78" s="341"/>
      <c r="BT78" s="341"/>
      <c r="BU78" s="341"/>
      <c r="BV78" s="341"/>
      <c r="BW78" s="341"/>
      <c r="BX78" s="198">
        <f t="shared" si="280"/>
        <v>0.26181606747270803</v>
      </c>
      <c r="BY78" s="296"/>
      <c r="BZ78" s="297">
        <v>76.430000000000007</v>
      </c>
      <c r="CA78" s="193">
        <f t="shared" si="278"/>
        <v>0</v>
      </c>
      <c r="CB78" s="298">
        <f t="shared" si="281"/>
        <v>359.05429726818477</v>
      </c>
      <c r="CC78" s="58">
        <f t="shared" si="271"/>
        <v>435.48429726818478</v>
      </c>
      <c r="CD78" s="38">
        <v>87.119</v>
      </c>
      <c r="CE78" s="35"/>
      <c r="CF78" s="80">
        <f t="shared" si="282"/>
        <v>804632069.51386023</v>
      </c>
      <c r="CG78" s="77">
        <f t="shared" si="283"/>
        <v>804632069.51386023</v>
      </c>
      <c r="CH78" s="62"/>
      <c r="CI78" s="93">
        <f t="shared" si="272"/>
        <v>-26601662.500016332</v>
      </c>
      <c r="CJ78" s="58"/>
      <c r="CK78" s="38">
        <v>15.7</v>
      </c>
      <c r="CL78" s="38"/>
      <c r="CM78" s="38"/>
      <c r="CN78" s="38"/>
      <c r="CO78" s="38"/>
      <c r="CP78" s="38"/>
      <c r="CQ78" s="38"/>
      <c r="CR78" s="56"/>
      <c r="CS78" s="56"/>
      <c r="CT78" s="56"/>
      <c r="CU78" s="56"/>
      <c r="CV78" s="56"/>
      <c r="CW78" s="38">
        <v>7.33</v>
      </c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V78" s="38">
        <f t="shared" si="274"/>
        <v>0</v>
      </c>
      <c r="DW78" s="56"/>
      <c r="DX78" s="38">
        <f t="shared" si="275"/>
        <v>0</v>
      </c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K78"/>
      <c r="FL78"/>
      <c r="FM78"/>
      <c r="FN78"/>
    </row>
    <row r="79" spans="1:170" ht="15" x14ac:dyDescent="0.2">
      <c r="A79" s="229">
        <v>72</v>
      </c>
      <c r="B79" s="302">
        <v>43709</v>
      </c>
      <c r="C79" s="225">
        <v>1.2777777777777799</v>
      </c>
      <c r="D79" s="282">
        <f t="shared" si="228"/>
        <v>2132.1666666667443</v>
      </c>
      <c r="E79" s="282">
        <f t="shared" si="229"/>
        <v>88.840277777781012</v>
      </c>
      <c r="F79" s="283">
        <v>20</v>
      </c>
      <c r="G79" s="284">
        <v>9920000</v>
      </c>
      <c r="H79" s="284">
        <v>11000000</v>
      </c>
      <c r="I79" s="284">
        <v>10560000</v>
      </c>
      <c r="J79" s="284">
        <f t="shared" si="230"/>
        <v>10493333.333333334</v>
      </c>
      <c r="K79" s="284">
        <f t="shared" si="231"/>
        <v>543077.64945110132</v>
      </c>
      <c r="L79" s="285">
        <f t="shared" si="232"/>
        <v>5.17545409260897E-2</v>
      </c>
      <c r="M79" s="286">
        <f t="shared" si="233"/>
        <v>209866666.66666669</v>
      </c>
      <c r="N79" s="287">
        <v>280019</v>
      </c>
      <c r="O79" s="288">
        <f t="shared" si="234"/>
        <v>5600380</v>
      </c>
      <c r="P79" s="193">
        <v>7.12</v>
      </c>
      <c r="Q79" s="193">
        <v>40</v>
      </c>
      <c r="R79" s="289">
        <f t="shared" si="235"/>
        <v>2.0517354883574182E-3</v>
      </c>
      <c r="S79" s="289"/>
      <c r="T79" s="289"/>
      <c r="U79" s="289" t="e">
        <f>#REF!</f>
        <v>#REF!</v>
      </c>
      <c r="V79" s="290">
        <f t="shared" si="236"/>
        <v>10773352.333333334</v>
      </c>
      <c r="W79" s="291">
        <f t="shared" si="237"/>
        <v>215467046.66666669</v>
      </c>
      <c r="X79" s="292">
        <f t="shared" si="238"/>
        <v>0.97400818321576599</v>
      </c>
      <c r="Y79" s="230">
        <f t="shared" si="239"/>
        <v>20667830263.896263</v>
      </c>
      <c r="Z79" s="293">
        <f t="shared" si="240"/>
        <v>966298220.63906145</v>
      </c>
      <c r="AA79" s="198">
        <v>52.8</v>
      </c>
      <c r="AB79" s="198">
        <v>0</v>
      </c>
      <c r="AC79" s="198">
        <v>0</v>
      </c>
      <c r="AD79" s="198">
        <v>0</v>
      </c>
      <c r="AE79" s="198">
        <f t="shared" si="241"/>
        <v>1.0416666666715173</v>
      </c>
      <c r="AF79" s="198">
        <f t="shared" si="242"/>
        <v>0</v>
      </c>
      <c r="AG79" s="198">
        <f t="shared" si="243"/>
        <v>52.8</v>
      </c>
      <c r="AH79" s="198">
        <f t="shared" si="244"/>
        <v>0</v>
      </c>
      <c r="AI79" s="198">
        <f t="shared" si="245"/>
        <v>0</v>
      </c>
      <c r="AJ79" s="294">
        <f t="shared" si="246"/>
        <v>0</v>
      </c>
      <c r="AK79" s="294">
        <f t="shared" si="247"/>
        <v>0</v>
      </c>
      <c r="AL79" s="198">
        <f t="shared" si="248"/>
        <v>0</v>
      </c>
      <c r="AM79" s="198">
        <f t="shared" si="249"/>
        <v>52.8</v>
      </c>
      <c r="AN79" s="198">
        <f t="shared" si="250"/>
        <v>0</v>
      </c>
      <c r="AO79" s="198">
        <f t="shared" si="251"/>
        <v>0</v>
      </c>
      <c r="AP79" s="198">
        <f t="shared" si="252"/>
        <v>0</v>
      </c>
      <c r="AQ79" s="198">
        <f t="shared" si="253"/>
        <v>0</v>
      </c>
      <c r="AR79" s="198">
        <f t="shared" si="254"/>
        <v>0</v>
      </c>
      <c r="AS79" s="198">
        <f t="shared" si="255"/>
        <v>0</v>
      </c>
      <c r="AT79" s="198">
        <f t="shared" si="256"/>
        <v>0</v>
      </c>
      <c r="AU79" s="295">
        <f t="shared" si="257"/>
        <v>209866666.66666669</v>
      </c>
      <c r="AV79" s="198">
        <v>20</v>
      </c>
      <c r="AW79" s="198">
        <f t="shared" si="258"/>
        <v>0</v>
      </c>
      <c r="AX79" s="295">
        <f t="shared" si="259"/>
        <v>0</v>
      </c>
      <c r="AY79" s="295">
        <f t="shared" si="260"/>
        <v>-624237143.35011446</v>
      </c>
      <c r="AZ79" s="198">
        <f t="shared" si="261"/>
        <v>0</v>
      </c>
      <c r="BA79" s="295">
        <f t="shared" si="262"/>
        <v>0</v>
      </c>
      <c r="BB79" s="295">
        <f t="shared" si="263"/>
        <v>0</v>
      </c>
      <c r="BC79" s="295">
        <f t="shared" si="264"/>
        <v>-414370476.68344778</v>
      </c>
      <c r="BD79" s="295">
        <f t="shared" si="265"/>
        <v>20667830263.896263</v>
      </c>
      <c r="BE79" s="289">
        <f t="shared" si="266"/>
        <v>2.051282051272496E-3</v>
      </c>
      <c r="BF79" s="289">
        <f t="shared" si="267"/>
        <v>2.0512857616963396E-3</v>
      </c>
      <c r="BG79" s="289">
        <f t="shared" si="268"/>
        <v>2.0517354883574182E-3</v>
      </c>
      <c r="BH79" s="193">
        <f t="shared" si="269"/>
        <v>75</v>
      </c>
      <c r="BI79" s="193"/>
      <c r="BJ79" s="193"/>
      <c r="BK79" s="193"/>
      <c r="BL79" s="193"/>
      <c r="BM79" s="193"/>
      <c r="BN79" s="193">
        <f t="shared" si="276"/>
        <v>1500</v>
      </c>
      <c r="BO79" s="193">
        <f t="shared" si="277"/>
        <v>0</v>
      </c>
      <c r="BP79" s="193">
        <f t="shared" si="279"/>
        <v>-5188.3678764643973</v>
      </c>
      <c r="BQ79" s="198">
        <f t="shared" si="270"/>
        <v>-3688.3678764643973</v>
      </c>
      <c r="BR79" s="234">
        <v>75</v>
      </c>
      <c r="BS79" s="341"/>
      <c r="BT79" s="341"/>
      <c r="BU79" s="341"/>
      <c r="BV79" s="341"/>
      <c r="BW79" s="341"/>
      <c r="BX79" s="198">
        <f t="shared" si="280"/>
        <v>0.26181606747270803</v>
      </c>
      <c r="BY79" s="296"/>
      <c r="BZ79" s="297">
        <v>77.430000000000007</v>
      </c>
      <c r="CA79" s="193">
        <f t="shared" si="278"/>
        <v>0</v>
      </c>
      <c r="CB79" s="298">
        <f t="shared" si="281"/>
        <v>359.05429726818477</v>
      </c>
      <c r="CC79" s="58">
        <f t="shared" si="271"/>
        <v>436.48429726818478</v>
      </c>
      <c r="CD79" s="38">
        <v>88.119</v>
      </c>
      <c r="CE79" s="35"/>
      <c r="CF79" s="80">
        <f t="shared" si="282"/>
        <v>811632532.01389277</v>
      </c>
      <c r="CG79" s="77">
        <f t="shared" si="283"/>
        <v>811632532.01389277</v>
      </c>
      <c r="CH79" s="62"/>
      <c r="CI79" s="93">
        <f t="shared" si="272"/>
        <v>7000462.5000325441</v>
      </c>
      <c r="CJ79" s="58"/>
      <c r="CK79" s="38">
        <v>15.7</v>
      </c>
      <c r="CL79" s="38"/>
      <c r="CM79" s="38"/>
      <c r="CN79" s="38"/>
      <c r="CO79" s="38"/>
      <c r="CP79" s="38"/>
      <c r="CQ79" s="38"/>
      <c r="CR79" s="56"/>
      <c r="CS79" s="56"/>
      <c r="CT79" s="56"/>
      <c r="CU79" s="56"/>
      <c r="CV79" s="56"/>
      <c r="CW79" s="38">
        <v>7.33</v>
      </c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  <c r="DT79" s="38"/>
      <c r="DV79" s="38">
        <f t="shared" si="274"/>
        <v>0</v>
      </c>
      <c r="DW79" s="56"/>
      <c r="DX79" s="38">
        <f t="shared" si="275"/>
        <v>0</v>
      </c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K79"/>
      <c r="FL79"/>
      <c r="FM79"/>
      <c r="FN79"/>
    </row>
    <row r="80" spans="1:170" x14ac:dyDescent="0.2">
      <c r="G80" s="258"/>
      <c r="H80" s="258"/>
      <c r="I80" s="258"/>
      <c r="J80" s="258"/>
      <c r="K80" s="258"/>
      <c r="BH80"/>
      <c r="BI80"/>
      <c r="BJ80"/>
      <c r="BK80"/>
      <c r="BL80"/>
      <c r="BM80"/>
      <c r="BN80"/>
      <c r="BO80"/>
      <c r="BP80"/>
      <c r="BR80"/>
      <c r="BS80"/>
      <c r="BT80"/>
      <c r="BU80"/>
      <c r="BV80"/>
      <c r="BW80"/>
      <c r="BX80"/>
      <c r="BY80"/>
      <c r="BZ80"/>
      <c r="CA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 s="117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K80"/>
      <c r="FL80"/>
      <c r="FM80"/>
      <c r="FN80"/>
    </row>
    <row r="81" spans="7:170" x14ac:dyDescent="0.2">
      <c r="G81" s="258"/>
      <c r="H81" s="258"/>
      <c r="I81" s="258"/>
      <c r="J81" s="258"/>
      <c r="K81" s="258"/>
      <c r="BH81"/>
      <c r="BI81"/>
      <c r="BJ81"/>
      <c r="BK81"/>
      <c r="BL81"/>
      <c r="BM81"/>
      <c r="BN81"/>
      <c r="BO81"/>
      <c r="BP81"/>
      <c r="BR81"/>
      <c r="BS81"/>
      <c r="BT81"/>
      <c r="BU81"/>
      <c r="BV81"/>
      <c r="BW81"/>
      <c r="BX81"/>
      <c r="BY81"/>
      <c r="BZ81"/>
      <c r="CA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 s="117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K81"/>
      <c r="FL81"/>
      <c r="FM81"/>
      <c r="FN81"/>
    </row>
    <row r="82" spans="7:170" x14ac:dyDescent="0.2">
      <c r="BH82"/>
      <c r="BI82"/>
      <c r="BJ82"/>
      <c r="BK82"/>
      <c r="BL82"/>
      <c r="BM82"/>
      <c r="BN82"/>
      <c r="BO82"/>
      <c r="BP82"/>
      <c r="BR82"/>
      <c r="BS82"/>
      <c r="BT82"/>
      <c r="BU82"/>
      <c r="BV82"/>
      <c r="BW82"/>
      <c r="BX82"/>
      <c r="BY82"/>
      <c r="BZ82"/>
      <c r="CA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 s="117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K82"/>
      <c r="FL82"/>
      <c r="FM82"/>
      <c r="FN82"/>
    </row>
    <row r="83" spans="7:170" x14ac:dyDescent="0.2">
      <c r="BH83"/>
      <c r="BI83"/>
      <c r="BJ83"/>
      <c r="BK83"/>
      <c r="BL83"/>
      <c r="BM83"/>
      <c r="BN83"/>
      <c r="BO83"/>
      <c r="BP83"/>
      <c r="BR83"/>
      <c r="BS83"/>
      <c r="BT83"/>
      <c r="BU83"/>
      <c r="BV83"/>
      <c r="BW83"/>
      <c r="BX83"/>
      <c r="BY83"/>
      <c r="BZ83"/>
      <c r="CA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 s="117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K83"/>
      <c r="FL83"/>
      <c r="FM83"/>
      <c r="FN83"/>
    </row>
    <row r="84" spans="7:170" x14ac:dyDescent="0.2">
      <c r="BB84" s="7" t="s">
        <v>158</v>
      </c>
      <c r="BH84" s="7" t="s">
        <v>160</v>
      </c>
      <c r="BN84"/>
      <c r="BO84"/>
      <c r="BP84"/>
      <c r="BR84"/>
      <c r="BS84"/>
      <c r="BT84"/>
      <c r="BU84"/>
      <c r="BV84"/>
      <c r="BW84"/>
      <c r="BX84"/>
      <c r="BY84"/>
      <c r="BZ84"/>
      <c r="CA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 s="117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K84"/>
      <c r="FL84"/>
      <c r="FM84"/>
      <c r="FN84"/>
    </row>
    <row r="85" spans="7:170" x14ac:dyDescent="0.2">
      <c r="BB85" s="7" t="s">
        <v>159</v>
      </c>
      <c r="BH85" s="7" t="s">
        <v>161</v>
      </c>
      <c r="BN85"/>
      <c r="BO85"/>
      <c r="BP85"/>
      <c r="BR85"/>
      <c r="BS85"/>
      <c r="BT85"/>
      <c r="BU85"/>
      <c r="BV85"/>
      <c r="BW85"/>
      <c r="BX85"/>
      <c r="BY85"/>
      <c r="BZ85"/>
      <c r="CA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 s="117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K85"/>
      <c r="FL85"/>
      <c r="FM85"/>
      <c r="FN85"/>
    </row>
    <row r="86" spans="7:170" x14ac:dyDescent="0.2">
      <c r="BH86"/>
      <c r="BI86"/>
      <c r="BJ86"/>
      <c r="BK86"/>
      <c r="BL86"/>
      <c r="BM86"/>
      <c r="BN86"/>
      <c r="BO86"/>
      <c r="BP86"/>
      <c r="BR86"/>
      <c r="BS86"/>
      <c r="BT86"/>
      <c r="BU86"/>
      <c r="BV86"/>
      <c r="BW86"/>
      <c r="BX86"/>
      <c r="BY86"/>
      <c r="BZ86"/>
      <c r="CA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 s="117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K86"/>
      <c r="FL86"/>
      <c r="FM86"/>
      <c r="FN86"/>
    </row>
    <row r="87" spans="7:170" x14ac:dyDescent="0.2">
      <c r="BH87"/>
      <c r="BI87"/>
      <c r="BJ87"/>
      <c r="BK87"/>
      <c r="BL87"/>
      <c r="BM87"/>
      <c r="BN87"/>
      <c r="BO87"/>
      <c r="BP87"/>
      <c r="BR87"/>
      <c r="BS87"/>
      <c r="BT87"/>
      <c r="BU87"/>
      <c r="BV87"/>
      <c r="BW87"/>
      <c r="BX87"/>
      <c r="BY87"/>
      <c r="BZ87"/>
      <c r="CA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 s="11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K87"/>
      <c r="FL87"/>
      <c r="FM87"/>
      <c r="FN87"/>
    </row>
    <row r="88" spans="7:170" x14ac:dyDescent="0.2">
      <c r="BH88"/>
      <c r="BI88"/>
      <c r="BJ88"/>
      <c r="BK88"/>
      <c r="BL88"/>
      <c r="BM88"/>
      <c r="BN88"/>
      <c r="BO88"/>
      <c r="BP88"/>
      <c r="BR88"/>
      <c r="BS88"/>
      <c r="BT88"/>
      <c r="BU88"/>
      <c r="BV88"/>
      <c r="BW88"/>
      <c r="BX88"/>
      <c r="BY88"/>
      <c r="BZ88"/>
      <c r="CA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 s="117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K88"/>
      <c r="FL88"/>
      <c r="FM88"/>
      <c r="FN88"/>
    </row>
    <row r="89" spans="7:170" x14ac:dyDescent="0.2">
      <c r="BH89"/>
      <c r="BI89"/>
      <c r="BJ89"/>
      <c r="BK89"/>
      <c r="BL89"/>
      <c r="BM89"/>
      <c r="BN89"/>
      <c r="BO89"/>
      <c r="BP89"/>
      <c r="BR89"/>
      <c r="BS89"/>
      <c r="BT89"/>
      <c r="BU89"/>
      <c r="BV89"/>
      <c r="BW89"/>
      <c r="BX89"/>
      <c r="BY89"/>
      <c r="BZ89"/>
      <c r="CA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 s="117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K89"/>
      <c r="FL89"/>
      <c r="FM89"/>
      <c r="FN89"/>
    </row>
    <row r="90" spans="7:170" x14ac:dyDescent="0.2">
      <c r="BH90"/>
      <c r="BI90"/>
      <c r="BJ90"/>
      <c r="BK90"/>
      <c r="BL90"/>
      <c r="BM90"/>
      <c r="BN90"/>
      <c r="BO90"/>
      <c r="BP90"/>
      <c r="BR90"/>
      <c r="BS90"/>
      <c r="BT90"/>
      <c r="BU90"/>
      <c r="BV90"/>
      <c r="BW90"/>
      <c r="BX90"/>
      <c r="BY90"/>
      <c r="BZ90"/>
      <c r="CA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 s="117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K90"/>
      <c r="FL90"/>
      <c r="FM90"/>
      <c r="FN90"/>
    </row>
    <row r="91" spans="7:170" x14ac:dyDescent="0.2">
      <c r="FK91"/>
      <c r="FL91"/>
      <c r="FM91"/>
      <c r="FN91"/>
    </row>
    <row r="92" spans="7:170" x14ac:dyDescent="0.2">
      <c r="FK92"/>
      <c r="FL92"/>
      <c r="FM92"/>
      <c r="FN92"/>
    </row>
    <row r="98" spans="1:28" ht="19.5" x14ac:dyDescent="0.35">
      <c r="A98" s="176"/>
      <c r="B98" s="177" t="s">
        <v>99</v>
      </c>
      <c r="C98" s="178"/>
      <c r="D98" s="179"/>
      <c r="E98" s="180"/>
      <c r="F98" s="178"/>
      <c r="G98" s="178"/>
      <c r="H98" s="178"/>
      <c r="I98" s="178"/>
      <c r="J98" s="30"/>
      <c r="K98" s="30"/>
      <c r="L98" s="30"/>
      <c r="M98"/>
      <c r="N98" s="165"/>
      <c r="O98" s="166" t="s">
        <v>138</v>
      </c>
      <c r="P98" s="166"/>
      <c r="Q98" s="166"/>
      <c r="R98" s="30"/>
      <c r="S98" s="30"/>
      <c r="T98" s="30"/>
      <c r="U98" s="165"/>
      <c r="V98" s="167"/>
      <c r="W98" s="167"/>
      <c r="X98" s="167"/>
      <c r="Y98" s="167"/>
      <c r="Z98" s="167"/>
    </row>
    <row r="99" spans="1:28" x14ac:dyDescent="0.2">
      <c r="A99" s="176"/>
      <c r="B99" s="178"/>
      <c r="C99" s="178"/>
      <c r="D99" s="178"/>
      <c r="E99" s="178"/>
      <c r="F99" s="178"/>
      <c r="G99" s="178"/>
      <c r="H99" s="178"/>
      <c r="I99" s="178"/>
      <c r="M99"/>
      <c r="N99" s="165"/>
      <c r="O99" s="165"/>
      <c r="P99" s="165"/>
      <c r="Q99" s="165"/>
      <c r="U99" s="167"/>
      <c r="V99" s="167"/>
      <c r="W99" s="167"/>
      <c r="X99" s="167"/>
      <c r="Y99" s="167"/>
      <c r="Z99" s="167"/>
    </row>
    <row r="100" spans="1:28" x14ac:dyDescent="0.2">
      <c r="A100" s="176"/>
      <c r="B100" s="178"/>
      <c r="C100" s="178"/>
      <c r="D100" s="178"/>
      <c r="E100" s="178"/>
      <c r="F100" s="178"/>
      <c r="G100" s="178"/>
      <c r="H100" s="178"/>
      <c r="I100" s="178"/>
      <c r="M100"/>
      <c r="N100" s="165"/>
      <c r="O100" s="165"/>
      <c r="P100" s="165"/>
      <c r="Q100" s="165"/>
      <c r="U100" s="167"/>
      <c r="V100" s="167"/>
      <c r="W100" s="167" t="s">
        <v>107</v>
      </c>
      <c r="X100" s="167" t="s">
        <v>107</v>
      </c>
      <c r="Y100" s="167"/>
      <c r="Z100" s="167"/>
    </row>
    <row r="101" spans="1:28" ht="13.5" thickBot="1" x14ac:dyDescent="0.25">
      <c r="A101" s="176"/>
      <c r="B101" s="178"/>
      <c r="C101" s="178"/>
      <c r="D101" s="178"/>
      <c r="E101" s="178"/>
      <c r="F101" s="178"/>
      <c r="G101" s="178"/>
      <c r="H101" s="178"/>
      <c r="I101" s="178"/>
      <c r="M101"/>
      <c r="N101" s="168"/>
      <c r="O101" s="167"/>
      <c r="P101" s="167"/>
      <c r="Q101" s="167"/>
      <c r="U101" s="167"/>
      <c r="V101" s="167"/>
      <c r="W101" s="167" t="s">
        <v>106</v>
      </c>
      <c r="X101" s="167" t="s">
        <v>108</v>
      </c>
      <c r="Y101" s="167"/>
      <c r="Z101" s="167"/>
      <c r="AA101" s="37" t="s">
        <v>137</v>
      </c>
      <c r="AB101" s="37" t="s">
        <v>136</v>
      </c>
    </row>
    <row r="102" spans="1:28" x14ac:dyDescent="0.2">
      <c r="A102" s="181">
        <v>1</v>
      </c>
      <c r="B102" s="205">
        <v>41614</v>
      </c>
      <c r="C102" s="209">
        <v>0.60069444444444442</v>
      </c>
      <c r="D102" s="207">
        <f t="shared" ref="D102:D127" si="284">(B102+C102-(Inoculo_Fecha+Inoculo_Hora))*24</f>
        <v>-48164.083333333314</v>
      </c>
      <c r="E102" s="222">
        <f t="shared" ref="E102:E120" si="285">D102/24</f>
        <v>-2006.8368055555547</v>
      </c>
      <c r="F102" s="220">
        <v>2000000</v>
      </c>
      <c r="G102" s="254"/>
      <c r="H102" s="254"/>
      <c r="I102" s="254"/>
      <c r="M102"/>
      <c r="N102" s="169">
        <v>1</v>
      </c>
      <c r="O102" s="170">
        <v>43091</v>
      </c>
      <c r="P102" s="235"/>
      <c r="Q102" s="235"/>
      <c r="R102" s="201">
        <v>0.68402777777777779</v>
      </c>
      <c r="S102" s="201"/>
      <c r="T102" s="201"/>
      <c r="U102" s="171">
        <f t="shared" ref="U102:U107" si="286">(O102+R102-(Inoculo_Fecha+Inoculo_Hora))*24</f>
        <v>-12714.083333333256</v>
      </c>
      <c r="V102" s="171">
        <f t="shared" ref="V102:V117" si="287">U102/24</f>
        <v>-529.75347222221899</v>
      </c>
      <c r="W102" s="172" t="s">
        <v>215</v>
      </c>
      <c r="X102" s="167"/>
      <c r="Y102" s="167"/>
      <c r="Z102" s="173">
        <v>10000000</v>
      </c>
      <c r="AA102" s="38"/>
      <c r="AB102" s="38"/>
    </row>
    <row r="103" spans="1:28" x14ac:dyDescent="0.2">
      <c r="A103" s="181">
        <v>2</v>
      </c>
      <c r="B103" s="206">
        <v>41615</v>
      </c>
      <c r="C103" s="210">
        <v>0.41666666666666669</v>
      </c>
      <c r="D103" s="208">
        <f t="shared" si="284"/>
        <v>-48144.500000000058</v>
      </c>
      <c r="E103" s="223">
        <f t="shared" si="285"/>
        <v>-2006.0208333333358</v>
      </c>
      <c r="F103" s="221">
        <v>2000000</v>
      </c>
      <c r="G103" s="254"/>
      <c r="H103" s="254"/>
      <c r="I103" s="254"/>
      <c r="M103" s="18"/>
      <c r="N103" s="169">
        <v>2</v>
      </c>
      <c r="O103" s="200">
        <v>43095</v>
      </c>
      <c r="P103" s="236"/>
      <c r="Q103" s="236"/>
      <c r="R103" s="60">
        <v>0.5</v>
      </c>
      <c r="S103" s="60"/>
      <c r="T103" s="60"/>
      <c r="U103" s="174">
        <f t="shared" si="286"/>
        <v>-12622.5</v>
      </c>
      <c r="V103" s="174">
        <f t="shared" si="287"/>
        <v>-525.9375</v>
      </c>
      <c r="W103" s="172" t="s">
        <v>216</v>
      </c>
      <c r="X103" s="167"/>
      <c r="Y103" s="167"/>
      <c r="Z103" s="175">
        <v>10000000</v>
      </c>
      <c r="AA103" s="38"/>
      <c r="AB103" s="38"/>
    </row>
    <row r="104" spans="1:28" x14ac:dyDescent="0.2">
      <c r="A104" s="181">
        <v>3</v>
      </c>
      <c r="B104" s="206">
        <v>41616</v>
      </c>
      <c r="C104" s="210">
        <v>4.1666666666666664E-2</v>
      </c>
      <c r="D104" s="208">
        <f t="shared" si="284"/>
        <v>-48129.500000000058</v>
      </c>
      <c r="E104" s="223">
        <f t="shared" si="285"/>
        <v>-2005.3958333333358</v>
      </c>
      <c r="F104" s="221">
        <v>2000000</v>
      </c>
      <c r="G104" s="254"/>
      <c r="H104" s="254"/>
      <c r="I104" s="254"/>
      <c r="M104" s="18"/>
      <c r="N104" s="169">
        <v>3</v>
      </c>
      <c r="O104" s="200">
        <v>41521</v>
      </c>
      <c r="P104" s="236"/>
      <c r="Q104" s="236"/>
      <c r="R104" s="60">
        <v>0.3125</v>
      </c>
      <c r="S104" s="60"/>
      <c r="T104" s="60"/>
      <c r="U104" s="174">
        <f t="shared" si="286"/>
        <v>-50403</v>
      </c>
      <c r="V104" s="174">
        <f t="shared" si="287"/>
        <v>-2100.125</v>
      </c>
      <c r="W104" s="167" t="s">
        <v>150</v>
      </c>
      <c r="X104" s="167"/>
      <c r="Y104" s="167"/>
      <c r="Z104" s="175">
        <v>10000000</v>
      </c>
      <c r="AA104" s="38"/>
      <c r="AB104" s="38"/>
    </row>
    <row r="105" spans="1:28" x14ac:dyDescent="0.2">
      <c r="A105" s="181">
        <v>4</v>
      </c>
      <c r="B105" s="206">
        <v>41616</v>
      </c>
      <c r="C105" s="210">
        <v>0.41666666666666669</v>
      </c>
      <c r="D105" s="208">
        <f t="shared" si="284"/>
        <v>-48120.500000000058</v>
      </c>
      <c r="E105" s="223">
        <f t="shared" si="285"/>
        <v>-2005.0208333333358</v>
      </c>
      <c r="F105" s="221">
        <v>2000000</v>
      </c>
      <c r="G105" s="254"/>
      <c r="H105" s="254"/>
      <c r="I105" s="254"/>
      <c r="M105"/>
      <c r="N105" s="169">
        <v>4</v>
      </c>
      <c r="O105" s="200">
        <v>41524</v>
      </c>
      <c r="P105" s="236"/>
      <c r="Q105" s="236"/>
      <c r="R105" s="60">
        <v>0.29166666666666669</v>
      </c>
      <c r="S105" s="60"/>
      <c r="T105" s="60"/>
      <c r="U105" s="174">
        <f t="shared" si="286"/>
        <v>-50331.500000000058</v>
      </c>
      <c r="V105" s="174">
        <f t="shared" si="287"/>
        <v>-2097.1458333333358</v>
      </c>
      <c r="W105" s="167" t="s">
        <v>151</v>
      </c>
      <c r="X105" s="167"/>
      <c r="Y105" s="167"/>
      <c r="Z105" s="175">
        <v>10000000</v>
      </c>
      <c r="AA105" s="38"/>
      <c r="AB105" s="38"/>
    </row>
    <row r="106" spans="1:28" x14ac:dyDescent="0.2">
      <c r="A106" s="181">
        <v>5</v>
      </c>
      <c r="B106" s="206">
        <v>41617</v>
      </c>
      <c r="C106" s="210">
        <v>0.27083333333333331</v>
      </c>
      <c r="D106" s="208">
        <f t="shared" si="284"/>
        <v>-48099.999999999942</v>
      </c>
      <c r="E106" s="223">
        <f t="shared" si="285"/>
        <v>-2004.1666666666642</v>
      </c>
      <c r="F106" s="221">
        <v>2000000</v>
      </c>
      <c r="G106" s="254"/>
      <c r="H106" s="254"/>
      <c r="I106" s="254"/>
      <c r="M106"/>
      <c r="N106" s="169">
        <v>5</v>
      </c>
      <c r="O106" s="200">
        <v>41526</v>
      </c>
      <c r="P106" s="236"/>
      <c r="Q106" s="236"/>
      <c r="R106" s="60">
        <v>0.4375</v>
      </c>
      <c r="S106" s="60"/>
      <c r="T106" s="60"/>
      <c r="U106" s="174">
        <f t="shared" si="286"/>
        <v>-50280</v>
      </c>
      <c r="V106" s="174">
        <f t="shared" si="287"/>
        <v>-2095</v>
      </c>
      <c r="W106" s="167" t="s">
        <v>152</v>
      </c>
      <c r="X106" s="167"/>
      <c r="Y106" s="167"/>
      <c r="Z106" s="175">
        <v>10000000</v>
      </c>
      <c r="AA106" s="38"/>
      <c r="AB106" s="38"/>
    </row>
    <row r="107" spans="1:28" x14ac:dyDescent="0.2">
      <c r="A107" s="181">
        <v>6</v>
      </c>
      <c r="B107" s="206">
        <v>41617</v>
      </c>
      <c r="C107" s="210">
        <v>0.79166666666666663</v>
      </c>
      <c r="D107" s="208">
        <f t="shared" si="284"/>
        <v>-48087.500000000058</v>
      </c>
      <c r="E107" s="223">
        <f t="shared" si="285"/>
        <v>-2003.6458333333358</v>
      </c>
      <c r="F107" s="221">
        <v>2000000</v>
      </c>
      <c r="G107" s="221"/>
      <c r="H107" s="221"/>
      <c r="I107" s="221"/>
      <c r="J107" s="78"/>
      <c r="K107" s="61"/>
      <c r="L107" s="61"/>
      <c r="M107"/>
      <c r="N107" s="169">
        <v>6</v>
      </c>
      <c r="O107" s="200">
        <v>41528</v>
      </c>
      <c r="P107" s="236"/>
      <c r="Q107" s="236"/>
      <c r="R107" s="60">
        <v>0.375</v>
      </c>
      <c r="S107" s="60"/>
      <c r="T107" s="60"/>
      <c r="U107" s="174">
        <f t="shared" si="286"/>
        <v>-50233.5</v>
      </c>
      <c r="V107" s="174">
        <f t="shared" si="287"/>
        <v>-2093.0625</v>
      </c>
      <c r="W107" s="167" t="s">
        <v>153</v>
      </c>
      <c r="X107" s="167"/>
      <c r="Y107" s="167"/>
      <c r="Z107" s="175">
        <v>10000001</v>
      </c>
      <c r="AA107" s="38"/>
      <c r="AB107" s="38"/>
    </row>
    <row r="108" spans="1:28" x14ac:dyDescent="0.2">
      <c r="A108" s="181">
        <v>7</v>
      </c>
      <c r="B108" s="206">
        <v>41618</v>
      </c>
      <c r="C108" s="210">
        <v>0.29166666666666669</v>
      </c>
      <c r="D108" s="208">
        <f t="shared" si="284"/>
        <v>-48075.500000000058</v>
      </c>
      <c r="E108" s="223">
        <f t="shared" si="285"/>
        <v>-2003.1458333333358</v>
      </c>
      <c r="F108" s="221">
        <v>2000000</v>
      </c>
      <c r="G108" s="221"/>
      <c r="H108" s="221"/>
      <c r="I108" s="221"/>
      <c r="J108" s="78"/>
      <c r="K108" s="61"/>
      <c r="L108" s="61"/>
      <c r="M108"/>
      <c r="N108" s="169">
        <v>7</v>
      </c>
      <c r="O108" s="200">
        <v>41530</v>
      </c>
      <c r="P108" s="236"/>
      <c r="Q108" s="236"/>
      <c r="R108" s="60">
        <v>8.6805555555555566E-2</v>
      </c>
      <c r="S108" s="60"/>
      <c r="T108" s="60"/>
      <c r="U108" s="174">
        <f t="shared" ref="U108:U117" si="288">(O108+R108-(Inoculo_Fecha+Inoculo_Hora))*24</f>
        <v>-50192.416666666686</v>
      </c>
      <c r="V108" s="174">
        <f t="shared" si="287"/>
        <v>-2091.3506944444453</v>
      </c>
      <c r="W108" s="167" t="s">
        <v>154</v>
      </c>
      <c r="X108" s="167"/>
      <c r="Y108" s="167"/>
      <c r="Z108" s="175">
        <v>10000002</v>
      </c>
      <c r="AA108" s="38"/>
      <c r="AB108" s="38"/>
    </row>
    <row r="109" spans="1:28" x14ac:dyDescent="0.2">
      <c r="A109" s="181">
        <v>8</v>
      </c>
      <c r="B109" s="206">
        <v>41618</v>
      </c>
      <c r="C109" s="210">
        <v>0.70833333333333337</v>
      </c>
      <c r="D109" s="208">
        <f t="shared" si="284"/>
        <v>-48065.499999999942</v>
      </c>
      <c r="E109" s="223">
        <f t="shared" si="285"/>
        <v>-2002.7291666666642</v>
      </c>
      <c r="F109" s="221">
        <v>2000000</v>
      </c>
      <c r="G109" s="221"/>
      <c r="H109" s="221"/>
      <c r="I109" s="221"/>
      <c r="J109" s="78"/>
      <c r="K109" s="61"/>
      <c r="L109" s="61"/>
      <c r="M109"/>
      <c r="N109" s="169">
        <v>8</v>
      </c>
      <c r="O109" s="200">
        <v>41531</v>
      </c>
      <c r="P109" s="236"/>
      <c r="Q109" s="236"/>
      <c r="R109" s="60">
        <v>0.75</v>
      </c>
      <c r="S109" s="60"/>
      <c r="T109" s="60"/>
      <c r="U109" s="174">
        <f t="shared" si="288"/>
        <v>-50152.5</v>
      </c>
      <c r="V109" s="174">
        <f t="shared" si="287"/>
        <v>-2089.6875</v>
      </c>
      <c r="W109" s="167" t="s">
        <v>155</v>
      </c>
      <c r="X109" s="167"/>
      <c r="Y109" s="167"/>
      <c r="Z109" s="175">
        <v>10000003</v>
      </c>
      <c r="AA109" s="38"/>
      <c r="AB109" s="38"/>
    </row>
    <row r="110" spans="1:28" x14ac:dyDescent="0.2">
      <c r="A110" s="181">
        <v>9</v>
      </c>
      <c r="B110" s="206">
        <v>41619</v>
      </c>
      <c r="C110" s="210">
        <v>0.34722222222222227</v>
      </c>
      <c r="D110" s="208">
        <f t="shared" si="284"/>
        <v>-48050.166666666744</v>
      </c>
      <c r="E110" s="223">
        <f t="shared" si="285"/>
        <v>-2002.090277777781</v>
      </c>
      <c r="F110" s="221">
        <v>2000000</v>
      </c>
      <c r="G110" s="221"/>
      <c r="H110" s="221"/>
      <c r="I110" s="221"/>
      <c r="J110" s="78"/>
      <c r="K110" s="61"/>
      <c r="L110" s="61"/>
      <c r="M110"/>
      <c r="N110" s="169">
        <v>9</v>
      </c>
      <c r="O110" s="200">
        <v>41533</v>
      </c>
      <c r="P110" s="236"/>
      <c r="Q110" s="236"/>
      <c r="R110" s="60">
        <v>0.25</v>
      </c>
      <c r="S110" s="60"/>
      <c r="T110" s="60"/>
      <c r="U110" s="174">
        <f t="shared" si="288"/>
        <v>-50116.5</v>
      </c>
      <c r="V110" s="174">
        <f t="shared" si="287"/>
        <v>-2088.1875</v>
      </c>
      <c r="W110" s="167" t="s">
        <v>156</v>
      </c>
      <c r="X110" s="167"/>
      <c r="Y110" s="167"/>
      <c r="Z110" s="175">
        <v>10000004</v>
      </c>
      <c r="AA110" s="38"/>
      <c r="AB110" s="38"/>
    </row>
    <row r="111" spans="1:28" x14ac:dyDescent="0.2">
      <c r="A111" s="181">
        <v>10</v>
      </c>
      <c r="B111" s="206">
        <v>41621</v>
      </c>
      <c r="C111" s="210">
        <v>0.1875</v>
      </c>
      <c r="D111" s="208">
        <f t="shared" si="284"/>
        <v>-48006</v>
      </c>
      <c r="E111" s="223">
        <f t="shared" si="285"/>
        <v>-2000.25</v>
      </c>
      <c r="F111" s="221">
        <v>2000000</v>
      </c>
      <c r="G111" s="221"/>
      <c r="H111" s="221"/>
      <c r="I111" s="221"/>
      <c r="J111" s="78"/>
      <c r="K111" s="61"/>
      <c r="L111" s="61"/>
      <c r="M111" s="18"/>
      <c r="N111" s="169">
        <v>10</v>
      </c>
      <c r="O111" s="200">
        <v>41535</v>
      </c>
      <c r="P111" s="236"/>
      <c r="Q111" s="236"/>
      <c r="R111" s="60">
        <v>0.22569444444444445</v>
      </c>
      <c r="S111" s="60"/>
      <c r="T111" s="60"/>
      <c r="U111" s="174">
        <f t="shared" si="288"/>
        <v>-50069.083333333314</v>
      </c>
      <c r="V111" s="174">
        <f t="shared" si="287"/>
        <v>-2086.2118055555547</v>
      </c>
      <c r="W111" s="167" t="s">
        <v>157</v>
      </c>
      <c r="X111" s="167"/>
      <c r="Y111" s="167"/>
      <c r="Z111" s="175">
        <v>10000005</v>
      </c>
      <c r="AA111" s="38"/>
      <c r="AB111" s="38"/>
    </row>
    <row r="112" spans="1:28" x14ac:dyDescent="0.2">
      <c r="A112" s="181">
        <v>11</v>
      </c>
      <c r="B112" s="206">
        <v>41621</v>
      </c>
      <c r="C112" s="210">
        <v>0.875</v>
      </c>
      <c r="D112" s="208">
        <f t="shared" si="284"/>
        <v>-47989.5</v>
      </c>
      <c r="E112" s="223">
        <f t="shared" si="285"/>
        <v>-1999.5625</v>
      </c>
      <c r="F112" s="221">
        <v>2000000</v>
      </c>
      <c r="G112" s="221"/>
      <c r="H112" s="221"/>
      <c r="I112" s="221"/>
      <c r="J112" s="78"/>
      <c r="K112" s="61"/>
      <c r="L112" s="61"/>
      <c r="M112" s="18"/>
      <c r="N112" s="169">
        <v>11</v>
      </c>
      <c r="O112" s="200">
        <v>41486</v>
      </c>
      <c r="P112" s="236"/>
      <c r="Q112" s="236"/>
      <c r="R112" s="60">
        <v>0.52083333333333337</v>
      </c>
      <c r="S112" s="60"/>
      <c r="T112" s="60"/>
      <c r="U112" s="174">
        <f t="shared" si="288"/>
        <v>-51237.999999999942</v>
      </c>
      <c r="V112" s="174">
        <f t="shared" si="287"/>
        <v>-2134.9166666666642</v>
      </c>
      <c r="W112" s="213"/>
      <c r="X112" s="167"/>
      <c r="Y112" s="167"/>
      <c r="Z112" s="175">
        <v>10000006</v>
      </c>
      <c r="AA112" s="38"/>
      <c r="AB112" s="38"/>
    </row>
    <row r="113" spans="1:28" x14ac:dyDescent="0.2">
      <c r="A113" s="181">
        <v>12</v>
      </c>
      <c r="B113" s="206">
        <v>41622</v>
      </c>
      <c r="C113" s="210">
        <v>0.58333333333333337</v>
      </c>
      <c r="D113" s="208">
        <f t="shared" si="284"/>
        <v>-47972.499999999942</v>
      </c>
      <c r="E113" s="223">
        <f t="shared" si="285"/>
        <v>-1998.8541666666642</v>
      </c>
      <c r="F113" s="221">
        <v>2000000</v>
      </c>
      <c r="G113" s="221"/>
      <c r="H113" s="221"/>
      <c r="I113" s="221"/>
      <c r="J113" s="78"/>
      <c r="K113" s="61"/>
      <c r="L113" s="61"/>
      <c r="M113"/>
      <c r="N113" s="169">
        <v>12</v>
      </c>
      <c r="O113" s="200">
        <v>41489</v>
      </c>
      <c r="P113" s="236"/>
      <c r="Q113" s="236"/>
      <c r="R113" s="60">
        <v>0.625</v>
      </c>
      <c r="S113" s="60"/>
      <c r="T113" s="60"/>
      <c r="U113" s="174">
        <f t="shared" si="288"/>
        <v>-51163.5</v>
      </c>
      <c r="V113" s="174">
        <f t="shared" si="287"/>
        <v>-2131.8125</v>
      </c>
      <c r="W113" s="213"/>
      <c r="X113" s="167"/>
      <c r="Y113" s="167"/>
      <c r="Z113" s="175">
        <v>10000007</v>
      </c>
      <c r="AA113" s="38"/>
      <c r="AB113" s="38"/>
    </row>
    <row r="114" spans="1:28" x14ac:dyDescent="0.2">
      <c r="A114" s="181">
        <v>13</v>
      </c>
      <c r="B114" s="206">
        <v>41623</v>
      </c>
      <c r="C114" s="210">
        <v>0.70833333333333337</v>
      </c>
      <c r="D114" s="208">
        <f t="shared" si="284"/>
        <v>-47945.499999999942</v>
      </c>
      <c r="E114" s="223">
        <f t="shared" si="285"/>
        <v>-1997.7291666666642</v>
      </c>
      <c r="F114" s="221">
        <v>2000000</v>
      </c>
      <c r="G114" s="221"/>
      <c r="H114" s="221"/>
      <c r="I114" s="221"/>
      <c r="J114" s="78"/>
      <c r="K114" s="61"/>
      <c r="L114" s="61"/>
      <c r="M114"/>
      <c r="N114" s="169">
        <v>13</v>
      </c>
      <c r="O114" s="200">
        <v>41495</v>
      </c>
      <c r="P114" s="236"/>
      <c r="Q114" s="236"/>
      <c r="R114" s="60">
        <v>2.0833333333333332E-2</v>
      </c>
      <c r="S114" s="60"/>
      <c r="T114" s="60"/>
      <c r="U114" s="174">
        <f t="shared" si="288"/>
        <v>-51033.999999999942</v>
      </c>
      <c r="V114" s="174">
        <f t="shared" si="287"/>
        <v>-2126.4166666666642</v>
      </c>
      <c r="W114" s="213"/>
      <c r="X114" s="167"/>
      <c r="Y114" s="167"/>
      <c r="Z114" s="175">
        <v>10000008</v>
      </c>
      <c r="AA114" s="38"/>
      <c r="AB114" s="38"/>
    </row>
    <row r="115" spans="1:28" x14ac:dyDescent="0.2">
      <c r="A115" s="181">
        <v>14</v>
      </c>
      <c r="B115" s="206">
        <v>41624</v>
      </c>
      <c r="C115" s="210">
        <v>0.37152777777777773</v>
      </c>
      <c r="D115" s="208">
        <f t="shared" si="284"/>
        <v>-47929.583333333256</v>
      </c>
      <c r="E115" s="223">
        <f t="shared" si="285"/>
        <v>-1997.065972222219</v>
      </c>
      <c r="F115" s="221">
        <v>2000000</v>
      </c>
      <c r="G115" s="221"/>
      <c r="H115" s="221"/>
      <c r="I115" s="221"/>
      <c r="J115" s="78"/>
      <c r="K115" s="61"/>
      <c r="L115" s="61"/>
      <c r="M115"/>
      <c r="N115" s="169">
        <v>14</v>
      </c>
      <c r="O115" s="200">
        <v>41500</v>
      </c>
      <c r="P115" s="236"/>
      <c r="Q115" s="236"/>
      <c r="R115" s="60">
        <v>0.58333333333333337</v>
      </c>
      <c r="S115" s="60"/>
      <c r="T115" s="60"/>
      <c r="U115" s="174">
        <f t="shared" si="288"/>
        <v>-50900.499999999942</v>
      </c>
      <c r="V115" s="174">
        <f t="shared" si="287"/>
        <v>-2120.8541666666642</v>
      </c>
      <c r="W115" s="213"/>
      <c r="X115" s="167"/>
      <c r="Y115" s="167"/>
      <c r="Z115" s="175">
        <v>10000009</v>
      </c>
      <c r="AA115" s="38"/>
      <c r="AB115" s="38"/>
    </row>
    <row r="116" spans="1:28" x14ac:dyDescent="0.2">
      <c r="A116" s="181">
        <v>15</v>
      </c>
      <c r="B116" s="206">
        <v>41624</v>
      </c>
      <c r="C116" s="210">
        <v>0.95833333333333337</v>
      </c>
      <c r="D116" s="208">
        <f t="shared" si="284"/>
        <v>-47915.499999999942</v>
      </c>
      <c r="E116" s="223">
        <f t="shared" si="285"/>
        <v>-1996.4791666666642</v>
      </c>
      <c r="F116" s="221">
        <v>2000000</v>
      </c>
      <c r="G116" s="221"/>
      <c r="H116" s="221"/>
      <c r="I116" s="221"/>
      <c r="J116" s="78"/>
      <c r="K116" s="61"/>
      <c r="L116" s="61"/>
      <c r="N116" s="169">
        <v>15</v>
      </c>
      <c r="O116" s="200">
        <v>41503</v>
      </c>
      <c r="P116" s="236"/>
      <c r="Q116" s="236"/>
      <c r="R116" s="60">
        <v>0.58680555555555558</v>
      </c>
      <c r="S116" s="60"/>
      <c r="T116" s="60"/>
      <c r="U116" s="174">
        <f t="shared" si="288"/>
        <v>-50828.416666666686</v>
      </c>
      <c r="V116" s="174">
        <f t="shared" si="287"/>
        <v>-2117.8506944444453</v>
      </c>
      <c r="W116" s="213"/>
      <c r="X116" s="167"/>
      <c r="Y116" s="167"/>
      <c r="Z116" s="175">
        <v>10000010</v>
      </c>
      <c r="AA116" s="38"/>
      <c r="AB116" s="38"/>
    </row>
    <row r="117" spans="1:28" x14ac:dyDescent="0.2">
      <c r="A117" s="181">
        <v>16</v>
      </c>
      <c r="B117" s="206">
        <v>41625</v>
      </c>
      <c r="C117" s="210">
        <v>0.45833333333333331</v>
      </c>
      <c r="D117" s="208">
        <f t="shared" si="284"/>
        <v>-47903.499999999942</v>
      </c>
      <c r="E117" s="223">
        <f t="shared" si="285"/>
        <v>-1995.9791666666642</v>
      </c>
      <c r="F117" s="221">
        <v>2000000</v>
      </c>
      <c r="G117" s="221"/>
      <c r="H117" s="221"/>
      <c r="I117" s="221"/>
      <c r="J117" s="78"/>
      <c r="K117" s="61"/>
      <c r="L117" s="61"/>
      <c r="M117"/>
      <c r="N117" s="169">
        <v>16</v>
      </c>
      <c r="O117" s="200">
        <v>41505</v>
      </c>
      <c r="P117" s="236"/>
      <c r="Q117" s="236"/>
      <c r="R117" s="60">
        <v>0.45833333333333331</v>
      </c>
      <c r="S117" s="60"/>
      <c r="T117" s="60"/>
      <c r="U117" s="174">
        <f t="shared" si="288"/>
        <v>-50783.499999999942</v>
      </c>
      <c r="V117" s="174">
        <f t="shared" si="287"/>
        <v>-2115.9791666666642</v>
      </c>
      <c r="W117" s="213"/>
      <c r="X117" s="167"/>
      <c r="Y117" s="167"/>
      <c r="Z117" s="175">
        <v>10000011</v>
      </c>
      <c r="AA117" s="38"/>
      <c r="AB117" s="38"/>
    </row>
    <row r="118" spans="1:28" x14ac:dyDescent="0.2">
      <c r="A118" s="181">
        <v>17</v>
      </c>
      <c r="B118" s="206">
        <v>41625</v>
      </c>
      <c r="C118" s="210">
        <v>0.95833333333333337</v>
      </c>
      <c r="D118" s="208">
        <f t="shared" si="284"/>
        <v>-47891.499999999942</v>
      </c>
      <c r="E118" s="223">
        <f t="shared" si="285"/>
        <v>-1995.4791666666642</v>
      </c>
      <c r="F118" s="221">
        <v>2000000</v>
      </c>
      <c r="G118" s="221"/>
      <c r="H118" s="221"/>
      <c r="I118" s="221"/>
      <c r="J118" s="78"/>
      <c r="K118" s="61"/>
      <c r="L118" s="61"/>
      <c r="M118"/>
      <c r="N118" s="169">
        <v>17</v>
      </c>
      <c r="O118" s="200"/>
      <c r="P118" s="236"/>
      <c r="Q118" s="236"/>
      <c r="R118" s="60"/>
      <c r="S118" s="60"/>
      <c r="T118" s="60"/>
      <c r="U118" s="174"/>
      <c r="V118" s="174"/>
      <c r="W118" s="213"/>
      <c r="X118" s="167"/>
      <c r="Y118" s="167"/>
      <c r="Z118" s="175">
        <v>10000012</v>
      </c>
      <c r="AA118" s="38"/>
      <c r="AB118" s="38"/>
    </row>
    <row r="119" spans="1:28" x14ac:dyDescent="0.2">
      <c r="A119" s="181">
        <v>18</v>
      </c>
      <c r="B119" s="206">
        <v>41626</v>
      </c>
      <c r="C119" s="210">
        <v>0.45833333333333331</v>
      </c>
      <c r="D119" s="208">
        <f t="shared" si="284"/>
        <v>-47879.499999999942</v>
      </c>
      <c r="E119" s="223">
        <f t="shared" si="285"/>
        <v>-1994.9791666666642</v>
      </c>
      <c r="F119" s="221">
        <v>2000000</v>
      </c>
      <c r="G119" s="221"/>
      <c r="H119" s="221"/>
      <c r="I119" s="221"/>
      <c r="J119" s="78"/>
      <c r="K119" s="61"/>
      <c r="L119" s="61"/>
      <c r="M119"/>
      <c r="N119" s="212"/>
      <c r="O119" s="203"/>
      <c r="P119" s="237"/>
      <c r="Q119" s="237"/>
      <c r="R119" s="60"/>
      <c r="S119" s="60"/>
      <c r="T119" s="60"/>
      <c r="U119" s="87"/>
      <c r="V119" s="87"/>
      <c r="W119" s="213"/>
      <c r="Z119" s="78"/>
      <c r="AA119" s="38"/>
      <c r="AB119" s="38"/>
    </row>
    <row r="120" spans="1:28" x14ac:dyDescent="0.2">
      <c r="A120" s="181">
        <v>19</v>
      </c>
      <c r="B120" s="206">
        <v>41626</v>
      </c>
      <c r="C120" s="210">
        <v>0.95833333333333337</v>
      </c>
      <c r="D120" s="208">
        <f t="shared" si="284"/>
        <v>-47867.499999999942</v>
      </c>
      <c r="E120" s="223">
        <f t="shared" si="285"/>
        <v>-1994.4791666666642</v>
      </c>
      <c r="F120" s="221">
        <v>2000000</v>
      </c>
      <c r="G120" s="221"/>
      <c r="H120" s="221"/>
      <c r="I120" s="221"/>
      <c r="J120" s="78"/>
      <c r="K120" s="61"/>
      <c r="L120" s="61"/>
      <c r="M120"/>
      <c r="N120" s="212"/>
      <c r="O120" s="203"/>
      <c r="P120" s="237"/>
      <c r="Q120" s="237"/>
      <c r="R120" s="60"/>
      <c r="S120" s="60"/>
      <c r="T120" s="60"/>
      <c r="U120" s="87"/>
      <c r="V120" s="87"/>
      <c r="W120" s="213"/>
      <c r="Z120" s="78"/>
      <c r="AA120" s="38"/>
      <c r="AB120" s="38"/>
    </row>
    <row r="121" spans="1:28" x14ac:dyDescent="0.2">
      <c r="A121" s="181">
        <v>20</v>
      </c>
      <c r="B121" s="206">
        <v>41627</v>
      </c>
      <c r="C121" s="210">
        <v>0.45833333333333331</v>
      </c>
      <c r="D121" s="208">
        <f t="shared" si="284"/>
        <v>-47855.499999999942</v>
      </c>
      <c r="E121" s="223">
        <f t="shared" ref="E121:E127" si="289">D121/24</f>
        <v>-1993.9791666666642</v>
      </c>
      <c r="F121" s="221">
        <v>2000000</v>
      </c>
      <c r="G121" s="221"/>
      <c r="H121" s="221"/>
      <c r="I121" s="221"/>
      <c r="J121" s="78"/>
      <c r="K121" s="61"/>
      <c r="L121" s="61"/>
      <c r="M121"/>
      <c r="N121" s="212"/>
      <c r="O121" s="203"/>
      <c r="P121" s="237"/>
      <c r="Q121" s="237"/>
      <c r="R121" s="60"/>
      <c r="S121" s="60"/>
      <c r="T121" s="60"/>
      <c r="U121" s="87"/>
      <c r="V121" s="87"/>
      <c r="W121" s="213"/>
      <c r="Z121" s="78"/>
      <c r="AA121" s="38"/>
      <c r="AB121" s="38"/>
    </row>
    <row r="122" spans="1:28" x14ac:dyDescent="0.2">
      <c r="A122" s="181">
        <v>21</v>
      </c>
      <c r="B122" s="206">
        <v>41627</v>
      </c>
      <c r="C122" s="210">
        <v>0.95833333333333337</v>
      </c>
      <c r="D122" s="208">
        <f t="shared" si="284"/>
        <v>-47843.499999999942</v>
      </c>
      <c r="E122" s="223">
        <f t="shared" si="289"/>
        <v>-1993.4791666666642</v>
      </c>
      <c r="F122" s="221">
        <v>2000000</v>
      </c>
      <c r="G122" s="221"/>
      <c r="H122" s="221"/>
      <c r="I122" s="221"/>
      <c r="J122" s="78"/>
      <c r="K122" s="61"/>
      <c r="L122" s="61"/>
      <c r="M122"/>
      <c r="N122" s="212"/>
      <c r="O122" s="203"/>
      <c r="P122" s="237"/>
      <c r="Q122" s="237"/>
      <c r="R122" s="60"/>
      <c r="S122" s="60"/>
      <c r="T122" s="60"/>
      <c r="U122" s="87"/>
      <c r="V122" s="87"/>
      <c r="W122" s="213"/>
      <c r="Z122" s="78"/>
      <c r="AA122" s="38"/>
      <c r="AB122" s="38"/>
    </row>
    <row r="123" spans="1:28" x14ac:dyDescent="0.2">
      <c r="A123" s="181">
        <v>22</v>
      </c>
      <c r="B123" s="206">
        <v>41628</v>
      </c>
      <c r="C123" s="210">
        <v>0.44444444444444442</v>
      </c>
      <c r="D123" s="208">
        <f t="shared" si="284"/>
        <v>-47831.833333333314</v>
      </c>
      <c r="E123" s="223">
        <f t="shared" si="289"/>
        <v>-1992.9930555555547</v>
      </c>
      <c r="F123" s="221">
        <v>2000000</v>
      </c>
      <c r="G123" s="221"/>
      <c r="H123" s="221"/>
      <c r="I123" s="221"/>
      <c r="J123" s="78"/>
      <c r="K123" s="61"/>
      <c r="L123" s="61"/>
      <c r="M123"/>
      <c r="N123" s="212"/>
      <c r="O123" s="203"/>
      <c r="P123" s="237"/>
      <c r="Q123" s="237"/>
      <c r="R123" s="60"/>
      <c r="S123" s="60"/>
      <c r="T123" s="60"/>
      <c r="U123" s="87"/>
      <c r="V123" s="87"/>
      <c r="W123" s="213"/>
      <c r="Z123" s="78"/>
      <c r="AB123" s="38"/>
    </row>
    <row r="124" spans="1:28" x14ac:dyDescent="0.2">
      <c r="A124" s="181">
        <v>23</v>
      </c>
      <c r="B124" s="206">
        <v>41628</v>
      </c>
      <c r="C124" s="210">
        <v>0.875</v>
      </c>
      <c r="D124" s="208">
        <f t="shared" si="284"/>
        <v>-47821.5</v>
      </c>
      <c r="E124" s="223">
        <f t="shared" si="289"/>
        <v>-1992.5625</v>
      </c>
      <c r="F124" s="221">
        <v>2000000</v>
      </c>
      <c r="G124" s="221"/>
      <c r="H124" s="221"/>
      <c r="I124" s="221"/>
      <c r="J124" s="78"/>
      <c r="K124" s="61"/>
      <c r="L124" s="61"/>
      <c r="N124" s="212"/>
      <c r="O124" s="203"/>
      <c r="P124" s="237"/>
      <c r="Q124" s="237"/>
      <c r="R124" s="60"/>
      <c r="S124" s="60"/>
      <c r="T124" s="60"/>
      <c r="U124" s="87"/>
      <c r="V124" s="87"/>
      <c r="W124" s="213"/>
      <c r="Z124" s="78"/>
      <c r="AB124" s="38"/>
    </row>
    <row r="125" spans="1:28" x14ac:dyDescent="0.2">
      <c r="A125" s="181">
        <v>24</v>
      </c>
      <c r="B125" s="206">
        <v>41629</v>
      </c>
      <c r="C125" s="210">
        <v>8.3333333333333329E-2</v>
      </c>
      <c r="D125" s="208">
        <f t="shared" si="284"/>
        <v>-47816.499999999942</v>
      </c>
      <c r="E125" s="223">
        <f t="shared" si="289"/>
        <v>-1992.3541666666642</v>
      </c>
      <c r="F125" s="221">
        <v>2000000</v>
      </c>
      <c r="G125" s="221"/>
      <c r="H125" s="221"/>
      <c r="I125" s="221"/>
      <c r="J125" s="78"/>
      <c r="K125" s="61"/>
      <c r="L125" s="61"/>
      <c r="N125" s="212"/>
      <c r="O125" s="203"/>
      <c r="P125" s="237"/>
      <c r="Q125" s="237"/>
      <c r="R125" s="60"/>
      <c r="S125" s="60"/>
      <c r="T125" s="60"/>
      <c r="U125" s="87"/>
      <c r="V125" s="87"/>
      <c r="Z125" s="78"/>
      <c r="AB125" s="38"/>
    </row>
    <row r="126" spans="1:28" x14ac:dyDescent="0.2">
      <c r="A126" s="181">
        <v>25</v>
      </c>
      <c r="B126" s="206">
        <v>41629</v>
      </c>
      <c r="C126" s="210">
        <v>0.41666666666666669</v>
      </c>
      <c r="D126" s="208">
        <f t="shared" si="284"/>
        <v>-47808.500000000058</v>
      </c>
      <c r="E126" s="223">
        <f t="shared" si="289"/>
        <v>-1992.0208333333358</v>
      </c>
      <c r="F126" s="221">
        <v>2000000</v>
      </c>
      <c r="G126" s="221"/>
      <c r="H126" s="221"/>
      <c r="I126" s="221"/>
      <c r="J126" s="78"/>
      <c r="K126" s="61"/>
      <c r="L126" s="61"/>
      <c r="N126" s="212"/>
      <c r="O126"/>
      <c r="P126"/>
      <c r="Q126"/>
      <c r="R126" s="60"/>
      <c r="S126" s="60"/>
      <c r="T126" s="60"/>
      <c r="U126" s="87"/>
      <c r="V126" s="87"/>
      <c r="Z126" s="78"/>
    </row>
    <row r="127" spans="1:28" x14ac:dyDescent="0.2">
      <c r="A127" s="181">
        <v>26</v>
      </c>
      <c r="B127" s="206">
        <v>41629</v>
      </c>
      <c r="C127" s="210">
        <v>0.91666666666666663</v>
      </c>
      <c r="D127" s="208">
        <f t="shared" si="284"/>
        <v>-47796.500000000058</v>
      </c>
      <c r="E127" s="223">
        <f t="shared" si="289"/>
        <v>-1991.5208333333358</v>
      </c>
      <c r="F127" s="221">
        <v>2000000</v>
      </c>
      <c r="G127" s="221"/>
      <c r="H127" s="221"/>
      <c r="I127" s="221"/>
      <c r="J127" s="78"/>
      <c r="K127" s="61"/>
      <c r="L127" s="61"/>
      <c r="N127" s="212"/>
      <c r="O127"/>
      <c r="P127"/>
      <c r="Q127"/>
      <c r="R127" s="60"/>
      <c r="S127" s="60"/>
      <c r="T127" s="60"/>
      <c r="U127" s="87"/>
      <c r="V127" s="87"/>
      <c r="W127" s="213"/>
      <c r="Z127" s="78"/>
    </row>
    <row r="128" spans="1:28" x14ac:dyDescent="0.2">
      <c r="A128" s="181">
        <v>27</v>
      </c>
      <c r="B128" s="206">
        <v>41630</v>
      </c>
      <c r="C128" s="210">
        <v>0.3263888888888889</v>
      </c>
      <c r="D128" s="208">
        <f t="shared" ref="D128:D144" si="290">(B128+C128-(Inoculo_Fecha+Inoculo_Hora))*24</f>
        <v>-47786.666666666628</v>
      </c>
      <c r="E128" s="223">
        <f t="shared" ref="E128:E144" si="291">D128/24</f>
        <v>-1991.1111111111095</v>
      </c>
      <c r="F128" s="221">
        <v>2000000</v>
      </c>
      <c r="G128" s="221"/>
      <c r="H128" s="221"/>
      <c r="I128" s="221"/>
      <c r="J128" s="78"/>
      <c r="K128" s="61"/>
      <c r="L128" s="61"/>
      <c r="N128" s="212"/>
      <c r="O128"/>
      <c r="P128"/>
      <c r="Q128"/>
      <c r="R128" s="60"/>
      <c r="S128" s="60"/>
      <c r="T128" s="60"/>
      <c r="U128" s="87"/>
      <c r="V128" s="87"/>
      <c r="Z128" s="78"/>
    </row>
    <row r="129" spans="1:26" x14ac:dyDescent="0.2">
      <c r="A129" s="181">
        <v>28</v>
      </c>
      <c r="B129" s="206">
        <v>41630</v>
      </c>
      <c r="C129" s="210">
        <v>0.71527777777777779</v>
      </c>
      <c r="D129" s="208">
        <f t="shared" si="290"/>
        <v>-47777.333333333256</v>
      </c>
      <c r="E129" s="223">
        <f t="shared" si="291"/>
        <v>-1990.722222222219</v>
      </c>
      <c r="F129" s="221">
        <v>2000000</v>
      </c>
      <c r="G129" s="221"/>
      <c r="H129" s="221"/>
      <c r="I129" s="221"/>
      <c r="J129" s="78"/>
      <c r="K129" s="61"/>
      <c r="L129" s="61"/>
      <c r="N129" s="212"/>
      <c r="O129"/>
      <c r="P129"/>
      <c r="Q129"/>
      <c r="R129" s="60"/>
      <c r="S129" s="60"/>
      <c r="T129" s="60"/>
      <c r="U129" s="87"/>
      <c r="V129" s="87"/>
      <c r="Z129" s="78"/>
    </row>
    <row r="130" spans="1:26" x14ac:dyDescent="0.2">
      <c r="A130" s="181">
        <v>29</v>
      </c>
      <c r="B130" s="206">
        <v>41631</v>
      </c>
      <c r="C130" s="210">
        <v>0.22916666666666666</v>
      </c>
      <c r="D130" s="208">
        <f t="shared" si="290"/>
        <v>-47765.000000000058</v>
      </c>
      <c r="E130" s="223">
        <f t="shared" si="291"/>
        <v>-1990.2083333333358</v>
      </c>
      <c r="F130" s="221">
        <v>2000000</v>
      </c>
      <c r="G130" s="221"/>
      <c r="H130" s="221"/>
      <c r="I130" s="221"/>
      <c r="J130" s="78"/>
      <c r="K130" s="61"/>
      <c r="L130" s="61"/>
      <c r="N130" s="212"/>
      <c r="O130"/>
      <c r="P130"/>
      <c r="Q130"/>
      <c r="R130" s="60"/>
      <c r="S130" s="60"/>
      <c r="T130" s="60"/>
      <c r="U130" s="87"/>
      <c r="V130" s="87"/>
      <c r="W130" s="213"/>
      <c r="Z130" s="78"/>
    </row>
    <row r="131" spans="1:26" x14ac:dyDescent="0.2">
      <c r="A131" s="181">
        <v>30</v>
      </c>
      <c r="B131" s="231">
        <v>41537</v>
      </c>
      <c r="C131" s="232">
        <v>6.9444444444444447E-4</v>
      </c>
      <c r="D131" s="193">
        <f t="shared" si="290"/>
        <v>-50026.483333333279</v>
      </c>
      <c r="E131" s="216">
        <f t="shared" si="291"/>
        <v>-2084.4368055555533</v>
      </c>
      <c r="F131" s="233">
        <v>2000000</v>
      </c>
      <c r="G131" s="230"/>
      <c r="H131" s="230"/>
      <c r="I131" s="230"/>
    </row>
    <row r="132" spans="1:26" x14ac:dyDescent="0.2">
      <c r="A132" s="181">
        <v>31</v>
      </c>
      <c r="B132" s="231">
        <v>41537</v>
      </c>
      <c r="C132" s="232">
        <v>0.375</v>
      </c>
      <c r="D132" s="193">
        <f t="shared" si="290"/>
        <v>-50017.5</v>
      </c>
      <c r="E132" s="216">
        <f t="shared" si="291"/>
        <v>-2084.0625</v>
      </c>
      <c r="F132" s="233">
        <v>2000000</v>
      </c>
      <c r="G132" s="230"/>
      <c r="H132" s="230"/>
      <c r="I132" s="230"/>
    </row>
    <row r="133" spans="1:26" x14ac:dyDescent="0.2">
      <c r="A133" s="181">
        <v>32</v>
      </c>
      <c r="B133" s="231">
        <v>41537</v>
      </c>
      <c r="C133" s="232">
        <v>0.625</v>
      </c>
      <c r="D133" s="193">
        <f t="shared" si="290"/>
        <v>-50011.5</v>
      </c>
      <c r="E133" s="216">
        <f t="shared" si="291"/>
        <v>-2083.8125</v>
      </c>
      <c r="F133" s="233">
        <v>2000000</v>
      </c>
      <c r="G133" s="230"/>
      <c r="H133" s="230"/>
      <c r="I133" s="230"/>
    </row>
    <row r="134" spans="1:26" x14ac:dyDescent="0.2">
      <c r="A134" s="181">
        <v>33</v>
      </c>
      <c r="B134" s="231">
        <v>41537</v>
      </c>
      <c r="C134" s="232">
        <v>0.97222222222222221</v>
      </c>
      <c r="D134" s="193">
        <f t="shared" si="290"/>
        <v>-50003.166666666744</v>
      </c>
      <c r="E134" s="216">
        <f t="shared" si="291"/>
        <v>-2083.465277777781</v>
      </c>
      <c r="F134" s="233">
        <v>2000000</v>
      </c>
      <c r="G134" s="230"/>
      <c r="H134" s="230"/>
      <c r="I134" s="230"/>
    </row>
    <row r="135" spans="1:26" x14ac:dyDescent="0.2">
      <c r="A135" s="181">
        <v>34</v>
      </c>
      <c r="B135" s="231">
        <v>41538</v>
      </c>
      <c r="C135" s="232">
        <v>0.3125</v>
      </c>
      <c r="D135" s="193">
        <f t="shared" si="290"/>
        <v>-49995</v>
      </c>
      <c r="E135" s="216">
        <f t="shared" si="291"/>
        <v>-2083.125</v>
      </c>
      <c r="F135" s="233">
        <v>2000000</v>
      </c>
      <c r="G135" s="230"/>
      <c r="H135" s="230"/>
      <c r="I135" s="230"/>
    </row>
    <row r="136" spans="1:26" x14ac:dyDescent="0.2">
      <c r="A136" s="181">
        <v>35</v>
      </c>
      <c r="B136" s="231">
        <v>41541</v>
      </c>
      <c r="C136" s="232">
        <v>0.27777777777777779</v>
      </c>
      <c r="D136" s="193">
        <f t="shared" si="290"/>
        <v>-49923.833333333256</v>
      </c>
      <c r="E136" s="216">
        <f t="shared" si="291"/>
        <v>-2080.159722222219</v>
      </c>
      <c r="F136" s="233">
        <v>2000000</v>
      </c>
      <c r="G136" s="230"/>
      <c r="H136" s="230"/>
      <c r="I136" s="230"/>
    </row>
    <row r="137" spans="1:26" x14ac:dyDescent="0.2">
      <c r="A137" s="181">
        <v>36</v>
      </c>
      <c r="B137" s="231">
        <v>41548</v>
      </c>
      <c r="C137" s="232">
        <v>0.58333333333333337</v>
      </c>
      <c r="D137" s="193">
        <f t="shared" si="290"/>
        <v>-49748.499999999942</v>
      </c>
      <c r="E137" s="216">
        <f t="shared" si="291"/>
        <v>-2072.8541666666642</v>
      </c>
      <c r="F137" s="233">
        <v>2000000</v>
      </c>
      <c r="G137" s="230"/>
      <c r="H137" s="230"/>
      <c r="I137" s="230"/>
    </row>
    <row r="138" spans="1:26" x14ac:dyDescent="0.2">
      <c r="A138" s="181">
        <v>37</v>
      </c>
      <c r="B138" s="231">
        <v>41549</v>
      </c>
      <c r="C138" s="232">
        <v>0.47916666666666669</v>
      </c>
      <c r="D138" s="193">
        <f t="shared" si="290"/>
        <v>-49727.000000000058</v>
      </c>
      <c r="E138" s="216">
        <f t="shared" si="291"/>
        <v>-2071.9583333333358</v>
      </c>
      <c r="F138" s="233">
        <v>2000000</v>
      </c>
      <c r="G138" s="230"/>
      <c r="H138" s="230"/>
      <c r="I138" s="230"/>
    </row>
    <row r="139" spans="1:26" x14ac:dyDescent="0.2">
      <c r="A139" s="181">
        <v>38</v>
      </c>
      <c r="B139" s="231">
        <v>41550</v>
      </c>
      <c r="C139" s="232">
        <v>0.47916666666666669</v>
      </c>
      <c r="D139" s="193">
        <f t="shared" si="290"/>
        <v>-49703.000000000058</v>
      </c>
      <c r="E139" s="216">
        <f t="shared" si="291"/>
        <v>-2070.9583333333358</v>
      </c>
      <c r="F139" s="233">
        <v>2000000</v>
      </c>
      <c r="G139" s="230"/>
      <c r="H139" s="230"/>
      <c r="I139" s="230"/>
    </row>
    <row r="140" spans="1:26" x14ac:dyDescent="0.2">
      <c r="A140" s="181">
        <v>39</v>
      </c>
      <c r="B140" s="231">
        <v>41550</v>
      </c>
      <c r="C140" s="232">
        <v>0.97916666666666663</v>
      </c>
      <c r="D140" s="193">
        <f t="shared" si="290"/>
        <v>-49691.000000000058</v>
      </c>
      <c r="E140" s="216">
        <f t="shared" si="291"/>
        <v>-2070.4583333333358</v>
      </c>
      <c r="F140" s="233">
        <v>2000000</v>
      </c>
      <c r="G140" s="230"/>
      <c r="H140" s="230"/>
      <c r="I140" s="230"/>
    </row>
    <row r="141" spans="1:26" x14ac:dyDescent="0.2">
      <c r="A141" s="181">
        <v>40</v>
      </c>
      <c r="B141" s="231"/>
      <c r="C141" s="232"/>
      <c r="D141" s="193">
        <f t="shared" si="290"/>
        <v>-1046914.5</v>
      </c>
      <c r="E141" s="216">
        <f t="shared" si="291"/>
        <v>-43621.4375</v>
      </c>
      <c r="F141" s="233">
        <v>2000000</v>
      </c>
      <c r="G141" s="230"/>
      <c r="H141" s="230"/>
      <c r="I141" s="230"/>
    </row>
    <row r="142" spans="1:26" x14ac:dyDescent="0.2">
      <c r="A142" s="181">
        <v>41</v>
      </c>
      <c r="B142" s="231"/>
      <c r="C142" s="232"/>
      <c r="D142" s="193">
        <f t="shared" si="290"/>
        <v>-1046914.5</v>
      </c>
      <c r="E142" s="216">
        <f t="shared" si="291"/>
        <v>-43621.4375</v>
      </c>
      <c r="F142" s="233">
        <v>2000000</v>
      </c>
      <c r="G142" s="230"/>
      <c r="H142" s="230"/>
      <c r="I142" s="230"/>
    </row>
    <row r="143" spans="1:26" x14ac:dyDescent="0.2">
      <c r="A143" s="181">
        <v>42</v>
      </c>
      <c r="B143" s="231"/>
      <c r="C143" s="232"/>
      <c r="D143" s="193">
        <f t="shared" si="290"/>
        <v>-1046914.5</v>
      </c>
      <c r="E143" s="216">
        <f t="shared" si="291"/>
        <v>-43621.4375</v>
      </c>
      <c r="F143" s="233">
        <v>2000000</v>
      </c>
      <c r="G143" s="230"/>
      <c r="H143" s="230"/>
      <c r="I143" s="230"/>
    </row>
    <row r="144" spans="1:26" x14ac:dyDescent="0.2">
      <c r="A144" s="181">
        <v>43</v>
      </c>
      <c r="B144" s="231"/>
      <c r="C144" s="232"/>
      <c r="D144" s="193">
        <f t="shared" si="290"/>
        <v>-1046914.5</v>
      </c>
      <c r="E144" s="216">
        <f t="shared" si="291"/>
        <v>-43621.4375</v>
      </c>
      <c r="F144" s="233">
        <v>2000000</v>
      </c>
      <c r="G144" s="230"/>
      <c r="H144" s="230"/>
      <c r="I144" s="230"/>
    </row>
    <row r="145" spans="1:9" x14ac:dyDescent="0.2">
      <c r="A145" s="181">
        <v>44</v>
      </c>
      <c r="B145" s="231"/>
      <c r="C145" s="232"/>
      <c r="D145" s="193">
        <f t="shared" ref="D145:D150" si="292">(B145+C145-(Inoculo_Fecha+Inoculo_Hora))*24</f>
        <v>-1046914.5</v>
      </c>
      <c r="E145" s="216">
        <f t="shared" ref="E145:E150" si="293">D145/24</f>
        <v>-43621.4375</v>
      </c>
      <c r="F145" s="233">
        <v>2000000</v>
      </c>
      <c r="G145" s="230"/>
      <c r="H145" s="230"/>
      <c r="I145" s="230"/>
    </row>
    <row r="146" spans="1:9" x14ac:dyDescent="0.2">
      <c r="A146" s="181">
        <v>45</v>
      </c>
      <c r="B146" s="231"/>
      <c r="C146" s="232"/>
      <c r="D146" s="193">
        <f t="shared" si="292"/>
        <v>-1046914.5</v>
      </c>
      <c r="E146" s="216">
        <f t="shared" si="293"/>
        <v>-43621.4375</v>
      </c>
      <c r="F146" s="233">
        <v>2000000</v>
      </c>
      <c r="G146" s="230"/>
      <c r="H146" s="230"/>
      <c r="I146" s="230"/>
    </row>
    <row r="147" spans="1:9" x14ac:dyDescent="0.2">
      <c r="A147" s="181">
        <v>46</v>
      </c>
      <c r="B147" s="231"/>
      <c r="C147" s="232"/>
      <c r="D147" s="193">
        <f t="shared" si="292"/>
        <v>-1046914.5</v>
      </c>
      <c r="E147" s="216">
        <f t="shared" si="293"/>
        <v>-43621.4375</v>
      </c>
      <c r="F147" s="233">
        <v>2000000</v>
      </c>
      <c r="G147" s="230"/>
      <c r="H147" s="230"/>
      <c r="I147" s="230"/>
    </row>
    <row r="148" spans="1:9" x14ac:dyDescent="0.2">
      <c r="A148" s="181">
        <v>47</v>
      </c>
      <c r="B148" s="231"/>
      <c r="C148" s="232"/>
      <c r="D148" s="193">
        <f t="shared" si="292"/>
        <v>-1046914.5</v>
      </c>
      <c r="E148" s="216">
        <f t="shared" si="293"/>
        <v>-43621.4375</v>
      </c>
      <c r="F148" s="233">
        <v>2000000</v>
      </c>
      <c r="G148" s="230"/>
      <c r="H148" s="230"/>
      <c r="I148" s="230"/>
    </row>
    <row r="149" spans="1:9" x14ac:dyDescent="0.2">
      <c r="A149" s="181">
        <v>48</v>
      </c>
      <c r="B149" s="231"/>
      <c r="C149" s="232"/>
      <c r="D149" s="193">
        <f t="shared" si="292"/>
        <v>-1046914.5</v>
      </c>
      <c r="E149" s="216">
        <f t="shared" si="293"/>
        <v>-43621.4375</v>
      </c>
      <c r="F149" s="233">
        <v>2000000</v>
      </c>
      <c r="G149" s="230"/>
      <c r="H149" s="230"/>
      <c r="I149" s="230"/>
    </row>
    <row r="150" spans="1:9" x14ac:dyDescent="0.2">
      <c r="A150" s="181">
        <v>49</v>
      </c>
      <c r="B150" s="231"/>
      <c r="C150" s="232"/>
      <c r="D150" s="193">
        <f t="shared" si="292"/>
        <v>-1046914.5</v>
      </c>
      <c r="E150" s="216">
        <f t="shared" si="293"/>
        <v>-43621.4375</v>
      </c>
      <c r="F150" s="233">
        <v>2000000</v>
      </c>
      <c r="G150" s="230"/>
      <c r="H150" s="230"/>
      <c r="I150" s="230"/>
    </row>
    <row r="151" spans="1:9" x14ac:dyDescent="0.2">
      <c r="A151" s="181">
        <v>50</v>
      </c>
      <c r="B151" s="231"/>
      <c r="C151" s="232"/>
      <c r="D151" s="193">
        <f t="shared" ref="D151:D172" si="294">(B151+C151-(Inoculo_Fecha+Inoculo_Hora))*24</f>
        <v>-1046914.5</v>
      </c>
      <c r="E151" s="216">
        <f t="shared" ref="E151:E172" si="295">D151/24</f>
        <v>-43621.4375</v>
      </c>
      <c r="F151" s="233">
        <v>2000000</v>
      </c>
      <c r="G151" s="230"/>
      <c r="H151" s="230"/>
      <c r="I151" s="230"/>
    </row>
    <row r="152" spans="1:9" x14ac:dyDescent="0.2">
      <c r="A152" s="181">
        <v>51</v>
      </c>
      <c r="B152" s="231"/>
      <c r="C152" s="232"/>
      <c r="D152" s="193">
        <f t="shared" si="294"/>
        <v>-1046914.5</v>
      </c>
      <c r="E152" s="216">
        <f t="shared" si="295"/>
        <v>-43621.4375</v>
      </c>
      <c r="F152" s="233">
        <v>2000000</v>
      </c>
      <c r="G152" s="230"/>
      <c r="H152" s="230"/>
      <c r="I152" s="230"/>
    </row>
    <row r="153" spans="1:9" x14ac:dyDescent="0.2">
      <c r="A153" s="181">
        <v>52</v>
      </c>
      <c r="B153" s="231"/>
      <c r="C153" s="232"/>
      <c r="D153" s="193">
        <f t="shared" si="294"/>
        <v>-1046914.5</v>
      </c>
      <c r="E153" s="216">
        <f t="shared" si="295"/>
        <v>-43621.4375</v>
      </c>
      <c r="F153" s="233">
        <v>2000000</v>
      </c>
      <c r="G153" s="230"/>
      <c r="H153" s="230"/>
      <c r="I153" s="230"/>
    </row>
    <row r="154" spans="1:9" x14ac:dyDescent="0.2">
      <c r="A154" s="181">
        <v>53</v>
      </c>
      <c r="B154" s="231"/>
      <c r="C154" s="232"/>
      <c r="D154" s="193">
        <f t="shared" si="294"/>
        <v>-1046914.5</v>
      </c>
      <c r="E154" s="216">
        <f t="shared" si="295"/>
        <v>-43621.4375</v>
      </c>
      <c r="F154" s="233">
        <v>2000000</v>
      </c>
      <c r="G154" s="230"/>
      <c r="H154" s="230"/>
      <c r="I154" s="230"/>
    </row>
    <row r="155" spans="1:9" x14ac:dyDescent="0.2">
      <c r="A155" s="181">
        <v>54</v>
      </c>
      <c r="B155" s="231"/>
      <c r="C155" s="232"/>
      <c r="D155" s="193">
        <f t="shared" si="294"/>
        <v>-1046914.5</v>
      </c>
      <c r="E155" s="216">
        <f t="shared" si="295"/>
        <v>-43621.4375</v>
      </c>
      <c r="F155" s="233">
        <v>2000000</v>
      </c>
      <c r="G155" s="230"/>
      <c r="H155" s="230"/>
      <c r="I155" s="230"/>
    </row>
    <row r="156" spans="1:9" x14ac:dyDescent="0.2">
      <c r="A156" s="181">
        <v>55</v>
      </c>
      <c r="B156" s="231"/>
      <c r="C156" s="232"/>
      <c r="D156" s="193">
        <f t="shared" si="294"/>
        <v>-1046914.5</v>
      </c>
      <c r="E156" s="216">
        <f t="shared" si="295"/>
        <v>-43621.4375</v>
      </c>
      <c r="F156" s="233">
        <v>2000000</v>
      </c>
      <c r="G156" s="230"/>
      <c r="H156" s="230"/>
      <c r="I156" s="230"/>
    </row>
    <row r="157" spans="1:9" x14ac:dyDescent="0.2">
      <c r="A157" s="181">
        <v>56</v>
      </c>
      <c r="B157" s="231"/>
      <c r="C157" s="232"/>
      <c r="D157" s="193">
        <f t="shared" si="294"/>
        <v>-1046914.5</v>
      </c>
      <c r="E157" s="216">
        <f t="shared" si="295"/>
        <v>-43621.4375</v>
      </c>
      <c r="F157" s="233">
        <v>2000000</v>
      </c>
      <c r="G157" s="230"/>
      <c r="H157" s="230"/>
      <c r="I157" s="230"/>
    </row>
    <row r="158" spans="1:9" x14ac:dyDescent="0.2">
      <c r="A158" s="181">
        <v>57</v>
      </c>
      <c r="B158" s="231"/>
      <c r="C158" s="232"/>
      <c r="D158" s="193">
        <f t="shared" si="294"/>
        <v>-1046914.5</v>
      </c>
      <c r="E158" s="216">
        <f t="shared" si="295"/>
        <v>-43621.4375</v>
      </c>
      <c r="F158" s="233">
        <v>2000000</v>
      </c>
      <c r="G158" s="230"/>
      <c r="H158" s="230"/>
      <c r="I158" s="230"/>
    </row>
    <row r="159" spans="1:9" x14ac:dyDescent="0.2">
      <c r="A159" s="181">
        <v>58</v>
      </c>
      <c r="B159" s="231"/>
      <c r="C159" s="232"/>
      <c r="D159" s="193">
        <f t="shared" si="294"/>
        <v>-1046914.5</v>
      </c>
      <c r="E159" s="216">
        <f t="shared" si="295"/>
        <v>-43621.4375</v>
      </c>
      <c r="F159" s="233">
        <v>2000000</v>
      </c>
      <c r="G159" s="230"/>
      <c r="H159" s="230"/>
      <c r="I159" s="230"/>
    </row>
    <row r="160" spans="1:9" x14ac:dyDescent="0.2">
      <c r="A160" s="181">
        <v>59</v>
      </c>
      <c r="B160" s="231"/>
      <c r="C160" s="232"/>
      <c r="D160" s="193">
        <f t="shared" si="294"/>
        <v>-1046914.5</v>
      </c>
      <c r="E160" s="216">
        <f t="shared" si="295"/>
        <v>-43621.4375</v>
      </c>
      <c r="F160" s="233">
        <v>2000000</v>
      </c>
      <c r="G160" s="230"/>
      <c r="H160" s="230"/>
      <c r="I160" s="230"/>
    </row>
    <row r="161" spans="1:9" x14ac:dyDescent="0.2">
      <c r="A161" s="181">
        <v>60</v>
      </c>
      <c r="B161" s="231"/>
      <c r="C161" s="232"/>
      <c r="D161" s="193">
        <f t="shared" si="294"/>
        <v>-1046914.5</v>
      </c>
      <c r="E161" s="216">
        <f t="shared" si="295"/>
        <v>-43621.4375</v>
      </c>
      <c r="F161" s="233">
        <v>2000000</v>
      </c>
      <c r="G161" s="230"/>
      <c r="H161" s="230"/>
      <c r="I161" s="230"/>
    </row>
    <row r="162" spans="1:9" x14ac:dyDescent="0.2">
      <c r="A162" s="181">
        <v>61</v>
      </c>
      <c r="B162" s="231"/>
      <c r="C162" s="232"/>
      <c r="D162" s="193">
        <f t="shared" si="294"/>
        <v>-1046914.5</v>
      </c>
      <c r="E162" s="216">
        <f t="shared" si="295"/>
        <v>-43621.4375</v>
      </c>
      <c r="F162" s="233">
        <v>2000000</v>
      </c>
      <c r="G162" s="230"/>
      <c r="H162" s="230"/>
      <c r="I162" s="230"/>
    </row>
    <row r="163" spans="1:9" x14ac:dyDescent="0.2">
      <c r="A163" s="181">
        <v>62</v>
      </c>
      <c r="B163" s="231"/>
      <c r="C163" s="232"/>
      <c r="D163" s="193">
        <f t="shared" si="294"/>
        <v>-1046914.5</v>
      </c>
      <c r="E163" s="216">
        <f t="shared" si="295"/>
        <v>-43621.4375</v>
      </c>
      <c r="F163" s="233">
        <v>2000000</v>
      </c>
      <c r="G163" s="230"/>
      <c r="H163" s="230"/>
      <c r="I163" s="230"/>
    </row>
    <row r="164" spans="1:9" x14ac:dyDescent="0.2">
      <c r="A164" s="181">
        <v>63</v>
      </c>
      <c r="B164" s="231"/>
      <c r="C164" s="232"/>
      <c r="D164" s="193">
        <f t="shared" si="294"/>
        <v>-1046914.5</v>
      </c>
      <c r="E164" s="216">
        <f t="shared" si="295"/>
        <v>-43621.4375</v>
      </c>
      <c r="F164" s="233">
        <v>2000000</v>
      </c>
      <c r="G164" s="230"/>
      <c r="H164" s="230"/>
      <c r="I164" s="230"/>
    </row>
    <row r="165" spans="1:9" x14ac:dyDescent="0.2">
      <c r="A165" s="181">
        <v>64</v>
      </c>
      <c r="B165" s="231"/>
      <c r="C165" s="232"/>
      <c r="D165" s="193">
        <f t="shared" si="294"/>
        <v>-1046914.5</v>
      </c>
      <c r="E165" s="216">
        <f t="shared" si="295"/>
        <v>-43621.4375</v>
      </c>
      <c r="F165" s="233">
        <v>2000000</v>
      </c>
      <c r="G165" s="230"/>
      <c r="H165" s="230"/>
      <c r="I165" s="230"/>
    </row>
    <row r="166" spans="1:9" x14ac:dyDescent="0.2">
      <c r="A166" s="181">
        <v>65</v>
      </c>
      <c r="B166" s="231"/>
      <c r="C166" s="232"/>
      <c r="D166" s="193">
        <f t="shared" si="294"/>
        <v>-1046914.5</v>
      </c>
      <c r="E166" s="216">
        <f t="shared" si="295"/>
        <v>-43621.4375</v>
      </c>
      <c r="F166" s="233">
        <v>2000000</v>
      </c>
      <c r="G166" s="230"/>
      <c r="H166" s="230"/>
      <c r="I166" s="230"/>
    </row>
    <row r="167" spans="1:9" x14ac:dyDescent="0.2">
      <c r="A167" s="181">
        <v>66</v>
      </c>
      <c r="B167" s="231"/>
      <c r="C167" s="232"/>
      <c r="D167" s="193">
        <f t="shared" si="294"/>
        <v>-1046914.5</v>
      </c>
      <c r="E167" s="216">
        <f t="shared" si="295"/>
        <v>-43621.4375</v>
      </c>
      <c r="F167" s="233">
        <v>2000000</v>
      </c>
      <c r="G167" s="230"/>
      <c r="H167" s="230"/>
      <c r="I167" s="230"/>
    </row>
    <row r="168" spans="1:9" x14ac:dyDescent="0.2">
      <c r="A168" s="181">
        <v>67</v>
      </c>
      <c r="B168" s="231"/>
      <c r="C168" s="232"/>
      <c r="D168" s="193">
        <f t="shared" si="294"/>
        <v>-1046914.5</v>
      </c>
      <c r="E168" s="216">
        <f t="shared" si="295"/>
        <v>-43621.4375</v>
      </c>
      <c r="F168" s="233">
        <v>2000000</v>
      </c>
      <c r="G168" s="230"/>
      <c r="H168" s="230"/>
      <c r="I168" s="230"/>
    </row>
    <row r="169" spans="1:9" x14ac:dyDescent="0.2">
      <c r="A169" s="181">
        <v>68</v>
      </c>
      <c r="B169" s="231"/>
      <c r="C169" s="232"/>
      <c r="D169" s="193">
        <f t="shared" si="294"/>
        <v>-1046914.5</v>
      </c>
      <c r="E169" s="216">
        <f t="shared" si="295"/>
        <v>-43621.4375</v>
      </c>
      <c r="F169" s="233">
        <v>2000000</v>
      </c>
      <c r="G169" s="230"/>
      <c r="H169" s="230"/>
      <c r="I169" s="230"/>
    </row>
    <row r="170" spans="1:9" x14ac:dyDescent="0.2">
      <c r="A170" s="181">
        <v>69</v>
      </c>
      <c r="B170" s="231"/>
      <c r="C170" s="232"/>
      <c r="D170" s="193">
        <f t="shared" si="294"/>
        <v>-1046914.5</v>
      </c>
      <c r="E170" s="216">
        <f t="shared" si="295"/>
        <v>-43621.4375</v>
      </c>
      <c r="F170" s="233">
        <v>2000000</v>
      </c>
      <c r="G170" s="230"/>
      <c r="H170" s="230"/>
      <c r="I170" s="230"/>
    </row>
    <row r="171" spans="1:9" x14ac:dyDescent="0.2">
      <c r="A171" s="181">
        <v>70</v>
      </c>
      <c r="B171" s="231"/>
      <c r="C171" s="232"/>
      <c r="D171" s="193">
        <f t="shared" si="294"/>
        <v>-1046914.5</v>
      </c>
      <c r="E171" s="216">
        <f t="shared" si="295"/>
        <v>-43621.4375</v>
      </c>
      <c r="F171" s="233">
        <v>2000000</v>
      </c>
      <c r="G171" s="230"/>
      <c r="H171" s="230"/>
      <c r="I171" s="230"/>
    </row>
    <row r="172" spans="1:9" x14ac:dyDescent="0.2">
      <c r="A172" s="181">
        <v>71</v>
      </c>
      <c r="B172" s="231"/>
      <c r="C172" s="232"/>
      <c r="D172" s="193">
        <f t="shared" si="294"/>
        <v>-1046914.5</v>
      </c>
      <c r="E172" s="216">
        <f t="shared" si="295"/>
        <v>-43621.4375</v>
      </c>
      <c r="F172" s="233">
        <v>2000000</v>
      </c>
      <c r="G172" s="230"/>
      <c r="H172" s="230"/>
      <c r="I172" s="230"/>
    </row>
  </sheetData>
  <mergeCells count="17">
    <mergeCell ref="G6:G7"/>
    <mergeCell ref="H6:H7"/>
    <mergeCell ref="K6:K7"/>
    <mergeCell ref="J4:N4"/>
    <mergeCell ref="CA6:CA7"/>
    <mergeCell ref="I6:I7"/>
    <mergeCell ref="CC6:CC7"/>
    <mergeCell ref="AQ6:AQ7"/>
    <mergeCell ref="AR6:AR7"/>
    <mergeCell ref="AS6:AS7"/>
    <mergeCell ref="AL6:AL7"/>
    <mergeCell ref="AM6:AM7"/>
    <mergeCell ref="AN6:AN7"/>
    <mergeCell ref="AO6:AO7"/>
    <mergeCell ref="AP6:AP7"/>
    <mergeCell ref="BS6:BS7"/>
    <mergeCell ref="BU6:BU7"/>
  </mergeCells>
  <phoneticPr fontId="25" type="noConversion"/>
  <printOptions gridLines="1" gridLinesSet="0"/>
  <pageMargins left="0.21" right="0.21" top="1" bottom="1" header="0.39400000000000002" footer="0.39400000000000002"/>
  <pageSetup paperSize="9" orientation="portrait" horizontalDpi="4294967292" verticalDpi="4294967292" r:id="rId1"/>
  <headerFooter alignWithMargins="0">
    <oddHeader>&amp;F</oddHeader>
    <oddFooter>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O3:AS105"/>
  <sheetViews>
    <sheetView tabSelected="1" topLeftCell="H53" zoomScale="50" zoomScaleNormal="50" workbookViewId="0">
      <selection activeCell="AM13" sqref="AM13"/>
    </sheetView>
  </sheetViews>
  <sheetFormatPr baseColWidth="10" defaultColWidth="11.5703125" defaultRowHeight="12.75" x14ac:dyDescent="0.2"/>
  <cols>
    <col min="21" max="21" width="12.42578125" bestFit="1" customWidth="1"/>
    <col min="33" max="33" width="42.28515625" customWidth="1"/>
    <col min="34" max="35" width="15.42578125" bestFit="1" customWidth="1"/>
    <col min="36" max="36" width="19.28515625" bestFit="1" customWidth="1"/>
    <col min="37" max="37" width="15.85546875" bestFit="1" customWidth="1"/>
    <col min="38" max="38" width="15.42578125" bestFit="1" customWidth="1"/>
    <col min="39" max="39" width="11.7109375" customWidth="1"/>
    <col min="41" max="41" width="35.28515625" customWidth="1"/>
    <col min="42" max="42" width="18.140625" customWidth="1"/>
    <col min="43" max="43" width="19.140625" customWidth="1"/>
    <col min="44" max="44" width="19.85546875" customWidth="1"/>
  </cols>
  <sheetData>
    <row r="3" spans="15:45" ht="15" x14ac:dyDescent="0.25">
      <c r="P3" s="314" t="s">
        <v>246</v>
      </c>
      <c r="Q3" s="315" t="s">
        <v>243</v>
      </c>
      <c r="R3" s="316" t="s">
        <v>1</v>
      </c>
      <c r="S3" s="316" t="s">
        <v>247</v>
      </c>
      <c r="T3" t="s">
        <v>245</v>
      </c>
      <c r="U3" t="s">
        <v>219</v>
      </c>
      <c r="V3" t="s">
        <v>220</v>
      </c>
    </row>
    <row r="4" spans="15:45" ht="15.75" thickBot="1" x14ac:dyDescent="0.3">
      <c r="O4">
        <v>1</v>
      </c>
      <c r="P4" s="314">
        <v>0.45</v>
      </c>
      <c r="Q4" s="315">
        <v>0.27387948066973578</v>
      </c>
      <c r="R4" s="316">
        <v>3270000</v>
      </c>
      <c r="S4" s="316">
        <f>R4/P4</f>
        <v>7266666.666666666</v>
      </c>
      <c r="T4">
        <f>AVERAGE(R4:R13)</f>
        <v>2845462.9629629632</v>
      </c>
      <c r="U4">
        <f>STDEV(R4:R13)</f>
        <v>311408.40210443002</v>
      </c>
      <c r="V4" s="319">
        <f>U4/T4</f>
        <v>0.10944032874712323</v>
      </c>
      <c r="AH4" s="354" t="s">
        <v>325</v>
      </c>
      <c r="AI4" s="354" t="s">
        <v>326</v>
      </c>
      <c r="AJ4" s="354" t="s">
        <v>327</v>
      </c>
      <c r="AK4" s="354" t="s">
        <v>328</v>
      </c>
      <c r="AL4" s="354" t="s">
        <v>329</v>
      </c>
    </row>
    <row r="5" spans="15:45" ht="93.75" thickBot="1" x14ac:dyDescent="0.3">
      <c r="O5">
        <v>2</v>
      </c>
      <c r="P5" s="314">
        <v>0.45</v>
      </c>
      <c r="Q5" s="315">
        <v>0.33614591573224312</v>
      </c>
      <c r="R5" s="316">
        <v>2815000</v>
      </c>
      <c r="S5" s="316">
        <f t="shared" ref="S5:S41" si="0">R5/P5</f>
        <v>6255555.555555555</v>
      </c>
      <c r="AG5" s="332"/>
      <c r="AH5" s="333" t="s">
        <v>322</v>
      </c>
      <c r="AI5" s="333" t="s">
        <v>321</v>
      </c>
      <c r="AJ5" s="333" t="s">
        <v>323</v>
      </c>
      <c r="AK5" s="333" t="s">
        <v>320</v>
      </c>
      <c r="AL5" s="333" t="s">
        <v>324</v>
      </c>
      <c r="AO5" s="332"/>
      <c r="AP5" s="333" t="s">
        <v>336</v>
      </c>
      <c r="AQ5" s="333" t="s">
        <v>337</v>
      </c>
      <c r="AR5" s="333" t="s">
        <v>338</v>
      </c>
    </row>
    <row r="6" spans="15:45" ht="24.75" thickTop="1" thickBot="1" x14ac:dyDescent="0.3">
      <c r="O6">
        <v>3</v>
      </c>
      <c r="P6" s="314">
        <v>0.45</v>
      </c>
      <c r="Q6" s="315">
        <v>0.3935379884235673</v>
      </c>
      <c r="R6" s="316">
        <v>2655000</v>
      </c>
      <c r="S6" s="316">
        <f t="shared" si="0"/>
        <v>5900000</v>
      </c>
      <c r="AG6" s="334" t="s">
        <v>301</v>
      </c>
      <c r="AH6" s="355">
        <f>ferment.!CL42</f>
        <v>0.37251909876240163</v>
      </c>
      <c r="AI6" s="355">
        <f>ferment.!CL31</f>
        <v>0.21402380013365632</v>
      </c>
      <c r="AJ6" s="355">
        <f>ferment.!CL58</f>
        <v>0.14695820161734938</v>
      </c>
      <c r="AK6" s="355">
        <f>ferment.!CL12</f>
        <v>12.338725747213305</v>
      </c>
      <c r="AL6" s="355">
        <f>ferment.!CL68</f>
        <v>0.23275744698297254</v>
      </c>
      <c r="AO6" s="360" t="s">
        <v>335</v>
      </c>
      <c r="AP6" s="359">
        <f>0.45/24</f>
        <v>1.8749999999999999E-2</v>
      </c>
      <c r="AQ6" s="359">
        <f>0.45/24</f>
        <v>1.8749999999999999E-2</v>
      </c>
      <c r="AR6" s="359">
        <v>2.2099999999999998E-2</v>
      </c>
    </row>
    <row r="7" spans="15:45" ht="24" thickBot="1" x14ac:dyDescent="0.3">
      <c r="O7">
        <v>4</v>
      </c>
      <c r="P7" s="314">
        <v>0.45</v>
      </c>
      <c r="Q7" s="315">
        <v>0.29697326709180638</v>
      </c>
      <c r="R7" s="316">
        <v>2197500</v>
      </c>
      <c r="S7" s="316">
        <f t="shared" si="0"/>
        <v>4883333.333333333</v>
      </c>
      <c r="AG7" s="335" t="s">
        <v>302</v>
      </c>
      <c r="AH7" s="338">
        <f>ferment.!CX42</f>
        <v>29.623815645476579</v>
      </c>
      <c r="AI7" s="338">
        <f>ferment.!CX31</f>
        <v>27.68389049839147</v>
      </c>
      <c r="AJ7" s="338">
        <f>ferment.!CX58</f>
        <v>25.875889355320226</v>
      </c>
      <c r="AK7" s="338">
        <f>ferment.!CX12</f>
        <v>28.062334037784694</v>
      </c>
      <c r="AL7" s="338">
        <f>ferment.!CX68</f>
        <v>23.058627821353745</v>
      </c>
      <c r="AO7" s="335" t="s">
        <v>302</v>
      </c>
      <c r="AP7" s="335">
        <v>26.76</v>
      </c>
      <c r="AQ7" s="335">
        <v>23.06</v>
      </c>
      <c r="AR7" s="335">
        <v>15.9</v>
      </c>
      <c r="AS7" s="335"/>
    </row>
    <row r="8" spans="15:45" ht="24" thickBot="1" x14ac:dyDescent="0.3">
      <c r="O8">
        <v>5</v>
      </c>
      <c r="P8" s="314">
        <v>0.45</v>
      </c>
      <c r="Q8" s="315">
        <v>0.75335480306330682</v>
      </c>
      <c r="R8" s="316">
        <v>2813333.3333333335</v>
      </c>
      <c r="S8" s="316">
        <f t="shared" si="0"/>
        <v>6251851.8518518517</v>
      </c>
      <c r="AG8" s="335" t="s">
        <v>332</v>
      </c>
      <c r="AH8" s="339">
        <f>ferment.!DJ42</f>
        <v>1.2531218358646432</v>
      </c>
      <c r="AI8" s="339">
        <f>ferment.!DJ31</f>
        <v>1.1623912515255903</v>
      </c>
      <c r="AJ8" s="339">
        <f>ferment.!DJ58</f>
        <v>1.084832524437878</v>
      </c>
      <c r="AK8" s="339">
        <f>ferment.!DJ12</f>
        <v>2.1567440708952379</v>
      </c>
      <c r="AL8" s="339">
        <f>ferment.!DJ68</f>
        <v>0.97024294402203082</v>
      </c>
      <c r="AO8" s="335" t="s">
        <v>341</v>
      </c>
      <c r="AP8" s="339">
        <f t="shared" ref="AP8:AQ11" si="1">AK8</f>
        <v>2.1567440708952379</v>
      </c>
      <c r="AQ8" s="339">
        <f t="shared" si="1"/>
        <v>0.97024294402203082</v>
      </c>
      <c r="AR8" s="339">
        <f>[2]Control!$AF$43</f>
        <v>1.0742475763456756</v>
      </c>
    </row>
    <row r="9" spans="15:45" ht="24" thickBot="1" x14ac:dyDescent="0.3">
      <c r="O9">
        <v>6</v>
      </c>
      <c r="P9" s="314">
        <v>0.45</v>
      </c>
      <c r="Q9" s="315">
        <v>0.40671070202488069</v>
      </c>
      <c r="R9" s="316">
        <v>2898333.3333333335</v>
      </c>
      <c r="S9" s="316">
        <f t="shared" si="0"/>
        <v>6440740.7407407407</v>
      </c>
      <c r="AG9" s="335" t="s">
        <v>308</v>
      </c>
      <c r="AH9" s="338">
        <f>AVERAGE('[3]Metabolitos cuantificables'!$Z$18:$Z$22)</f>
        <v>-58.18470366024637</v>
      </c>
      <c r="AI9" s="338">
        <f>AVERAGE('[3]Metabolitos cuantificables'!$Z$11:$Z$17)</f>
        <v>-48.427707304251562</v>
      </c>
      <c r="AJ9" s="338">
        <f>AVERAGE('[3]Metabolitos cuantificables'!$Z$23:$Z$32)</f>
        <v>-40.128980255389287</v>
      </c>
      <c r="AK9" s="338">
        <f>AVERAGE('[3]Metabolitos cuantificables'!$Z$5,'[3]Metabolitos cuantificables'!$Z$7,'[3]Metabolitos cuantificables'!$Z$8,'[3]Metabolitos cuantificables'!$Z$9,'[3]Metabolitos cuantificables'!$Z$10)</f>
        <v>-85.596868387688829</v>
      </c>
      <c r="AL9" s="338">
        <f>AVERAGE('[3]Metabolitos cuantificables'!$Z$33:$Z$36)</f>
        <v>-42.056110479229908</v>
      </c>
      <c r="AO9" s="335" t="s">
        <v>334</v>
      </c>
      <c r="AP9" s="339">
        <f t="shared" si="1"/>
        <v>-85.596868387688829</v>
      </c>
      <c r="AQ9" s="339">
        <f t="shared" si="1"/>
        <v>-42.056110479229908</v>
      </c>
      <c r="AR9" s="339">
        <f>-[2]Control!$Y$43</f>
        <v>-84.377635238640508</v>
      </c>
    </row>
    <row r="10" spans="15:45" ht="24" thickBot="1" x14ac:dyDescent="0.3">
      <c r="P10" s="314"/>
      <c r="Q10" s="315"/>
      <c r="R10" s="316"/>
      <c r="S10" s="316"/>
      <c r="AG10" s="335" t="s">
        <v>330</v>
      </c>
      <c r="AH10" s="338">
        <f>AVERAGE('[3]Metabolitos cuantificables'!$T$18:$T$19,'[3]Metabolitos cuantificables'!$T$21)</f>
        <v>-8.8042072134960971</v>
      </c>
      <c r="AI10" s="338">
        <f>AVERAGE('[3]Metabolitos cuantificables'!$T$11:$T$17)</f>
        <v>-9.6063340446919376</v>
      </c>
      <c r="AJ10" s="338">
        <f>AVERAGE('[3]Metabolitos cuantificables'!$T$23:$T$32)</f>
        <v>-7.8000590108083188</v>
      </c>
      <c r="AK10" s="338">
        <f>AVERAGE('[3]Metabolitos cuantificables'!$T$4,'[3]Metabolitos cuantificables'!$T$6:$T$8,'[3]Metabolitos cuantificables'!$T$10)</f>
        <v>-20.305132794689314</v>
      </c>
      <c r="AL10" s="338">
        <f>AVERAGE('[3]Metabolitos cuantificables'!$T$33:$T$36)</f>
        <v>-8.1496168524202961</v>
      </c>
      <c r="AO10" s="335" t="s">
        <v>339</v>
      </c>
      <c r="AP10" s="339">
        <f t="shared" si="1"/>
        <v>-20.305132794689314</v>
      </c>
      <c r="AQ10" s="339">
        <f t="shared" si="1"/>
        <v>-8.1496168524202961</v>
      </c>
      <c r="AR10" s="339">
        <f>-[2]Control!$AD$43</f>
        <v>-20.967611633767049</v>
      </c>
    </row>
    <row r="11" spans="15:45" ht="24" thickBot="1" x14ac:dyDescent="0.3">
      <c r="O11">
        <v>7</v>
      </c>
      <c r="P11" s="314">
        <v>0.45</v>
      </c>
      <c r="Q11" s="315">
        <v>0.44395544376712065</v>
      </c>
      <c r="R11" s="316">
        <v>2880000</v>
      </c>
      <c r="S11" s="316">
        <f t="shared" si="0"/>
        <v>6400000</v>
      </c>
      <c r="AG11" s="337" t="s">
        <v>309</v>
      </c>
      <c r="AH11" s="339">
        <f>ferment.!DF42</f>
        <v>81.28717483433843</v>
      </c>
      <c r="AI11" s="339">
        <f>ferment.!DF31</f>
        <v>46.947521979220689</v>
      </c>
      <c r="AJ11" s="339">
        <f>ferment.!DF58</f>
        <v>42.263194298100274</v>
      </c>
      <c r="AK11" s="339">
        <f>ferment.!DF12</f>
        <v>186.41569523031941</v>
      </c>
      <c r="AL11" s="339">
        <f>ferment.!DF68</f>
        <v>42.021841858237501</v>
      </c>
      <c r="AO11" s="337" t="s">
        <v>340</v>
      </c>
      <c r="AP11" s="339">
        <f t="shared" si="1"/>
        <v>186.41569523031941</v>
      </c>
      <c r="AQ11" s="339">
        <f t="shared" si="1"/>
        <v>42.021841858237501</v>
      </c>
      <c r="AR11" s="339">
        <f>[2]Control!$AA$43</f>
        <v>85.423690237900885</v>
      </c>
    </row>
    <row r="12" spans="15:45" ht="24" thickBot="1" x14ac:dyDescent="0.3">
      <c r="O12">
        <v>8</v>
      </c>
      <c r="P12" s="314">
        <v>0.45</v>
      </c>
      <c r="Q12" s="315">
        <v>0.56809332520265743</v>
      </c>
      <c r="R12" s="316">
        <v>3210000</v>
      </c>
      <c r="S12" s="316">
        <f t="shared" si="0"/>
        <v>7133333.333333333</v>
      </c>
      <c r="AG12" s="335" t="s">
        <v>306</v>
      </c>
      <c r="AH12" s="338">
        <f>AVERAGE(ferment.!BU42:BU47)</f>
        <v>0.60654646713341609</v>
      </c>
      <c r="AI12" s="338">
        <f>AVERAGE(ferment.!BU32:BU37)</f>
        <v>0.51034001906293924</v>
      </c>
      <c r="AJ12" s="338">
        <f>AVERAGE(ferment.!BU58:BU66)</f>
        <v>0.79267726150129381</v>
      </c>
      <c r="AK12" s="338">
        <f>AVERAGE(ferment.!BU12:BU19)</f>
        <v>2.610867437461359</v>
      </c>
      <c r="AL12" s="338">
        <f>AVERAGE(ferment.!BU68:BU71)</f>
        <v>1.0473485237867779</v>
      </c>
      <c r="AM12">
        <f>AK12/AL12</f>
        <v>2.492835362980744</v>
      </c>
      <c r="AO12" s="361" t="s">
        <v>219</v>
      </c>
    </row>
    <row r="13" spans="15:45" ht="24.75" thickTop="1" thickBot="1" x14ac:dyDescent="0.3">
      <c r="O13">
        <v>9</v>
      </c>
      <c r="P13" s="314">
        <v>0.45</v>
      </c>
      <c r="Q13" s="315">
        <v>0.35904647249361854</v>
      </c>
      <c r="R13" s="316">
        <v>2870000</v>
      </c>
      <c r="S13" s="316">
        <f t="shared" si="0"/>
        <v>6377777.777777778</v>
      </c>
      <c r="AG13" s="337" t="s">
        <v>310</v>
      </c>
      <c r="AH13" s="345">
        <f>AVERAGE(ferment.!BS42:BS47)</f>
        <v>2.5272769463892344E-8</v>
      </c>
      <c r="AI13" s="345">
        <f>AVERAGE(ferment.!BS32:BS37)</f>
        <v>2.1264167460955804E-8</v>
      </c>
      <c r="AJ13" s="345">
        <f>AVERAGE(ferment.!BS58:BS66)</f>
        <v>3.3028219229220579E-8</v>
      </c>
      <c r="AK13" s="345">
        <f>AVERAGE(ferment.!BS12:BS19)</f>
        <v>1.0878614322755663E-7</v>
      </c>
      <c r="AL13" s="345">
        <f>AVERAGE(ferment.!BS68:BS71)</f>
        <v>4.3639521824449079E-8</v>
      </c>
      <c r="AN13" s="319"/>
      <c r="AO13" s="360" t="s">
        <v>335</v>
      </c>
      <c r="AP13" s="359">
        <v>0</v>
      </c>
      <c r="AQ13" s="359">
        <v>0</v>
      </c>
      <c r="AR13" s="359">
        <f>[2]Control!$BH$48</f>
        <v>2.8844410203711919E-3</v>
      </c>
    </row>
    <row r="14" spans="15:45" ht="24" thickBot="1" x14ac:dyDescent="0.3">
      <c r="O14">
        <v>10</v>
      </c>
      <c r="P14" s="314">
        <v>0.4</v>
      </c>
      <c r="Q14" s="315">
        <v>0.58240378488828837</v>
      </c>
      <c r="R14" s="316">
        <v>7995000</v>
      </c>
      <c r="S14" s="316">
        <f t="shared" si="0"/>
        <v>19987500</v>
      </c>
      <c r="T14">
        <f>AVERAGE(R14:R20)</f>
        <v>8420000</v>
      </c>
      <c r="U14">
        <f>STDEV(R14:R20)</f>
        <v>529000.63011934748</v>
      </c>
      <c r="V14" s="319">
        <f>U14/T14</f>
        <v>6.2826678161442689E-2</v>
      </c>
      <c r="AG14" s="335" t="s">
        <v>311</v>
      </c>
      <c r="AH14" s="348">
        <f>AVERAGE(ferment.!AK42:AK47)</f>
        <v>6.4615753582428062E-2</v>
      </c>
      <c r="AI14" s="348">
        <f>AVERAGE(ferment.!AK32:AK37)</f>
        <v>4.6522988186420172E-2</v>
      </c>
      <c r="AJ14" s="348">
        <f>AVERAGE(ferment.!AK58:AK67)</f>
        <v>3.9965959515675262E-2</v>
      </c>
      <c r="AK14" s="348">
        <f>AVERAGE(ferment.!AK12:AK20)</f>
        <v>0.15989758723783931</v>
      </c>
      <c r="AL14" s="348">
        <f>AVERAGE(ferment.!AK68:AK71)</f>
        <v>4.3272846547683166E-2</v>
      </c>
      <c r="AO14" s="335" t="s">
        <v>302</v>
      </c>
      <c r="AP14" s="359"/>
      <c r="AQ14" s="359"/>
      <c r="AR14" s="359"/>
    </row>
    <row r="15" spans="15:45" ht="24" thickBot="1" x14ac:dyDescent="0.3">
      <c r="O15">
        <v>11</v>
      </c>
      <c r="P15" s="314">
        <v>0.4</v>
      </c>
      <c r="Q15" s="315">
        <v>0.33864563566624334</v>
      </c>
      <c r="R15" s="316">
        <v>7470000</v>
      </c>
      <c r="S15" s="316">
        <f t="shared" si="0"/>
        <v>18675000</v>
      </c>
      <c r="AG15" s="350" t="s">
        <v>312</v>
      </c>
      <c r="AH15" s="338">
        <f>ferment.!BI43</f>
        <v>17.433968999999998</v>
      </c>
      <c r="AI15" s="338">
        <f>ferment.!BI32</f>
        <v>11.304041888888889</v>
      </c>
      <c r="AJ15" s="338">
        <f>ferment.!BI59</f>
        <v>17.331927758333332</v>
      </c>
      <c r="AK15" s="338">
        <f>ferment.!BI13</f>
        <v>15.254278041666666</v>
      </c>
      <c r="AL15" s="338">
        <f>ferment.!BI69</f>
        <v>24.051650166666668</v>
      </c>
      <c r="AO15" s="335" t="s">
        <v>341</v>
      </c>
      <c r="AP15" s="359">
        <v>0.55575873498554718</v>
      </c>
      <c r="AQ15" s="359">
        <v>6.034774350209534E-2</v>
      </c>
      <c r="AR15" s="359">
        <f>[2]Control!$BJ$48</f>
        <v>0.32058239499097491</v>
      </c>
    </row>
    <row r="16" spans="15:45" ht="24" thickBot="1" x14ac:dyDescent="0.3">
      <c r="O16">
        <v>12</v>
      </c>
      <c r="P16" s="314">
        <v>0.4</v>
      </c>
      <c r="Q16" s="315">
        <v>0.53136476432846047</v>
      </c>
      <c r="R16" s="316">
        <v>8280000</v>
      </c>
      <c r="S16" s="316">
        <f t="shared" si="0"/>
        <v>20700000</v>
      </c>
      <c r="AG16" s="335" t="s">
        <v>314</v>
      </c>
      <c r="AH16" s="338">
        <f>AH15*0.35</f>
        <v>6.101889149999999</v>
      </c>
      <c r="AI16" s="338">
        <f>AI15*0.4</f>
        <v>4.5216167555555558</v>
      </c>
      <c r="AJ16" s="338">
        <f>AJ15*0.4</f>
        <v>6.9327711033333337</v>
      </c>
      <c r="AK16" s="338">
        <f>AK15*0.45</f>
        <v>6.8644251187499998</v>
      </c>
      <c r="AL16" s="338">
        <f>AL15*0.45</f>
        <v>10.823242575000002</v>
      </c>
      <c r="AO16" s="335" t="s">
        <v>334</v>
      </c>
      <c r="AP16" s="359">
        <v>15.235567270210286</v>
      </c>
      <c r="AQ16" s="359">
        <v>1.2904589176027552</v>
      </c>
      <c r="AR16" s="359">
        <f>[2]Control!$Y$44</f>
        <v>12.028462628624753</v>
      </c>
    </row>
    <row r="17" spans="15:44" ht="24" thickBot="1" x14ac:dyDescent="0.3">
      <c r="O17">
        <v>13</v>
      </c>
      <c r="P17" s="314">
        <v>0.4</v>
      </c>
      <c r="Q17" s="315">
        <v>0.45284338828215509</v>
      </c>
      <c r="R17" s="316">
        <v>8830000</v>
      </c>
      <c r="S17" s="316">
        <f t="shared" si="0"/>
        <v>22075000</v>
      </c>
      <c r="AG17" s="350" t="s">
        <v>313</v>
      </c>
      <c r="AH17" s="345">
        <f>T21</f>
        <v>5454722.222222222</v>
      </c>
      <c r="AI17" s="345">
        <f>T14</f>
        <v>8420000</v>
      </c>
      <c r="AJ17" s="345">
        <f>T28</f>
        <v>9997666.6666666679</v>
      </c>
      <c r="AK17" s="345">
        <f>T4</f>
        <v>2845462.9629629632</v>
      </c>
      <c r="AL17" s="345">
        <f>T38</f>
        <v>10380000</v>
      </c>
      <c r="AO17" s="335" t="s">
        <v>339</v>
      </c>
      <c r="AP17" s="359">
        <v>1.7495690848482099</v>
      </c>
      <c r="AQ17" s="359">
        <v>0.54980447347091888</v>
      </c>
      <c r="AR17" s="359">
        <f>[2]Control!$AD$44</f>
        <v>5.2458820498085492</v>
      </c>
    </row>
    <row r="18" spans="15:44" ht="24" thickBot="1" x14ac:dyDescent="0.3">
      <c r="O18">
        <v>14</v>
      </c>
      <c r="P18" s="314">
        <v>0.4</v>
      </c>
      <c r="Q18" s="315">
        <v>0.38601065401522339</v>
      </c>
      <c r="R18" s="316">
        <v>8760000</v>
      </c>
      <c r="S18" s="316">
        <f t="shared" si="0"/>
        <v>21900000</v>
      </c>
      <c r="AO18" s="337" t="s">
        <v>340</v>
      </c>
      <c r="AP18" s="359">
        <v>20.090822942050892</v>
      </c>
      <c r="AQ18" s="359">
        <v>9.146914383072243</v>
      </c>
      <c r="AR18" s="359">
        <f>[2]Control!$AA$44</f>
        <v>19.717837416314172</v>
      </c>
    </row>
    <row r="19" spans="15:44" ht="24" thickBot="1" x14ac:dyDescent="0.4">
      <c r="O19">
        <v>15</v>
      </c>
      <c r="P19" s="314">
        <v>0.4</v>
      </c>
      <c r="Q19" s="315">
        <v>0.41217493596549887</v>
      </c>
      <c r="R19" s="316">
        <v>8805000</v>
      </c>
      <c r="S19" s="316">
        <f t="shared" si="0"/>
        <v>22012500</v>
      </c>
      <c r="AG19" s="356" t="s">
        <v>219</v>
      </c>
    </row>
    <row r="20" spans="15:44" ht="24" thickBot="1" x14ac:dyDescent="0.3">
      <c r="O20">
        <v>16</v>
      </c>
      <c r="P20" s="314">
        <v>0.4</v>
      </c>
      <c r="Q20" s="315">
        <v>0.35686105753050928</v>
      </c>
      <c r="R20" s="316">
        <v>8800000</v>
      </c>
      <c r="S20" s="316">
        <f t="shared" si="0"/>
        <v>22000000</v>
      </c>
      <c r="AG20" s="336" t="s">
        <v>303</v>
      </c>
      <c r="AH20" s="339">
        <f>ferment.!DK42</f>
        <v>0.1730484388626006</v>
      </c>
      <c r="AI20" s="339">
        <f>ferment.!DK31</f>
        <v>0.16157986673141189</v>
      </c>
      <c r="AJ20" s="339">
        <f>ferment.!DK58</f>
        <v>0.10801961405643701</v>
      </c>
      <c r="AK20" s="339">
        <f>ferment.!DK12</f>
        <v>0.55575873498554718</v>
      </c>
      <c r="AL20" s="339">
        <f>ferment.!DK68</f>
        <v>6.034774350209534E-2</v>
      </c>
    </row>
    <row r="21" spans="15:44" ht="24" thickBot="1" x14ac:dyDescent="0.3">
      <c r="O21">
        <v>17</v>
      </c>
      <c r="P21" s="314">
        <v>0.35</v>
      </c>
      <c r="Q21" s="315">
        <v>0.25668660118203895</v>
      </c>
      <c r="R21" s="316">
        <v>5480000</v>
      </c>
      <c r="S21" s="316">
        <f t="shared" si="0"/>
        <v>15657142.857142858</v>
      </c>
      <c r="T21">
        <f>AVERAGE(R21:R27)</f>
        <v>5454722.222222222</v>
      </c>
      <c r="U21">
        <f>STDEV(R21:R27)</f>
        <v>130274.99404749191</v>
      </c>
      <c r="V21" s="319">
        <f>U21/T21</f>
        <v>2.3882974923408407E-2</v>
      </c>
      <c r="AG21" s="335" t="s">
        <v>308</v>
      </c>
      <c r="AH21" s="338">
        <f>STDEV('[3]Metabolitos cuantificables'!$Z$18:$Z$22)</f>
        <v>6.9624662294485038</v>
      </c>
      <c r="AI21" s="338">
        <f>STDEV('[3]Metabolitos cuantificables'!$Z$11:$Z$17)</f>
        <v>6.8725039208289616</v>
      </c>
      <c r="AJ21" s="338">
        <f>STDEV('[3]Metabolitos cuantificables'!$Z$23:$Z$32)</f>
        <v>4.5127928244726618</v>
      </c>
      <c r="AK21" s="338">
        <f>STDEV('[3]Metabolitos cuantificables'!$Z$5,'[3]Metabolitos cuantificables'!$Z$7,'[3]Metabolitos cuantificables'!$Z$8,'[3]Metabolitos cuantificables'!$Z$9,'[3]Metabolitos cuantificables'!$Z$10)</f>
        <v>15.235567270210286</v>
      </c>
      <c r="AL21" s="338">
        <f>STDEV('[3]Metabolitos cuantificables'!$Z$33:$Z$36)</f>
        <v>1.2904589176027552</v>
      </c>
    </row>
    <row r="22" spans="15:44" ht="24" thickBot="1" x14ac:dyDescent="0.3">
      <c r="O22">
        <v>18</v>
      </c>
      <c r="P22" s="314">
        <v>0.35</v>
      </c>
      <c r="Q22" s="315">
        <v>0.3479722781216209</v>
      </c>
      <c r="R22" s="316">
        <v>5595000</v>
      </c>
      <c r="S22" s="316">
        <f t="shared" si="0"/>
        <v>15985714.285714287</v>
      </c>
      <c r="AG22" s="337" t="s">
        <v>309</v>
      </c>
      <c r="AH22" s="339">
        <f>ferment.!DG42</f>
        <v>15.287810406340947</v>
      </c>
      <c r="AI22" s="339">
        <f>ferment.!DG31</f>
        <v>7.4009733890400557</v>
      </c>
      <c r="AJ22" s="339">
        <f>ferment.!DG58</f>
        <v>6.5652455344164729</v>
      </c>
      <c r="AK22" s="339">
        <f>ferment.!DG12</f>
        <v>20.090822942050892</v>
      </c>
      <c r="AL22" s="339">
        <f>ferment.!DG68</f>
        <v>9.146914383072243</v>
      </c>
    </row>
    <row r="23" spans="15:44" ht="24" thickBot="1" x14ac:dyDescent="0.3">
      <c r="P23" s="314"/>
      <c r="Q23" s="315"/>
      <c r="R23" s="316"/>
      <c r="S23" s="316"/>
      <c r="AG23" s="335" t="s">
        <v>330</v>
      </c>
      <c r="AH23" s="339">
        <f>STDEV('[3]Metabolitos cuantificables'!$T$18:$T$19,'[3]Metabolitos cuantificables'!$T$21)</f>
        <v>0.57634093719822344</v>
      </c>
      <c r="AI23" s="339">
        <f>STDEV('[3]Metabolitos cuantificables'!$T$11:$T$17)</f>
        <v>1.1206945334115055</v>
      </c>
      <c r="AJ23" s="339">
        <f>STDEV('[3]Metabolitos cuantificables'!$T$23:$T$32)</f>
        <v>0.861378708133546</v>
      </c>
      <c r="AK23" s="339">
        <f>STDEV('[3]Metabolitos cuantificables'!$T$4,'[3]Metabolitos cuantificables'!$T$6:$T$8,'[3]Metabolitos cuantificables'!$T$10)</f>
        <v>1.7495690848482106</v>
      </c>
      <c r="AL23" s="339">
        <f>STDEV('[3]Metabolitos cuantificables'!$T$33:$T$36)</f>
        <v>0.54980447347091888</v>
      </c>
    </row>
    <row r="24" spans="15:44" ht="24" thickBot="1" x14ac:dyDescent="0.3">
      <c r="O24">
        <v>19</v>
      </c>
      <c r="P24" s="314">
        <v>0.35</v>
      </c>
      <c r="Q24" s="315">
        <v>0.26559768187781496</v>
      </c>
      <c r="R24" s="316">
        <v>5313333.333333333</v>
      </c>
      <c r="S24" s="316">
        <f t="shared" si="0"/>
        <v>15180952.380952381</v>
      </c>
      <c r="AG24" s="335" t="s">
        <v>306</v>
      </c>
      <c r="AH24" s="338">
        <f>ferment.!BV43</f>
        <v>0.15363742196286248</v>
      </c>
      <c r="AI24" s="338">
        <f>ferment.!BV32</f>
        <v>0.12040895996291809</v>
      </c>
      <c r="AJ24" s="338">
        <f>ferment.!BV59</f>
        <v>0.20532798390028387</v>
      </c>
      <c r="AK24" s="338">
        <f>ferment.!BV13</f>
        <v>0.37054397074984929</v>
      </c>
      <c r="AL24" s="338">
        <f>ferment.!BV69</f>
        <v>0.12835395008920447</v>
      </c>
    </row>
    <row r="25" spans="15:44" ht="24" thickBot="1" x14ac:dyDescent="0.3">
      <c r="O25">
        <v>20</v>
      </c>
      <c r="P25" s="314">
        <v>0.35</v>
      </c>
      <c r="Q25" s="315">
        <v>0.35867422730051873</v>
      </c>
      <c r="R25" s="316">
        <v>5400000</v>
      </c>
      <c r="S25" s="316">
        <f t="shared" si="0"/>
        <v>15428571.428571429</v>
      </c>
      <c r="AG25" s="337" t="s">
        <v>310</v>
      </c>
      <c r="AH25" s="345">
        <f>ferment.!BT43</f>
        <v>6.4015592484525777E-9</v>
      </c>
      <c r="AI25" s="345">
        <f>ferment.!BT32</f>
        <v>5.0170399984549183E-9</v>
      </c>
      <c r="AJ25" s="345">
        <f>ferment.!BT59</f>
        <v>8.5553326625118137E-9</v>
      </c>
      <c r="AK25" s="345">
        <f>ferment.!BT13</f>
        <v>1.5439332114576976E-8</v>
      </c>
      <c r="AL25" s="345">
        <f>ferment.!BT69</f>
        <v>5.3480812537168529E-9</v>
      </c>
    </row>
    <row r="26" spans="15:44" ht="24" thickBot="1" x14ac:dyDescent="0.3">
      <c r="O26">
        <v>21</v>
      </c>
      <c r="P26" s="314">
        <v>0.35</v>
      </c>
      <c r="Q26" s="315">
        <v>0.34196736541037426</v>
      </c>
      <c r="R26" s="316">
        <v>5326666.666666667</v>
      </c>
      <c r="S26" s="316">
        <f t="shared" si="0"/>
        <v>15219047.619047621</v>
      </c>
      <c r="AG26" s="335" t="s">
        <v>311</v>
      </c>
      <c r="AH26" s="348">
        <f>STDEV(ferment.!AK42:AK47)</f>
        <v>2.2490016614159021E-3</v>
      </c>
      <c r="AI26" s="348">
        <f>STDEV(ferment.!AK32:AK37)</f>
        <v>4.6480097763265211E-3</v>
      </c>
      <c r="AJ26" s="348">
        <f>STDEV(ferment.!AK58:AK67)</f>
        <v>3.3161468205447431E-3</v>
      </c>
      <c r="AK26" s="348">
        <f>STDEV(ferment.!AK12:AK20)</f>
        <v>1.7817936480550692E-2</v>
      </c>
      <c r="AL26" s="348">
        <f>STDEV(ferment.!AK68:AK71)</f>
        <v>1.7552716502679769E-3</v>
      </c>
    </row>
    <row r="27" spans="15:44" ht="24" thickBot="1" x14ac:dyDescent="0.3">
      <c r="O27">
        <v>22</v>
      </c>
      <c r="P27" s="314">
        <v>0.35</v>
      </c>
      <c r="Q27" s="315">
        <v>0.43310796682164215</v>
      </c>
      <c r="R27" s="316">
        <v>5613333.333333333</v>
      </c>
      <c r="S27" s="316">
        <f t="shared" si="0"/>
        <v>16038095.238095239</v>
      </c>
      <c r="AG27" s="350" t="s">
        <v>312</v>
      </c>
      <c r="AH27" s="338">
        <f>ferment.!BI45</f>
        <v>4.4920622113589319</v>
      </c>
      <c r="AI27" s="338">
        <f>ferment.!BI34</f>
        <v>0.76030840645305664</v>
      </c>
      <c r="AJ27" s="338">
        <f>ferment.!BI61</f>
        <v>4.1231895853354548</v>
      </c>
      <c r="AK27" s="338">
        <f>ferment.!BI15</f>
        <v>1.1085442269466919</v>
      </c>
      <c r="AL27" s="338">
        <f>ferment.!BI71</f>
        <v>0.80251653812858592</v>
      </c>
    </row>
    <row r="28" spans="15:44" ht="24" thickBot="1" x14ac:dyDescent="0.3">
      <c r="O28">
        <v>23</v>
      </c>
      <c r="P28" s="314">
        <v>0.4</v>
      </c>
      <c r="Q28" s="315">
        <v>0.61565287958505444</v>
      </c>
      <c r="R28" s="316">
        <v>9330000</v>
      </c>
      <c r="S28" s="316">
        <f t="shared" si="0"/>
        <v>23325000</v>
      </c>
      <c r="T28">
        <f>AVERAGE(R28:R37)</f>
        <v>9997666.6666666679</v>
      </c>
      <c r="U28">
        <f>STDEV(R28:R37)</f>
        <v>798226.50642255391</v>
      </c>
      <c r="V28" s="319">
        <f>U28/T28</f>
        <v>7.9841280274319387E-2</v>
      </c>
      <c r="AG28" s="335" t="s">
        <v>314</v>
      </c>
      <c r="AH28" s="338">
        <f>ferment.!BK45</f>
        <v>2.0214279951115217</v>
      </c>
      <c r="AI28" s="338">
        <f>ferment.!BK34</f>
        <v>0.3421387829038755</v>
      </c>
      <c r="AJ28" s="338">
        <f>ferment.!BK61</f>
        <v>1.8554353134009494</v>
      </c>
      <c r="AK28" s="338">
        <f>ferment.!BK15</f>
        <v>0.49884490212601129</v>
      </c>
      <c r="AL28" s="338">
        <f>ferment.!BK71</f>
        <v>0.3611324421578635</v>
      </c>
    </row>
    <row r="29" spans="15:44" ht="24" thickBot="1" x14ac:dyDescent="0.3">
      <c r="O29">
        <v>24</v>
      </c>
      <c r="P29" s="314">
        <v>0.4</v>
      </c>
      <c r="Q29" s="315">
        <v>0.43720228233345426</v>
      </c>
      <c r="R29" s="316">
        <v>10780000</v>
      </c>
      <c r="S29" s="316">
        <f t="shared" si="0"/>
        <v>26950000</v>
      </c>
      <c r="AG29" s="350" t="s">
        <v>313</v>
      </c>
      <c r="AH29" s="345">
        <f>U21</f>
        <v>130274.99404749191</v>
      </c>
      <c r="AI29" s="345">
        <f>U14</f>
        <v>529000.63011934748</v>
      </c>
      <c r="AJ29" s="345">
        <f>U28</f>
        <v>798226.50642255391</v>
      </c>
      <c r="AK29" s="345">
        <f>U4</f>
        <v>311408.40210443002</v>
      </c>
      <c r="AL29" s="345">
        <f>U38</f>
        <v>503793.02040362486</v>
      </c>
    </row>
    <row r="30" spans="15:44" ht="24" thickBot="1" x14ac:dyDescent="0.3">
      <c r="O30">
        <v>25</v>
      </c>
      <c r="P30" s="314">
        <v>0.4</v>
      </c>
      <c r="Q30" s="315">
        <v>0.36507319068856875</v>
      </c>
      <c r="R30" s="316">
        <v>10493333.333333334</v>
      </c>
      <c r="S30" s="316">
        <f t="shared" si="0"/>
        <v>26233333.333333332</v>
      </c>
      <c r="AG30" s="350" t="s">
        <v>331</v>
      </c>
      <c r="AH30" s="338">
        <f>ferment.!CY42</f>
        <v>4.2268398203684461</v>
      </c>
      <c r="AI30" s="338">
        <f>ferment.!CY31</f>
        <v>3.8414152090424629</v>
      </c>
      <c r="AJ30" s="338">
        <f>ferment.!CY58</f>
        <v>2.5685402882367336</v>
      </c>
      <c r="AK30" s="338">
        <f>ferment.!CY12</f>
        <v>4.8189810672092968</v>
      </c>
      <c r="AL30" s="338">
        <f>ferment.!CY68</f>
        <v>1.4088168796578617</v>
      </c>
    </row>
    <row r="31" spans="15:44" ht="15" x14ac:dyDescent="0.25">
      <c r="O31">
        <v>26</v>
      </c>
      <c r="P31" s="314">
        <v>0.4</v>
      </c>
      <c r="Q31" s="315">
        <v>0.22538640624308159</v>
      </c>
      <c r="R31" s="316">
        <v>8626666.666666666</v>
      </c>
      <c r="S31" s="316">
        <f t="shared" si="0"/>
        <v>21566666.666666664</v>
      </c>
    </row>
    <row r="32" spans="15:44" ht="15" x14ac:dyDescent="0.25">
      <c r="O32">
        <v>27</v>
      </c>
      <c r="P32" s="314">
        <v>0.4</v>
      </c>
      <c r="Q32" s="315">
        <v>0.49139267435337136</v>
      </c>
      <c r="R32" s="316">
        <v>9600000</v>
      </c>
      <c r="S32" s="316">
        <f t="shared" si="0"/>
        <v>24000000</v>
      </c>
    </row>
    <row r="33" spans="15:22" ht="15" x14ac:dyDescent="0.25">
      <c r="O33">
        <v>28</v>
      </c>
      <c r="P33" s="314">
        <v>0.4</v>
      </c>
      <c r="Q33" s="315">
        <v>0.43592956752710554</v>
      </c>
      <c r="R33" s="316">
        <v>9753333.333333334</v>
      </c>
      <c r="S33" s="316">
        <f t="shared" si="0"/>
        <v>24383333.333333332</v>
      </c>
    </row>
    <row r="34" spans="15:22" ht="15" x14ac:dyDescent="0.25">
      <c r="O34">
        <v>29</v>
      </c>
      <c r="P34" s="314">
        <v>0.4</v>
      </c>
      <c r="Q34" s="315">
        <v>0.33003953558065874</v>
      </c>
      <c r="R34" s="316">
        <v>9173333.333333334</v>
      </c>
      <c r="S34" s="316">
        <f t="shared" si="0"/>
        <v>22933333.333333332</v>
      </c>
    </row>
    <row r="35" spans="15:22" ht="15" x14ac:dyDescent="0.25">
      <c r="O35">
        <v>30</v>
      </c>
      <c r="P35" s="314">
        <v>0.4</v>
      </c>
      <c r="Q35" s="315">
        <v>0.44478446485868278</v>
      </c>
      <c r="R35" s="316">
        <v>10760000</v>
      </c>
      <c r="S35" s="316">
        <f t="shared" si="0"/>
        <v>26900000</v>
      </c>
    </row>
    <row r="36" spans="15:22" ht="15" x14ac:dyDescent="0.25">
      <c r="O36">
        <v>31</v>
      </c>
      <c r="P36" s="314">
        <v>0.4</v>
      </c>
      <c r="Q36" s="315">
        <v>0.37430075669242058</v>
      </c>
      <c r="R36" s="316">
        <v>10720000</v>
      </c>
      <c r="S36" s="316">
        <f t="shared" si="0"/>
        <v>26800000</v>
      </c>
    </row>
    <row r="37" spans="15:22" ht="15" x14ac:dyDescent="0.25">
      <c r="O37">
        <v>32</v>
      </c>
      <c r="P37" s="314">
        <v>0.4</v>
      </c>
      <c r="Q37" s="315">
        <v>0.40078262914812912</v>
      </c>
      <c r="R37" s="316">
        <v>10740000</v>
      </c>
      <c r="S37" s="316">
        <f t="shared" si="0"/>
        <v>26850000</v>
      </c>
    </row>
    <row r="38" spans="15:22" ht="15" x14ac:dyDescent="0.25">
      <c r="O38">
        <v>33</v>
      </c>
      <c r="P38" s="314">
        <v>0.45</v>
      </c>
      <c r="Q38" s="315">
        <v>0.43752303853520635</v>
      </c>
      <c r="R38" s="316">
        <v>10440000</v>
      </c>
      <c r="S38" s="316">
        <f t="shared" si="0"/>
        <v>23200000</v>
      </c>
      <c r="T38">
        <f>AVERAGE(R38:R41)</f>
        <v>10380000</v>
      </c>
      <c r="U38">
        <f>STDEV(R38:R41)</f>
        <v>503793.02040362486</v>
      </c>
      <c r="V38" s="319">
        <f>U38/T38</f>
        <v>4.8534973063933028E-2</v>
      </c>
    </row>
    <row r="39" spans="15:22" ht="15" x14ac:dyDescent="0.25">
      <c r="O39">
        <v>34</v>
      </c>
      <c r="P39" s="314">
        <v>0.45</v>
      </c>
      <c r="Q39" s="315">
        <v>0.44343745878151342</v>
      </c>
      <c r="R39" s="316">
        <v>10306666.666666666</v>
      </c>
      <c r="S39" s="316">
        <f t="shared" si="0"/>
        <v>22903703.703703701</v>
      </c>
    </row>
    <row r="40" spans="15:22" ht="15" x14ac:dyDescent="0.25">
      <c r="O40">
        <v>35</v>
      </c>
      <c r="P40" s="314">
        <v>0.45</v>
      </c>
      <c r="Q40" s="315">
        <v>0.38558220588218012</v>
      </c>
      <c r="R40" s="316">
        <v>9773333.333333334</v>
      </c>
      <c r="S40" s="316">
        <f t="shared" si="0"/>
        <v>21718518.518518519</v>
      </c>
    </row>
    <row r="41" spans="15:22" ht="15" x14ac:dyDescent="0.25">
      <c r="O41">
        <v>36</v>
      </c>
      <c r="P41" s="314">
        <v>0.45</v>
      </c>
      <c r="Q41" s="315">
        <v>0.56381172343927022</v>
      </c>
      <c r="R41" s="316">
        <v>11000000</v>
      </c>
      <c r="S41" s="316">
        <f t="shared" si="0"/>
        <v>24444444.444444444</v>
      </c>
    </row>
    <row r="100" spans="18:19" x14ac:dyDescent="0.2">
      <c r="R100">
        <v>1</v>
      </c>
      <c r="S100" t="s">
        <v>320</v>
      </c>
    </row>
    <row r="101" spans="18:19" x14ac:dyDescent="0.2">
      <c r="R101">
        <v>2</v>
      </c>
      <c r="S101" t="s">
        <v>342</v>
      </c>
    </row>
    <row r="102" spans="18:19" x14ac:dyDescent="0.2">
      <c r="R102">
        <v>3</v>
      </c>
      <c r="S102" t="s">
        <v>321</v>
      </c>
    </row>
    <row r="103" spans="18:19" x14ac:dyDescent="0.2">
      <c r="R103">
        <v>4</v>
      </c>
      <c r="S103" t="s">
        <v>322</v>
      </c>
    </row>
    <row r="104" spans="18:19" x14ac:dyDescent="0.2">
      <c r="R104">
        <v>5</v>
      </c>
      <c r="S104" t="s">
        <v>323</v>
      </c>
    </row>
    <row r="105" spans="18:19" x14ac:dyDescent="0.2">
      <c r="R105">
        <v>6</v>
      </c>
      <c r="S105" t="s">
        <v>324</v>
      </c>
    </row>
  </sheetData>
  <phoneticPr fontId="5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4"/>
  <dimension ref="A4:I13"/>
  <sheetViews>
    <sheetView topLeftCell="K6" workbookViewId="0">
      <selection activeCell="M15" sqref="M15"/>
    </sheetView>
  </sheetViews>
  <sheetFormatPr baseColWidth="10" defaultColWidth="11.42578125" defaultRowHeight="12.75" x14ac:dyDescent="0.2"/>
  <cols>
    <col min="3" max="3" width="23.140625" bestFit="1" customWidth="1"/>
  </cols>
  <sheetData>
    <row r="4" spans="1:9" x14ac:dyDescent="0.2">
      <c r="C4" t="s">
        <v>343</v>
      </c>
      <c r="D4" t="s">
        <v>344</v>
      </c>
    </row>
    <row r="5" spans="1:9" x14ac:dyDescent="0.2">
      <c r="C5">
        <v>3.56</v>
      </c>
    </row>
    <row r="6" spans="1:9" x14ac:dyDescent="0.2">
      <c r="C6" t="s">
        <v>345</v>
      </c>
      <c r="D6" t="s">
        <v>219</v>
      </c>
      <c r="E6" t="s">
        <v>314</v>
      </c>
      <c r="F6" t="s">
        <v>219</v>
      </c>
      <c r="G6" t="s">
        <v>346</v>
      </c>
      <c r="H6" t="s">
        <v>219</v>
      </c>
    </row>
    <row r="7" spans="1:9" x14ac:dyDescent="0.2">
      <c r="A7">
        <v>0.45</v>
      </c>
      <c r="B7" t="s">
        <v>320</v>
      </c>
      <c r="C7" s="117">
        <f>ferment.!BI13</f>
        <v>15.254278041666666</v>
      </c>
      <c r="D7" s="117">
        <f>ferment.!BI15</f>
        <v>1.1085442269466919</v>
      </c>
      <c r="E7" s="117">
        <f>ferment.!BK13</f>
        <v>6.8644251187499998</v>
      </c>
      <c r="F7" s="117">
        <f>ferment.!BK15</f>
        <v>0.49884490212601129</v>
      </c>
      <c r="G7" s="117">
        <f>ferment.!BM13*1000</f>
        <v>520.94938818994751</v>
      </c>
      <c r="H7" s="117">
        <f>ferment.!BM15*1000</f>
        <v>36.719675852415506</v>
      </c>
    </row>
    <row r="8" spans="1:9" x14ac:dyDescent="0.2">
      <c r="A8">
        <v>0.4</v>
      </c>
      <c r="B8" t="s">
        <v>321</v>
      </c>
      <c r="C8" s="117">
        <f>ferment.!BI32</f>
        <v>11.304041888888889</v>
      </c>
      <c r="D8" s="117">
        <f>ferment.!BI34</f>
        <v>0.76030840645305664</v>
      </c>
      <c r="E8" s="117">
        <f>ferment.!BK32</f>
        <v>5.0868188500000002</v>
      </c>
      <c r="F8" s="117">
        <f>ferment.!BK34</f>
        <v>0.3421387829038755</v>
      </c>
      <c r="G8" s="117">
        <f>ferment.!BM32*1000</f>
        <v>702.66029694776478</v>
      </c>
      <c r="H8" s="117">
        <f>ferment.!BM34*1000</f>
        <v>50.278582967623848</v>
      </c>
    </row>
    <row r="9" spans="1:9" x14ac:dyDescent="0.2">
      <c r="A9">
        <v>0.35</v>
      </c>
      <c r="B9" t="s">
        <v>322</v>
      </c>
      <c r="C9" s="117">
        <f>ferment.!BI43</f>
        <v>17.433968999999998</v>
      </c>
      <c r="D9" s="117">
        <f>ferment.!BI45</f>
        <v>4.4920622113589319</v>
      </c>
      <c r="E9" s="117">
        <f>ferment.!BK43</f>
        <v>7.8452860500000003</v>
      </c>
      <c r="F9" s="117">
        <f>ferment.!BK45</f>
        <v>2.0214279951115217</v>
      </c>
      <c r="G9" s="117">
        <f>ferment.!BM43*1000</f>
        <v>478.83370002491313</v>
      </c>
      <c r="H9" s="117">
        <f>ferment.!BM45*1000</f>
        <v>124.52306128109427</v>
      </c>
    </row>
    <row r="10" spans="1:9" x14ac:dyDescent="0.2">
      <c r="A10">
        <v>0.4</v>
      </c>
      <c r="B10" t="s">
        <v>323</v>
      </c>
      <c r="C10" s="117">
        <f>ferment.!BI59</f>
        <v>17.331927758333332</v>
      </c>
      <c r="D10" s="117">
        <f>ferment.!BI61</f>
        <v>4.1231895853354548</v>
      </c>
      <c r="E10" s="117">
        <f>ferment.!BK59</f>
        <v>7.7993674912500008</v>
      </c>
      <c r="F10" s="117">
        <f>ferment.!BK61</f>
        <v>1.8554353134009494</v>
      </c>
      <c r="G10" s="117">
        <f>ferment.!BM59*1000</f>
        <v>477.80556026752299</v>
      </c>
      <c r="H10" s="117">
        <f>ferment.!BM61*1000</f>
        <v>102.80231022322977</v>
      </c>
    </row>
    <row r="11" spans="1:9" x14ac:dyDescent="0.2">
      <c r="A11">
        <v>0.45</v>
      </c>
      <c r="B11" t="s">
        <v>324</v>
      </c>
      <c r="C11" s="117">
        <f>ferment.!BI69</f>
        <v>24.051650166666668</v>
      </c>
      <c r="D11" s="117">
        <f>ferment.!BI71</f>
        <v>0.80251653812858592</v>
      </c>
      <c r="E11" s="117">
        <f>ferment.!BK69</f>
        <v>10.823242575000002</v>
      </c>
      <c r="F11" s="117">
        <f>ferment.!BK71</f>
        <v>0.3611324421578635</v>
      </c>
      <c r="G11" s="117">
        <f>ferment.!BM69*1000</f>
        <v>329.1950607473031</v>
      </c>
      <c r="H11" s="117">
        <f>ferment.!BM71*1000</f>
        <v>10.922655498033295</v>
      </c>
      <c r="I11">
        <f>G7/G11</f>
        <v>1.5824945459611224</v>
      </c>
    </row>
    <row r="13" spans="1:9" x14ac:dyDescent="0.2">
      <c r="C13" s="117"/>
    </row>
  </sheetData>
  <phoneticPr fontId="5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I70"/>
  <sheetViews>
    <sheetView workbookViewId="0">
      <selection activeCell="I8" sqref="I8"/>
    </sheetView>
  </sheetViews>
  <sheetFormatPr baseColWidth="10" defaultColWidth="11.5703125" defaultRowHeight="12.75" x14ac:dyDescent="0.2"/>
  <cols>
    <col min="2" max="2" width="13.5703125" bestFit="1" customWidth="1"/>
    <col min="4" max="4" width="11.42578125" style="313"/>
    <col min="5" max="5" width="11.5703125" style="313"/>
  </cols>
  <sheetData>
    <row r="3" spans="2:9" x14ac:dyDescent="0.2">
      <c r="B3" t="s">
        <v>263</v>
      </c>
      <c r="C3" t="s">
        <v>267</v>
      </c>
      <c r="D3" s="313" t="s">
        <v>264</v>
      </c>
      <c r="E3" t="s">
        <v>267</v>
      </c>
      <c r="F3" t="s">
        <v>266</v>
      </c>
      <c r="G3" t="s">
        <v>267</v>
      </c>
      <c r="H3" t="s">
        <v>265</v>
      </c>
      <c r="I3" t="s">
        <v>267</v>
      </c>
    </row>
    <row r="4" spans="2:9" x14ac:dyDescent="0.2">
      <c r="B4" t="s">
        <v>269</v>
      </c>
      <c r="C4">
        <v>0.98650000000000004</v>
      </c>
      <c r="D4" s="313" t="s">
        <v>293</v>
      </c>
      <c r="E4" s="313">
        <v>0.86980000000000002</v>
      </c>
      <c r="H4" t="s">
        <v>298</v>
      </c>
      <c r="I4">
        <v>0.90710000000000002</v>
      </c>
    </row>
    <row r="5" spans="2:9" x14ac:dyDescent="0.2">
      <c r="B5" s="312" t="s">
        <v>268</v>
      </c>
      <c r="C5">
        <v>0.97419999999999995</v>
      </c>
      <c r="D5" s="313" t="s">
        <v>294</v>
      </c>
      <c r="E5" s="313">
        <v>0.86319999999999997</v>
      </c>
      <c r="F5" s="94"/>
      <c r="G5" s="94"/>
      <c r="H5" t="s">
        <v>299</v>
      </c>
      <c r="I5">
        <v>0.78010000000000002</v>
      </c>
    </row>
    <row r="6" spans="2:9" x14ac:dyDescent="0.2">
      <c r="B6" s="312" t="s">
        <v>270</v>
      </c>
      <c r="C6" s="312">
        <v>0.96899999999999997</v>
      </c>
      <c r="D6" s="313" t="s">
        <v>295</v>
      </c>
      <c r="E6" s="313">
        <v>0.75190000000000001</v>
      </c>
      <c r="F6" s="94"/>
      <c r="G6" s="94"/>
    </row>
    <row r="7" spans="2:9" x14ac:dyDescent="0.2">
      <c r="B7" s="312" t="s">
        <v>271</v>
      </c>
      <c r="C7" s="312">
        <v>0.96260000000000001</v>
      </c>
      <c r="D7" s="313" t="s">
        <v>296</v>
      </c>
      <c r="E7" s="313">
        <v>0.74350000000000005</v>
      </c>
      <c r="F7" s="94"/>
      <c r="G7" s="94"/>
    </row>
    <row r="8" spans="2:9" x14ac:dyDescent="0.2">
      <c r="B8" s="312" t="s">
        <v>273</v>
      </c>
      <c r="C8" s="312">
        <v>0.95740000000000003</v>
      </c>
      <c r="D8" s="313" t="s">
        <v>297</v>
      </c>
      <c r="E8" s="313">
        <v>0.70960000000000001</v>
      </c>
      <c r="F8" s="94"/>
      <c r="G8" s="94"/>
    </row>
    <row r="9" spans="2:9" x14ac:dyDescent="0.2">
      <c r="B9" s="312" t="s">
        <v>274</v>
      </c>
      <c r="C9" s="312">
        <v>0.95489999999999997</v>
      </c>
      <c r="F9" s="94"/>
      <c r="G9" s="94"/>
    </row>
    <row r="10" spans="2:9" x14ac:dyDescent="0.2">
      <c r="B10" s="312" t="s">
        <v>275</v>
      </c>
      <c r="C10" s="312">
        <v>0.89139999999999997</v>
      </c>
      <c r="F10" s="94"/>
      <c r="G10" s="94"/>
    </row>
    <row r="11" spans="2:9" x14ac:dyDescent="0.2">
      <c r="B11" s="312" t="s">
        <v>276</v>
      </c>
      <c r="C11" s="312">
        <v>0.88749999999999996</v>
      </c>
      <c r="F11" s="330"/>
      <c r="G11" s="330"/>
    </row>
    <row r="12" spans="2:9" x14ac:dyDescent="0.2">
      <c r="B12" s="312" t="s">
        <v>272</v>
      </c>
      <c r="C12" s="312">
        <v>0.87890000000000001</v>
      </c>
      <c r="F12" s="331"/>
      <c r="G12" s="331"/>
    </row>
    <row r="13" spans="2:9" x14ac:dyDescent="0.2">
      <c r="B13" s="312" t="s">
        <v>277</v>
      </c>
      <c r="C13" s="312">
        <v>0.87539999999999996</v>
      </c>
      <c r="F13" s="331"/>
      <c r="G13" s="331"/>
    </row>
    <row r="14" spans="2:9" x14ac:dyDescent="0.2">
      <c r="B14" s="312" t="s">
        <v>278</v>
      </c>
      <c r="C14" s="312">
        <v>0.87429999999999997</v>
      </c>
      <c r="F14" s="331"/>
      <c r="G14" s="331"/>
    </row>
    <row r="15" spans="2:9" x14ac:dyDescent="0.2">
      <c r="B15" s="312" t="s">
        <v>279</v>
      </c>
      <c r="C15" s="312">
        <v>0.86060000000000003</v>
      </c>
      <c r="F15" s="331"/>
      <c r="G15" s="331"/>
    </row>
    <row r="16" spans="2:9" x14ac:dyDescent="0.2">
      <c r="B16" s="312" t="s">
        <v>280</v>
      </c>
      <c r="C16" s="312">
        <v>0.8679</v>
      </c>
      <c r="F16" s="331"/>
      <c r="G16" s="331"/>
    </row>
    <row r="17" spans="2:7" x14ac:dyDescent="0.2">
      <c r="B17" s="312" t="s">
        <v>281</v>
      </c>
      <c r="C17" s="312">
        <v>0.83399999999999996</v>
      </c>
      <c r="F17" s="331"/>
      <c r="G17" s="331"/>
    </row>
    <row r="18" spans="2:7" x14ac:dyDescent="0.2">
      <c r="B18" s="312" t="s">
        <v>282</v>
      </c>
      <c r="C18" s="312">
        <v>0.81799999999999995</v>
      </c>
      <c r="F18" s="331"/>
      <c r="G18" s="331"/>
    </row>
    <row r="19" spans="2:7" x14ac:dyDescent="0.2">
      <c r="B19" s="312" t="s">
        <v>283</v>
      </c>
      <c r="C19" s="312">
        <v>0.72250000000000003</v>
      </c>
      <c r="F19" s="331"/>
      <c r="G19" s="331"/>
    </row>
    <row r="20" spans="2:7" x14ac:dyDescent="0.2">
      <c r="B20" s="312" t="s">
        <v>284</v>
      </c>
      <c r="C20" s="312">
        <v>0.72219999999999995</v>
      </c>
      <c r="F20" s="331"/>
      <c r="G20" s="331"/>
    </row>
    <row r="21" spans="2:7" x14ac:dyDescent="0.2">
      <c r="B21" s="312" t="s">
        <v>285</v>
      </c>
      <c r="C21" s="312">
        <v>-0.70940000000000003</v>
      </c>
      <c r="F21" s="331"/>
      <c r="G21" s="331"/>
    </row>
    <row r="22" spans="2:7" x14ac:dyDescent="0.2">
      <c r="B22" s="312" t="s">
        <v>286</v>
      </c>
      <c r="C22" s="312">
        <v>-0.72709999999999997</v>
      </c>
      <c r="F22" s="331"/>
      <c r="G22" s="331"/>
    </row>
    <row r="23" spans="2:7" x14ac:dyDescent="0.2">
      <c r="B23" s="312" t="s">
        <v>287</v>
      </c>
      <c r="C23" s="312">
        <v>-0.74229999999999996</v>
      </c>
      <c r="F23" s="331"/>
      <c r="G23" s="331"/>
    </row>
    <row r="24" spans="2:7" x14ac:dyDescent="0.2">
      <c r="B24" s="312" t="s">
        <v>288</v>
      </c>
      <c r="C24" s="312">
        <v>-0.77049999999999996</v>
      </c>
      <c r="F24" s="331"/>
      <c r="G24" s="331"/>
    </row>
    <row r="25" spans="2:7" x14ac:dyDescent="0.2">
      <c r="B25" s="312" t="s">
        <v>289</v>
      </c>
      <c r="C25" s="312">
        <v>-0.82320000000000004</v>
      </c>
      <c r="F25" s="331"/>
      <c r="G25" s="331"/>
    </row>
    <row r="26" spans="2:7" x14ac:dyDescent="0.2">
      <c r="B26" s="312" t="s">
        <v>290</v>
      </c>
      <c r="C26" s="312">
        <v>-0.86960000000000004</v>
      </c>
      <c r="F26" s="331"/>
      <c r="G26" s="331"/>
    </row>
    <row r="27" spans="2:7" x14ac:dyDescent="0.2">
      <c r="B27" s="312" t="s">
        <v>291</v>
      </c>
      <c r="C27" s="312">
        <v>-0.8921</v>
      </c>
      <c r="F27" s="331"/>
      <c r="G27" s="331"/>
    </row>
    <row r="28" spans="2:7" x14ac:dyDescent="0.2">
      <c r="B28" s="312" t="s">
        <v>292</v>
      </c>
      <c r="C28" s="312">
        <v>-0.89410000000000001</v>
      </c>
      <c r="F28" s="331"/>
      <c r="G28" s="331"/>
    </row>
    <row r="29" spans="2:7" x14ac:dyDescent="0.2">
      <c r="B29" s="312"/>
      <c r="C29" s="312"/>
      <c r="F29" s="331"/>
      <c r="G29" s="331"/>
    </row>
    <row r="30" spans="2:7" x14ac:dyDescent="0.2">
      <c r="B30" s="312"/>
      <c r="C30" s="312"/>
    </row>
    <row r="31" spans="2:7" x14ac:dyDescent="0.2">
      <c r="B31" s="312"/>
      <c r="C31" s="312"/>
    </row>
    <row r="32" spans="2:7" x14ac:dyDescent="0.2">
      <c r="B32" s="312"/>
      <c r="C32" s="312"/>
    </row>
    <row r="33" spans="2:3" x14ac:dyDescent="0.2">
      <c r="B33" s="312"/>
      <c r="C33" s="312"/>
    </row>
    <row r="34" spans="2:3" x14ac:dyDescent="0.2">
      <c r="B34" s="312"/>
      <c r="C34" s="312"/>
    </row>
    <row r="35" spans="2:3" x14ac:dyDescent="0.2">
      <c r="B35" s="312"/>
      <c r="C35" s="312"/>
    </row>
    <row r="36" spans="2:3" x14ac:dyDescent="0.2">
      <c r="B36" s="312"/>
      <c r="C36" s="312"/>
    </row>
    <row r="37" spans="2:3" x14ac:dyDescent="0.2">
      <c r="B37" s="312"/>
      <c r="C37" s="312"/>
    </row>
    <row r="38" spans="2:3" x14ac:dyDescent="0.2">
      <c r="B38" s="312"/>
      <c r="C38" s="312"/>
    </row>
    <row r="39" spans="2:3" x14ac:dyDescent="0.2">
      <c r="B39" s="312"/>
      <c r="C39" s="312"/>
    </row>
    <row r="40" spans="2:3" x14ac:dyDescent="0.2">
      <c r="B40" s="312"/>
      <c r="C40" s="312"/>
    </row>
    <row r="41" spans="2:3" x14ac:dyDescent="0.2">
      <c r="B41" s="312"/>
      <c r="C41" s="312"/>
    </row>
    <row r="42" spans="2:3" x14ac:dyDescent="0.2">
      <c r="B42" s="312"/>
      <c r="C42" s="312"/>
    </row>
    <row r="43" spans="2:3" x14ac:dyDescent="0.2">
      <c r="B43" s="312"/>
      <c r="C43" s="312"/>
    </row>
    <row r="44" spans="2:3" x14ac:dyDescent="0.2">
      <c r="B44" s="312"/>
      <c r="C44" s="312"/>
    </row>
    <row r="45" spans="2:3" x14ac:dyDescent="0.2">
      <c r="B45" s="312"/>
      <c r="C45" s="312"/>
    </row>
    <row r="46" spans="2:3" x14ac:dyDescent="0.2">
      <c r="B46" s="312"/>
      <c r="C46" s="312"/>
    </row>
    <row r="47" spans="2:3" x14ac:dyDescent="0.2">
      <c r="B47" s="312"/>
      <c r="C47" s="312"/>
    </row>
    <row r="48" spans="2:3" x14ac:dyDescent="0.2">
      <c r="B48" s="312"/>
      <c r="C48" s="312"/>
    </row>
    <row r="49" spans="2:3" x14ac:dyDescent="0.2">
      <c r="B49" s="312"/>
      <c r="C49" s="312"/>
    </row>
    <row r="50" spans="2:3" x14ac:dyDescent="0.2">
      <c r="B50" s="312"/>
      <c r="C50" s="312"/>
    </row>
    <row r="51" spans="2:3" x14ac:dyDescent="0.2">
      <c r="B51" s="312"/>
      <c r="C51" s="312"/>
    </row>
    <row r="52" spans="2:3" x14ac:dyDescent="0.2">
      <c r="B52" s="312"/>
      <c r="C52" s="312"/>
    </row>
    <row r="53" spans="2:3" x14ac:dyDescent="0.2">
      <c r="B53" s="312"/>
      <c r="C53" s="312"/>
    </row>
    <row r="54" spans="2:3" x14ac:dyDescent="0.2">
      <c r="B54" s="312"/>
      <c r="C54" s="312"/>
    </row>
    <row r="55" spans="2:3" x14ac:dyDescent="0.2">
      <c r="B55" s="312"/>
      <c r="C55" s="312"/>
    </row>
    <row r="56" spans="2:3" x14ac:dyDescent="0.2">
      <c r="B56" s="312"/>
      <c r="C56" s="312"/>
    </row>
    <row r="57" spans="2:3" x14ac:dyDescent="0.2">
      <c r="B57" s="312"/>
      <c r="C57" s="312"/>
    </row>
    <row r="58" spans="2:3" x14ac:dyDescent="0.2">
      <c r="B58" s="312"/>
      <c r="C58" s="312"/>
    </row>
    <row r="59" spans="2:3" x14ac:dyDescent="0.2">
      <c r="B59" s="312"/>
      <c r="C59" s="312"/>
    </row>
    <row r="60" spans="2:3" x14ac:dyDescent="0.2">
      <c r="B60" s="312"/>
      <c r="C60" s="312"/>
    </row>
    <row r="61" spans="2:3" x14ac:dyDescent="0.2">
      <c r="B61" s="312"/>
      <c r="C61" s="312"/>
    </row>
    <row r="62" spans="2:3" x14ac:dyDescent="0.2">
      <c r="B62" s="312"/>
      <c r="C62" s="312"/>
    </row>
    <row r="63" spans="2:3" x14ac:dyDescent="0.2">
      <c r="B63" s="312"/>
      <c r="C63" s="312"/>
    </row>
    <row r="64" spans="2:3" x14ac:dyDescent="0.2">
      <c r="B64" s="312"/>
      <c r="C64" s="312"/>
    </row>
    <row r="65" spans="2:3" x14ac:dyDescent="0.2">
      <c r="B65" s="312"/>
      <c r="C65" s="312"/>
    </row>
    <row r="66" spans="2:3" x14ac:dyDescent="0.2">
      <c r="B66" s="312"/>
      <c r="C66" s="312"/>
    </row>
    <row r="67" spans="2:3" x14ac:dyDescent="0.2">
      <c r="B67" s="312"/>
      <c r="C67" s="312"/>
    </row>
    <row r="68" spans="2:3" x14ac:dyDescent="0.2">
      <c r="B68" s="312"/>
      <c r="C68" s="312"/>
    </row>
    <row r="69" spans="2:3" x14ac:dyDescent="0.2">
      <c r="B69" s="312"/>
      <c r="C69" s="312"/>
    </row>
    <row r="70" spans="2:3" x14ac:dyDescent="0.2">
      <c r="B70" s="312"/>
      <c r="C70" s="312"/>
    </row>
  </sheetData>
  <phoneticPr fontId="5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J131"/>
  <sheetViews>
    <sheetView zoomScale="90" zoomScaleNormal="90" workbookViewId="0">
      <selection activeCell="X6" sqref="X6"/>
    </sheetView>
  </sheetViews>
  <sheetFormatPr baseColWidth="10" defaultColWidth="11.42578125" defaultRowHeight="12.75" x14ac:dyDescent="0.2"/>
  <cols>
    <col min="1" max="1" width="29.140625" style="41" bestFit="1" customWidth="1"/>
    <col min="2" max="5" width="11.42578125" style="41"/>
    <col min="6" max="6" width="24.42578125" style="41" bestFit="1" customWidth="1"/>
    <col min="7" max="8" width="10" style="41" bestFit="1" customWidth="1"/>
    <col min="9" max="9" width="13.28515625" style="41" customWidth="1"/>
    <col min="10" max="10" width="12.85546875" style="41" customWidth="1"/>
    <col min="11" max="12" width="13" style="41" customWidth="1"/>
    <col min="13" max="13" width="10.28515625" style="41" customWidth="1"/>
    <col min="14" max="14" width="12.42578125" style="41" bestFit="1" customWidth="1"/>
    <col min="15" max="17" width="14.5703125" style="41" customWidth="1"/>
    <col min="18" max="18" width="11.140625" style="41" customWidth="1"/>
    <col min="19" max="20" width="9.28515625" style="41" bestFit="1" customWidth="1"/>
    <col min="21" max="21" width="15.42578125" style="41" bestFit="1" customWidth="1"/>
    <col min="22" max="22" width="15.42578125" style="41" customWidth="1"/>
    <col min="23" max="23" width="15.28515625" style="41" bestFit="1" customWidth="1"/>
    <col min="24" max="24" width="24.5703125" style="41" bestFit="1" customWidth="1"/>
    <col min="26" max="26" width="15.28515625" style="41" bestFit="1" customWidth="1"/>
    <col min="27" max="27" width="14.85546875" style="41" customWidth="1"/>
    <col min="28" max="28" width="15.28515625" style="41" bestFit="1" customWidth="1"/>
    <col min="29" max="29" width="15.42578125" style="41" bestFit="1" customWidth="1"/>
    <col min="30" max="30" width="15.28515625" style="41" bestFit="1" customWidth="1"/>
    <col min="31" max="31" width="15.140625" style="41" bestFit="1" customWidth="1"/>
    <col min="32" max="33" width="15.42578125" style="41" bestFit="1" customWidth="1"/>
    <col min="34" max="34" width="14.42578125" style="41" bestFit="1" customWidth="1"/>
    <col min="35" max="54" width="11.42578125" style="41"/>
    <col min="55" max="55" width="11.42578125" style="96"/>
    <col min="56" max="56" width="13.28515625" style="96" bestFit="1" customWidth="1"/>
    <col min="57" max="57" width="15" style="41" bestFit="1" customWidth="1"/>
    <col min="58" max="58" width="14.85546875" style="41" bestFit="1" customWidth="1"/>
    <col min="59" max="59" width="14.140625" style="41" bestFit="1" customWidth="1"/>
    <col min="60" max="60" width="14.85546875" style="41" bestFit="1" customWidth="1"/>
    <col min="61" max="61" width="11.42578125" style="41"/>
    <col min="62" max="62" width="14.140625" style="41" bestFit="1" customWidth="1"/>
    <col min="63" max="16384" width="11.42578125" style="41"/>
  </cols>
  <sheetData>
    <row r="1" spans="1:62" s="131" customFormat="1" ht="77.25" thickBot="1" x14ac:dyDescent="0.25">
      <c r="A1" s="128" t="s">
        <v>38</v>
      </c>
      <c r="B1" s="128" t="s">
        <v>34</v>
      </c>
      <c r="C1" s="128" t="s">
        <v>39</v>
      </c>
      <c r="D1" s="128" t="s">
        <v>40</v>
      </c>
      <c r="E1" s="128" t="s">
        <v>41</v>
      </c>
      <c r="F1" s="128" t="s">
        <v>42</v>
      </c>
      <c r="G1" s="128" t="s">
        <v>60</v>
      </c>
      <c r="H1" s="128" t="s">
        <v>60</v>
      </c>
      <c r="I1" s="128" t="s">
        <v>116</v>
      </c>
      <c r="J1" s="128" t="s">
        <v>115</v>
      </c>
      <c r="K1" s="128" t="s">
        <v>121</v>
      </c>
      <c r="L1" s="128" t="s">
        <v>120</v>
      </c>
      <c r="M1" s="128" t="s">
        <v>61</v>
      </c>
      <c r="N1" s="129" t="s">
        <v>50</v>
      </c>
      <c r="O1" s="129" t="s">
        <v>168</v>
      </c>
      <c r="P1" s="129" t="s">
        <v>171</v>
      </c>
      <c r="Q1" s="130" t="s">
        <v>114</v>
      </c>
      <c r="R1" s="130" t="s">
        <v>170</v>
      </c>
      <c r="S1" s="129" t="s">
        <v>169</v>
      </c>
      <c r="T1" s="153" t="s">
        <v>98</v>
      </c>
      <c r="U1" s="130" t="s">
        <v>208</v>
      </c>
      <c r="V1" s="128" t="s">
        <v>33</v>
      </c>
      <c r="W1" s="111"/>
      <c r="X1" s="128" t="s">
        <v>33</v>
      </c>
      <c r="Y1" s="131" t="s">
        <v>119</v>
      </c>
      <c r="Z1" s="111" t="s">
        <v>141</v>
      </c>
      <c r="AA1" s="111" t="s">
        <v>142</v>
      </c>
      <c r="AB1" s="111" t="s">
        <v>143</v>
      </c>
      <c r="AC1" s="111" t="s">
        <v>144</v>
      </c>
      <c r="AD1" s="111" t="s">
        <v>145</v>
      </c>
      <c r="AE1" s="111" t="s">
        <v>146</v>
      </c>
      <c r="AF1" s="111" t="s">
        <v>147</v>
      </c>
      <c r="AG1" s="111" t="s">
        <v>148</v>
      </c>
      <c r="AH1" s="111" t="s">
        <v>149</v>
      </c>
      <c r="BC1" s="132"/>
      <c r="BD1" s="132"/>
    </row>
    <row r="2" spans="1:62" s="35" customFormat="1" ht="13.5" thickBot="1" x14ac:dyDescent="0.25">
      <c r="A2" s="41" t="s">
        <v>62</v>
      </c>
      <c r="B2" s="99">
        <v>42891</v>
      </c>
      <c r="C2" s="199">
        <v>0.45833333333333331</v>
      </c>
      <c r="D2" s="49">
        <f t="shared" ref="D2:D14" si="0">(B2+C2-(Inoculo_Fecha+Inoculo_Hora))*24</f>
        <v>-17519.499999999942</v>
      </c>
      <c r="E2" s="49">
        <f t="shared" ref="E2:E14" si="1">D2/24</f>
        <v>-729.97916666666424</v>
      </c>
      <c r="F2" s="199">
        <v>0.45833333333333331</v>
      </c>
      <c r="G2" s="49"/>
      <c r="H2" s="149"/>
      <c r="I2" s="149"/>
      <c r="J2" s="149"/>
      <c r="K2" s="49"/>
      <c r="L2" s="49"/>
      <c r="M2" s="49"/>
      <c r="N2" s="150"/>
      <c r="O2" s="239"/>
      <c r="P2" s="239"/>
      <c r="Q2" s="239"/>
      <c r="R2" s="239"/>
      <c r="S2" s="152" t="s">
        <v>97</v>
      </c>
      <c r="T2" s="48"/>
      <c r="U2" s="111" t="s">
        <v>139</v>
      </c>
      <c r="V2" s="37" t="s">
        <v>117</v>
      </c>
      <c r="X2" s="37" t="s">
        <v>118</v>
      </c>
      <c r="AY2" s="37"/>
      <c r="AZ2" s="37"/>
      <c r="BA2" s="37"/>
      <c r="BB2" s="37"/>
      <c r="BC2" s="94"/>
      <c r="BD2" s="94"/>
      <c r="BF2" s="37"/>
      <c r="BH2" s="37"/>
      <c r="BI2" s="41"/>
      <c r="BJ2" s="37"/>
    </row>
    <row r="3" spans="1:62" x14ac:dyDescent="0.2">
      <c r="A3" s="37" t="s">
        <v>164</v>
      </c>
      <c r="B3" s="99">
        <v>42892</v>
      </c>
      <c r="C3" s="199">
        <v>0.45833333333333331</v>
      </c>
      <c r="D3" s="49">
        <f t="shared" si="0"/>
        <v>-17495.499999999942</v>
      </c>
      <c r="E3" s="49">
        <f t="shared" si="1"/>
        <v>-728.97916666666424</v>
      </c>
      <c r="F3" s="49">
        <f>E3-E2</f>
        <v>1</v>
      </c>
      <c r="G3" s="49">
        <v>3.5</v>
      </c>
      <c r="H3" s="149">
        <f>G3</f>
        <v>3.5</v>
      </c>
      <c r="I3" s="238">
        <f>J3*G3/1000</f>
        <v>0</v>
      </c>
      <c r="J3" s="238">
        <f t="shared" ref="J3:J12" si="2">(1200*R3)/H3</f>
        <v>0</v>
      </c>
      <c r="K3" s="196">
        <v>15</v>
      </c>
      <c r="L3" s="196">
        <v>15</v>
      </c>
      <c r="M3" s="49">
        <f t="shared" ref="M3:M23" si="3">K3*H3/1000</f>
        <v>5.2499999999999998E-2</v>
      </c>
      <c r="N3" s="134" t="s">
        <v>176</v>
      </c>
      <c r="O3" s="188">
        <v>51.98</v>
      </c>
      <c r="P3" s="188">
        <v>33.326999999999998</v>
      </c>
      <c r="Q3" s="188"/>
      <c r="R3" s="188"/>
      <c r="S3" s="188">
        <f>R3*0.85</f>
        <v>0</v>
      </c>
      <c r="T3" s="183">
        <f>S3*1000/H3</f>
        <v>0</v>
      </c>
      <c r="U3" s="182">
        <f>S3</f>
        <v>0</v>
      </c>
      <c r="V3" s="97">
        <f t="shared" ref="V3:V34" si="4">T3/F3</f>
        <v>0</v>
      </c>
      <c r="W3" s="135" t="str">
        <f t="shared" ref="W3:W34" si="5">N3</f>
        <v>3345/P1701</v>
      </c>
      <c r="X3" s="97">
        <f t="shared" ref="X3:X34" si="6">I3/F3</f>
        <v>0</v>
      </c>
      <c r="Y3" s="190">
        <f>I3</f>
        <v>0</v>
      </c>
      <c r="AY3" s="121"/>
      <c r="AZ3" s="114"/>
      <c r="BE3" s="96"/>
      <c r="BF3" s="96"/>
    </row>
    <row r="4" spans="1:62" x14ac:dyDescent="0.2">
      <c r="A4" s="37" t="s">
        <v>165</v>
      </c>
      <c r="B4" s="99">
        <v>42893</v>
      </c>
      <c r="C4" s="199">
        <v>0.45833333333333331</v>
      </c>
      <c r="D4" s="49">
        <f t="shared" si="0"/>
        <v>-17471.499999999942</v>
      </c>
      <c r="E4" s="49">
        <f t="shared" si="1"/>
        <v>-727.97916666666424</v>
      </c>
      <c r="F4" s="49">
        <f t="shared" ref="F4:F10" si="7">E4-E3</f>
        <v>1</v>
      </c>
      <c r="G4" s="49">
        <v>10</v>
      </c>
      <c r="H4" s="149">
        <f t="shared" ref="H4:H9" si="8">G4+H3</f>
        <v>13.5</v>
      </c>
      <c r="I4" s="238">
        <f t="shared" ref="I4:I23" si="9">J4*G4/1000</f>
        <v>0</v>
      </c>
      <c r="J4" s="238">
        <f t="shared" si="2"/>
        <v>0</v>
      </c>
      <c r="K4" s="196">
        <v>15</v>
      </c>
      <c r="L4" s="196">
        <v>15</v>
      </c>
      <c r="M4" s="49">
        <f>K4*H4/1000</f>
        <v>0.20250000000000001</v>
      </c>
      <c r="N4" s="135" t="s">
        <v>177</v>
      </c>
      <c r="O4" s="188">
        <v>80.28</v>
      </c>
      <c r="P4" s="188">
        <v>71.052800000000005</v>
      </c>
      <c r="Q4" s="188"/>
      <c r="R4" s="188"/>
      <c r="S4" s="188">
        <f t="shared" ref="S4:S34" si="10">R4*0.85</f>
        <v>0</v>
      </c>
      <c r="T4" s="183">
        <f>S4*1000/H4</f>
        <v>0</v>
      </c>
      <c r="U4" s="182">
        <f>S4+U3</f>
        <v>0</v>
      </c>
      <c r="V4" s="97">
        <f t="shared" si="4"/>
        <v>0</v>
      </c>
      <c r="W4" s="135" t="str">
        <f t="shared" si="5"/>
        <v>3345/P1702</v>
      </c>
      <c r="X4" s="97">
        <f t="shared" si="6"/>
        <v>0</v>
      </c>
      <c r="Y4" s="190">
        <f t="shared" ref="Y4:Y26" si="11">I4+Y3</f>
        <v>0</v>
      </c>
      <c r="AY4" s="121" t="s">
        <v>122</v>
      </c>
      <c r="AZ4" s="114"/>
      <c r="BE4" s="96"/>
      <c r="BF4" s="96"/>
      <c r="BI4" s="96"/>
      <c r="BJ4" s="96"/>
    </row>
    <row r="5" spans="1:62" x14ac:dyDescent="0.2">
      <c r="A5" s="37" t="s">
        <v>166</v>
      </c>
      <c r="B5" s="99">
        <v>42894</v>
      </c>
      <c r="C5" s="199">
        <v>0.45833333333333331</v>
      </c>
      <c r="D5" s="49">
        <f t="shared" si="0"/>
        <v>-17447.499999999942</v>
      </c>
      <c r="E5" s="49">
        <f t="shared" si="1"/>
        <v>-726.97916666666424</v>
      </c>
      <c r="F5" s="49">
        <f t="shared" si="7"/>
        <v>1</v>
      </c>
      <c r="G5" s="49">
        <v>10</v>
      </c>
      <c r="H5" s="149">
        <f t="shared" si="8"/>
        <v>23.5</v>
      </c>
      <c r="I5" s="238">
        <f t="shared" si="9"/>
        <v>0</v>
      </c>
      <c r="J5" s="238">
        <f t="shared" si="2"/>
        <v>0</v>
      </c>
      <c r="K5" s="196">
        <v>15</v>
      </c>
      <c r="L5" s="196">
        <v>15</v>
      </c>
      <c r="M5" s="49">
        <f t="shared" si="3"/>
        <v>0.35249999999999998</v>
      </c>
      <c r="N5" s="135" t="s">
        <v>178</v>
      </c>
      <c r="O5" s="188">
        <v>90.09</v>
      </c>
      <c r="P5" s="188">
        <v>84.375</v>
      </c>
      <c r="Q5" s="188"/>
      <c r="R5" s="188"/>
      <c r="S5" s="188">
        <f t="shared" si="10"/>
        <v>0</v>
      </c>
      <c r="T5" s="183">
        <f>S5*1000/H5</f>
        <v>0</v>
      </c>
      <c r="U5" s="182">
        <f t="shared" ref="U5:U10" si="12">S5+U4</f>
        <v>0</v>
      </c>
      <c r="V5" s="97">
        <f t="shared" si="4"/>
        <v>0</v>
      </c>
      <c r="W5" s="135" t="str">
        <f t="shared" si="5"/>
        <v>3345/P1703</v>
      </c>
      <c r="X5" s="97">
        <f t="shared" si="6"/>
        <v>0</v>
      </c>
      <c r="Y5" s="190">
        <f t="shared" si="11"/>
        <v>0</v>
      </c>
      <c r="AY5" s="121"/>
      <c r="AZ5" s="114"/>
      <c r="BE5" s="96"/>
      <c r="BF5" s="96"/>
      <c r="BI5" s="96"/>
      <c r="BJ5" s="96"/>
    </row>
    <row r="6" spans="1:62" x14ac:dyDescent="0.2">
      <c r="A6" s="37" t="s">
        <v>167</v>
      </c>
      <c r="B6" s="99">
        <v>42896</v>
      </c>
      <c r="C6" s="199">
        <v>0.45833333333333331</v>
      </c>
      <c r="D6" s="49">
        <f t="shared" si="0"/>
        <v>-17399.499999999942</v>
      </c>
      <c r="E6" s="49">
        <f t="shared" si="1"/>
        <v>-724.97916666666424</v>
      </c>
      <c r="F6" s="49">
        <f t="shared" si="7"/>
        <v>2</v>
      </c>
      <c r="G6" s="49">
        <v>10</v>
      </c>
      <c r="H6" s="149">
        <f t="shared" si="8"/>
        <v>33.5</v>
      </c>
      <c r="I6" s="238">
        <f t="shared" si="9"/>
        <v>69.236059701492536</v>
      </c>
      <c r="J6" s="238">
        <f t="shared" si="2"/>
        <v>6923.6059701492532</v>
      </c>
      <c r="K6" s="196">
        <v>15</v>
      </c>
      <c r="L6" s="196">
        <v>15</v>
      </c>
      <c r="M6" s="49">
        <f t="shared" si="3"/>
        <v>0.50249999999999995</v>
      </c>
      <c r="N6" s="135" t="s">
        <v>179</v>
      </c>
      <c r="O6" s="188">
        <v>82.88</v>
      </c>
      <c r="P6" s="188">
        <v>64.260000000000005</v>
      </c>
      <c r="Q6" s="188">
        <v>209.69</v>
      </c>
      <c r="R6" s="188">
        <v>193.28399999999999</v>
      </c>
      <c r="S6" s="188">
        <f t="shared" si="10"/>
        <v>164.29139999999998</v>
      </c>
      <c r="T6" s="183">
        <f>R6/H6</f>
        <v>5.769671641791045</v>
      </c>
      <c r="U6" s="182">
        <f t="shared" si="12"/>
        <v>164.29139999999998</v>
      </c>
      <c r="V6" s="97">
        <f t="shared" si="4"/>
        <v>2.8848358208955225</v>
      </c>
      <c r="W6" s="135" t="str">
        <f t="shared" si="5"/>
        <v>3345/P1704</v>
      </c>
      <c r="X6" s="97">
        <f t="shared" si="6"/>
        <v>34.618029850746268</v>
      </c>
      <c r="Y6" s="190">
        <f t="shared" si="11"/>
        <v>69.236059701492536</v>
      </c>
      <c r="AY6" s="121"/>
      <c r="AZ6" s="114"/>
      <c r="BE6" s="96"/>
      <c r="BF6" s="96"/>
      <c r="BI6" s="96"/>
      <c r="BJ6" s="96"/>
    </row>
    <row r="7" spans="1:62" x14ac:dyDescent="0.2">
      <c r="A7" s="37" t="s">
        <v>172</v>
      </c>
      <c r="B7" s="194">
        <v>42896</v>
      </c>
      <c r="C7" s="195">
        <v>0.45833333333333298</v>
      </c>
      <c r="D7" s="49">
        <f t="shared" si="0"/>
        <v>-17399.499999999942</v>
      </c>
      <c r="E7" s="49">
        <f t="shared" si="1"/>
        <v>-724.97916666666424</v>
      </c>
      <c r="F7" s="49">
        <f t="shared" si="7"/>
        <v>0</v>
      </c>
      <c r="G7" s="49">
        <v>10</v>
      </c>
      <c r="H7" s="149">
        <f t="shared" si="8"/>
        <v>43.5</v>
      </c>
      <c r="I7" s="238">
        <f t="shared" si="9"/>
        <v>0</v>
      </c>
      <c r="J7" s="238">
        <f t="shared" si="2"/>
        <v>0</v>
      </c>
      <c r="K7" s="196">
        <v>15</v>
      </c>
      <c r="L7" s="196">
        <v>15</v>
      </c>
      <c r="M7" s="49">
        <f t="shared" si="3"/>
        <v>0.65249999999999997</v>
      </c>
      <c r="N7" s="135" t="s">
        <v>180</v>
      </c>
      <c r="O7" s="188">
        <v>80.680000000000007</v>
      </c>
      <c r="P7" s="188">
        <v>61.207000000000001</v>
      </c>
      <c r="Q7" s="188"/>
      <c r="R7" s="188">
        <v>0</v>
      </c>
      <c r="S7" s="188">
        <f t="shared" si="10"/>
        <v>0</v>
      </c>
      <c r="T7" s="183">
        <f t="shared" ref="T7:T34" si="13">S7*1000/H7</f>
        <v>0</v>
      </c>
      <c r="U7" s="182">
        <f t="shared" si="12"/>
        <v>164.29139999999998</v>
      </c>
      <c r="V7" s="97" t="e">
        <f t="shared" si="4"/>
        <v>#DIV/0!</v>
      </c>
      <c r="W7" s="135" t="str">
        <f t="shared" si="5"/>
        <v>3345/P1705</v>
      </c>
      <c r="X7" s="97" t="e">
        <f t="shared" si="6"/>
        <v>#DIV/0!</v>
      </c>
      <c r="Y7" s="190">
        <f t="shared" si="11"/>
        <v>69.236059701492536</v>
      </c>
      <c r="AY7" s="121"/>
      <c r="AZ7" s="114"/>
      <c r="BE7" s="96"/>
      <c r="BF7" s="96"/>
      <c r="BI7" s="96"/>
      <c r="BJ7" s="96"/>
    </row>
    <row r="8" spans="1:62" x14ac:dyDescent="0.2">
      <c r="A8" s="37" t="s">
        <v>173</v>
      </c>
      <c r="B8" s="194">
        <v>41378</v>
      </c>
      <c r="C8" s="195">
        <v>0.72916666666666663</v>
      </c>
      <c r="D8" s="49">
        <f t="shared" si="0"/>
        <v>-53825.000000000058</v>
      </c>
      <c r="E8" s="49">
        <f t="shared" si="1"/>
        <v>-2242.7083333333358</v>
      </c>
      <c r="F8" s="49">
        <f t="shared" si="7"/>
        <v>-1517.7291666666715</v>
      </c>
      <c r="G8" s="49">
        <v>10</v>
      </c>
      <c r="H8" s="149">
        <f t="shared" si="8"/>
        <v>53.5</v>
      </c>
      <c r="I8" s="238">
        <f t="shared" si="9"/>
        <v>0</v>
      </c>
      <c r="J8" s="238">
        <f t="shared" si="2"/>
        <v>0</v>
      </c>
      <c r="K8" s="196">
        <v>15</v>
      </c>
      <c r="L8" s="196">
        <v>15</v>
      </c>
      <c r="M8" s="49">
        <f t="shared" si="3"/>
        <v>0.80249999999999999</v>
      </c>
      <c r="N8" s="135" t="s">
        <v>181</v>
      </c>
      <c r="O8" s="188">
        <v>0</v>
      </c>
      <c r="P8" s="188"/>
      <c r="Q8" s="188"/>
      <c r="R8" s="188">
        <v>0</v>
      </c>
      <c r="S8" s="188">
        <f t="shared" si="10"/>
        <v>0</v>
      </c>
      <c r="T8" s="183">
        <f t="shared" si="13"/>
        <v>0</v>
      </c>
      <c r="U8" s="182">
        <f t="shared" si="12"/>
        <v>164.29139999999998</v>
      </c>
      <c r="V8" s="97">
        <f t="shared" si="4"/>
        <v>0</v>
      </c>
      <c r="W8" s="135" t="str">
        <f t="shared" si="5"/>
        <v>3345/P1706</v>
      </c>
      <c r="X8" s="97">
        <f t="shared" si="6"/>
        <v>0</v>
      </c>
      <c r="Y8" s="190">
        <f t="shared" si="11"/>
        <v>69.236059701492536</v>
      </c>
      <c r="AY8" s="121"/>
      <c r="AZ8" s="114"/>
      <c r="BE8" s="96"/>
      <c r="BF8" s="96"/>
      <c r="BI8" s="96"/>
      <c r="BJ8" s="96"/>
    </row>
    <row r="9" spans="1:62" x14ac:dyDescent="0.2">
      <c r="A9" s="37" t="s">
        <v>174</v>
      </c>
      <c r="B9" s="194">
        <v>41382</v>
      </c>
      <c r="C9" s="195">
        <v>1.3888888888888888E-2</v>
      </c>
      <c r="D9" s="49">
        <f t="shared" si="0"/>
        <v>-53746.166666666628</v>
      </c>
      <c r="E9" s="49">
        <f t="shared" si="1"/>
        <v>-2239.4236111111095</v>
      </c>
      <c r="F9" s="49">
        <f t="shared" si="7"/>
        <v>3.2847222222262644</v>
      </c>
      <c r="G9" s="49">
        <v>10</v>
      </c>
      <c r="H9" s="149">
        <f t="shared" si="8"/>
        <v>63.5</v>
      </c>
      <c r="I9" s="238">
        <f t="shared" si="9"/>
        <v>0</v>
      </c>
      <c r="J9" s="238">
        <f t="shared" si="2"/>
        <v>0</v>
      </c>
      <c r="K9" s="196">
        <v>15</v>
      </c>
      <c r="L9" s="196">
        <v>15</v>
      </c>
      <c r="M9" s="49">
        <f t="shared" si="3"/>
        <v>0.95250000000000001</v>
      </c>
      <c r="N9" s="135" t="s">
        <v>182</v>
      </c>
      <c r="O9" s="188">
        <v>0</v>
      </c>
      <c r="P9" s="188"/>
      <c r="Q9" s="188"/>
      <c r="R9" s="188">
        <v>0</v>
      </c>
      <c r="S9" s="188">
        <f t="shared" si="10"/>
        <v>0</v>
      </c>
      <c r="T9" s="183">
        <f t="shared" si="13"/>
        <v>0</v>
      </c>
      <c r="U9" s="182">
        <f t="shared" si="12"/>
        <v>164.29139999999998</v>
      </c>
      <c r="V9" s="97">
        <f t="shared" si="4"/>
        <v>0</v>
      </c>
      <c r="W9" s="135" t="str">
        <f t="shared" si="5"/>
        <v>3345/P1707</v>
      </c>
      <c r="X9" s="97">
        <f t="shared" si="6"/>
        <v>0</v>
      </c>
      <c r="Y9" s="190">
        <f t="shared" si="11"/>
        <v>69.236059701492536</v>
      </c>
      <c r="AY9" s="121"/>
      <c r="AZ9" s="114"/>
      <c r="BE9" s="96"/>
      <c r="BF9" s="96"/>
      <c r="BI9" s="96"/>
      <c r="BJ9" s="96"/>
    </row>
    <row r="10" spans="1:62" x14ac:dyDescent="0.2">
      <c r="A10" s="37" t="s">
        <v>175</v>
      </c>
      <c r="B10" s="194">
        <v>41384</v>
      </c>
      <c r="C10" s="195">
        <v>0.52777777777777779</v>
      </c>
      <c r="D10" s="49">
        <f t="shared" si="0"/>
        <v>-53685.833333333256</v>
      </c>
      <c r="E10" s="49">
        <f t="shared" si="1"/>
        <v>-2236.909722222219</v>
      </c>
      <c r="F10" s="49">
        <f t="shared" si="7"/>
        <v>2.5138888888905058</v>
      </c>
      <c r="G10" s="196">
        <v>1100</v>
      </c>
      <c r="H10" s="197">
        <f t="shared" ref="H10:H34" si="14">G10-70</f>
        <v>1030</v>
      </c>
      <c r="I10" s="238">
        <f t="shared" si="9"/>
        <v>0</v>
      </c>
      <c r="J10" s="238">
        <f t="shared" si="2"/>
        <v>0</v>
      </c>
      <c r="K10" s="196">
        <v>15</v>
      </c>
      <c r="L10" s="196">
        <v>15</v>
      </c>
      <c r="M10" s="49">
        <f t="shared" si="3"/>
        <v>15.45</v>
      </c>
      <c r="N10" s="135" t="s">
        <v>183</v>
      </c>
      <c r="O10" s="188">
        <v>0</v>
      </c>
      <c r="P10" s="188"/>
      <c r="Q10" s="188"/>
      <c r="R10" s="188">
        <v>0</v>
      </c>
      <c r="S10" s="188">
        <f t="shared" si="10"/>
        <v>0</v>
      </c>
      <c r="T10" s="183">
        <f t="shared" si="13"/>
        <v>0</v>
      </c>
      <c r="U10" s="182">
        <f t="shared" si="12"/>
        <v>164.29139999999998</v>
      </c>
      <c r="V10" s="97">
        <f t="shared" si="4"/>
        <v>0</v>
      </c>
      <c r="W10" s="135" t="str">
        <f t="shared" si="5"/>
        <v>3345/P1708</v>
      </c>
      <c r="X10" s="97">
        <f t="shared" si="6"/>
        <v>0</v>
      </c>
      <c r="Y10" s="190">
        <f t="shared" si="11"/>
        <v>69.236059701492536</v>
      </c>
      <c r="AY10" s="121"/>
      <c r="AZ10" s="114"/>
      <c r="BE10" s="96"/>
      <c r="BF10" s="96"/>
      <c r="BI10" s="96"/>
      <c r="BJ10" s="96"/>
    </row>
    <row r="11" spans="1:62" x14ac:dyDescent="0.2">
      <c r="A11" s="37"/>
      <c r="B11" s="194">
        <v>41386</v>
      </c>
      <c r="C11" s="195">
        <v>0.36805555555555558</v>
      </c>
      <c r="D11" s="49">
        <f t="shared" si="0"/>
        <v>-53641.666666666686</v>
      </c>
      <c r="E11" s="49">
        <f t="shared" si="1"/>
        <v>-2235.0694444444453</v>
      </c>
      <c r="F11" s="49">
        <f>E11-E10</f>
        <v>1.8402777777737356</v>
      </c>
      <c r="G11" s="196">
        <v>1100</v>
      </c>
      <c r="H11" s="197">
        <f t="shared" si="14"/>
        <v>1030</v>
      </c>
      <c r="I11" s="238">
        <f t="shared" si="9"/>
        <v>0</v>
      </c>
      <c r="J11" s="238">
        <f t="shared" si="2"/>
        <v>0</v>
      </c>
      <c r="K11" s="196">
        <v>15</v>
      </c>
      <c r="L11" s="196">
        <v>15</v>
      </c>
      <c r="M11" s="49">
        <f t="shared" si="3"/>
        <v>15.45</v>
      </c>
      <c r="N11" s="135" t="s">
        <v>184</v>
      </c>
      <c r="O11" s="188">
        <v>0</v>
      </c>
      <c r="P11" s="188"/>
      <c r="Q11" s="188"/>
      <c r="R11" s="188">
        <v>0</v>
      </c>
      <c r="S11" s="188">
        <f t="shared" si="10"/>
        <v>0</v>
      </c>
      <c r="T11" s="183">
        <f t="shared" si="13"/>
        <v>0</v>
      </c>
      <c r="U11" s="182">
        <f>S11+U10</f>
        <v>164.29139999999998</v>
      </c>
      <c r="V11" s="97">
        <f t="shared" si="4"/>
        <v>0</v>
      </c>
      <c r="W11" s="135" t="str">
        <f t="shared" si="5"/>
        <v>3345/P1709</v>
      </c>
      <c r="X11" s="97">
        <f t="shared" si="6"/>
        <v>0</v>
      </c>
      <c r="Y11" s="190">
        <f t="shared" si="11"/>
        <v>69.236059701492536</v>
      </c>
      <c r="AY11" s="121"/>
      <c r="AZ11" s="114"/>
      <c r="BE11" s="96"/>
      <c r="BF11" s="96"/>
      <c r="BI11" s="96"/>
      <c r="BJ11" s="96"/>
    </row>
    <row r="12" spans="1:62" x14ac:dyDescent="0.2">
      <c r="A12" s="37"/>
      <c r="B12" s="194">
        <v>41387</v>
      </c>
      <c r="C12" s="195">
        <v>0.34722222222222227</v>
      </c>
      <c r="D12" s="49">
        <f t="shared" si="0"/>
        <v>-53618.166666666744</v>
      </c>
      <c r="E12" s="49">
        <f t="shared" si="1"/>
        <v>-2234.090277777781</v>
      </c>
      <c r="F12" s="49">
        <f>E12-E11</f>
        <v>0.97916666666424135</v>
      </c>
      <c r="G12" s="196">
        <v>1100</v>
      </c>
      <c r="H12" s="197">
        <f t="shared" si="14"/>
        <v>1030</v>
      </c>
      <c r="I12" s="238">
        <f t="shared" si="9"/>
        <v>0</v>
      </c>
      <c r="J12" s="238">
        <f t="shared" si="2"/>
        <v>0</v>
      </c>
      <c r="K12" s="196">
        <v>15</v>
      </c>
      <c r="L12" s="196">
        <v>15</v>
      </c>
      <c r="M12" s="49">
        <f t="shared" si="3"/>
        <v>15.45</v>
      </c>
      <c r="N12" s="135" t="s">
        <v>185</v>
      </c>
      <c r="O12" s="188">
        <v>0</v>
      </c>
      <c r="P12" s="188"/>
      <c r="Q12" s="188"/>
      <c r="R12" s="188">
        <v>0</v>
      </c>
      <c r="S12" s="188">
        <f t="shared" si="10"/>
        <v>0</v>
      </c>
      <c r="T12" s="183">
        <f t="shared" si="13"/>
        <v>0</v>
      </c>
      <c r="U12" s="182">
        <f>S12+U11</f>
        <v>164.29139999999998</v>
      </c>
      <c r="V12" s="97">
        <f t="shared" si="4"/>
        <v>0</v>
      </c>
      <c r="W12" s="135" t="str">
        <f t="shared" si="5"/>
        <v>3345/P1710</v>
      </c>
      <c r="X12" s="97">
        <f t="shared" si="6"/>
        <v>0</v>
      </c>
      <c r="Y12" s="190">
        <f t="shared" si="11"/>
        <v>69.236059701492536</v>
      </c>
      <c r="AY12" s="121"/>
      <c r="AZ12" s="114"/>
      <c r="BE12" s="96"/>
      <c r="BF12" s="96"/>
      <c r="BI12" s="96"/>
      <c r="BJ12" s="96"/>
    </row>
    <row r="13" spans="1:62" x14ac:dyDescent="0.2">
      <c r="A13" s="37"/>
      <c r="B13" s="194">
        <v>41395</v>
      </c>
      <c r="C13" s="195">
        <v>0.76041666666666663</v>
      </c>
      <c r="D13" s="49">
        <f t="shared" si="0"/>
        <v>-53416.250000000058</v>
      </c>
      <c r="E13" s="49">
        <f t="shared" si="1"/>
        <v>-2225.6770833333358</v>
      </c>
      <c r="F13" s="49">
        <f>E13-E12</f>
        <v>8.4131944444452529</v>
      </c>
      <c r="G13" s="196">
        <v>1100</v>
      </c>
      <c r="H13" s="197">
        <f t="shared" si="14"/>
        <v>1030</v>
      </c>
      <c r="I13" s="238">
        <f t="shared" si="9"/>
        <v>0</v>
      </c>
      <c r="J13" s="238">
        <f>(1200*O13)/H13</f>
        <v>0</v>
      </c>
      <c r="K13" s="196">
        <v>15</v>
      </c>
      <c r="L13" s="196">
        <v>15</v>
      </c>
      <c r="M13" s="49">
        <f t="shared" si="3"/>
        <v>15.45</v>
      </c>
      <c r="N13" s="135" t="s">
        <v>186</v>
      </c>
      <c r="O13" s="188">
        <v>0</v>
      </c>
      <c r="P13" s="188"/>
      <c r="Q13" s="188"/>
      <c r="R13" s="188">
        <v>0</v>
      </c>
      <c r="S13" s="188">
        <f t="shared" si="10"/>
        <v>0</v>
      </c>
      <c r="T13" s="183">
        <f t="shared" si="13"/>
        <v>0</v>
      </c>
      <c r="U13" s="182">
        <f>S13+U12</f>
        <v>164.29139999999998</v>
      </c>
      <c r="V13" s="97">
        <f t="shared" si="4"/>
        <v>0</v>
      </c>
      <c r="W13" s="135" t="str">
        <f t="shared" si="5"/>
        <v>3345/P1711</v>
      </c>
      <c r="X13" s="97">
        <f t="shared" si="6"/>
        <v>0</v>
      </c>
      <c r="Y13" s="190">
        <f t="shared" si="11"/>
        <v>69.236059701492536</v>
      </c>
      <c r="AY13" s="121"/>
      <c r="AZ13" s="114"/>
      <c r="BE13" s="96"/>
      <c r="BF13" s="96"/>
      <c r="BI13" s="96"/>
      <c r="BJ13" s="96"/>
    </row>
    <row r="14" spans="1:62" x14ac:dyDescent="0.2">
      <c r="A14" s="37"/>
      <c r="B14" s="194">
        <v>41396</v>
      </c>
      <c r="C14" s="195">
        <v>0.5</v>
      </c>
      <c r="D14" s="49">
        <f t="shared" si="0"/>
        <v>-53398.5</v>
      </c>
      <c r="E14" s="49">
        <f t="shared" si="1"/>
        <v>-2224.9375</v>
      </c>
      <c r="F14" s="49">
        <f>E14-E13</f>
        <v>0.73958333333575865</v>
      </c>
      <c r="G14" s="196">
        <v>1100</v>
      </c>
      <c r="H14" s="197">
        <f t="shared" si="14"/>
        <v>1030</v>
      </c>
      <c r="I14" s="238">
        <f t="shared" si="9"/>
        <v>0</v>
      </c>
      <c r="J14" s="238">
        <f>(1200*R14)/H14</f>
        <v>0</v>
      </c>
      <c r="K14" s="196">
        <v>15</v>
      </c>
      <c r="L14" s="196">
        <v>15</v>
      </c>
      <c r="M14" s="49">
        <f t="shared" si="3"/>
        <v>15.45</v>
      </c>
      <c r="N14" s="135" t="s">
        <v>187</v>
      </c>
      <c r="O14" s="188">
        <v>0</v>
      </c>
      <c r="P14" s="188"/>
      <c r="Q14" s="188"/>
      <c r="R14" s="188">
        <v>0</v>
      </c>
      <c r="S14" s="188">
        <f t="shared" si="10"/>
        <v>0</v>
      </c>
      <c r="T14" s="183">
        <f t="shared" si="13"/>
        <v>0</v>
      </c>
      <c r="U14" s="182">
        <f>S14+U13</f>
        <v>164.29139999999998</v>
      </c>
      <c r="V14" s="97">
        <f t="shared" si="4"/>
        <v>0</v>
      </c>
      <c r="W14" s="135" t="str">
        <f t="shared" si="5"/>
        <v>3345/P1712</v>
      </c>
      <c r="X14" s="97">
        <f t="shared" si="6"/>
        <v>0</v>
      </c>
      <c r="Y14" s="190">
        <f t="shared" si="11"/>
        <v>69.236059701492536</v>
      </c>
      <c r="AY14" s="121"/>
      <c r="AZ14" s="114"/>
      <c r="BE14" s="96"/>
      <c r="BF14" s="96"/>
      <c r="BI14" s="96"/>
      <c r="BJ14" s="96"/>
    </row>
    <row r="15" spans="1:62" x14ac:dyDescent="0.2">
      <c r="A15" s="37"/>
      <c r="B15" s="194">
        <v>41399</v>
      </c>
      <c r="C15" s="195">
        <v>0.16666666666666666</v>
      </c>
      <c r="D15" s="49">
        <f t="shared" ref="D15:D23" si="15">(B15+C15-(Inoculo_Fecha+Inoculo_Hora))*24</f>
        <v>-53334.500000000058</v>
      </c>
      <c r="E15" s="49">
        <f t="shared" ref="E15:E23" si="16">D15/24</f>
        <v>-2222.2708333333358</v>
      </c>
      <c r="F15" s="49">
        <f t="shared" ref="F15:F23" si="17">E15-E14</f>
        <v>2.6666666666642413</v>
      </c>
      <c r="G15" s="196">
        <v>1100</v>
      </c>
      <c r="H15" s="197">
        <f t="shared" si="14"/>
        <v>1030</v>
      </c>
      <c r="I15" s="238">
        <f t="shared" si="9"/>
        <v>0</v>
      </c>
      <c r="J15" s="238">
        <f>(1200*R15)/H15</f>
        <v>0</v>
      </c>
      <c r="K15" s="196">
        <v>15</v>
      </c>
      <c r="L15" s="196">
        <v>15</v>
      </c>
      <c r="M15" s="49">
        <f t="shared" si="3"/>
        <v>15.45</v>
      </c>
      <c r="N15" s="135" t="s">
        <v>188</v>
      </c>
      <c r="O15" s="188">
        <v>0</v>
      </c>
      <c r="P15" s="188"/>
      <c r="Q15" s="188"/>
      <c r="R15" s="188">
        <v>0</v>
      </c>
      <c r="S15" s="188">
        <f t="shared" si="10"/>
        <v>0</v>
      </c>
      <c r="T15" s="183">
        <f t="shared" si="13"/>
        <v>0</v>
      </c>
      <c r="U15" s="182">
        <f t="shared" ref="U15:U23" si="18">S15+U14</f>
        <v>164.29139999999998</v>
      </c>
      <c r="V15" s="97">
        <f t="shared" si="4"/>
        <v>0</v>
      </c>
      <c r="W15" s="135" t="str">
        <f t="shared" si="5"/>
        <v>3345/P1713</v>
      </c>
      <c r="X15" s="97">
        <f t="shared" si="6"/>
        <v>0</v>
      </c>
      <c r="Y15" s="190">
        <f t="shared" si="11"/>
        <v>69.236059701492536</v>
      </c>
      <c r="AY15" s="121"/>
      <c r="AZ15" s="114"/>
      <c r="BE15" s="96"/>
      <c r="BF15" s="96"/>
      <c r="BI15" s="96"/>
      <c r="BJ15" s="96"/>
    </row>
    <row r="16" spans="1:62" x14ac:dyDescent="0.2">
      <c r="B16" s="194">
        <v>41252</v>
      </c>
      <c r="C16" s="195">
        <v>0.39583333333333298</v>
      </c>
      <c r="D16" s="49">
        <f t="shared" si="15"/>
        <v>-56856.999999999942</v>
      </c>
      <c r="E16" s="49">
        <f t="shared" si="16"/>
        <v>-2369.0416666666642</v>
      </c>
      <c r="F16" s="49">
        <f t="shared" si="17"/>
        <v>-146.77083333332848</v>
      </c>
      <c r="G16" s="196">
        <v>1100</v>
      </c>
      <c r="H16" s="197">
        <f t="shared" si="14"/>
        <v>1030</v>
      </c>
      <c r="I16" s="238">
        <f t="shared" si="9"/>
        <v>0</v>
      </c>
      <c r="J16" s="238">
        <f>(1200*R16)/H16</f>
        <v>0</v>
      </c>
      <c r="K16" s="196">
        <v>15</v>
      </c>
      <c r="L16" s="196">
        <v>15</v>
      </c>
      <c r="M16" s="49">
        <f t="shared" si="3"/>
        <v>15.45</v>
      </c>
      <c r="N16" s="135" t="s">
        <v>189</v>
      </c>
      <c r="O16" s="188">
        <v>0</v>
      </c>
      <c r="P16" s="188"/>
      <c r="Q16" s="188"/>
      <c r="R16" s="188">
        <v>0</v>
      </c>
      <c r="S16" s="188">
        <f t="shared" si="10"/>
        <v>0</v>
      </c>
      <c r="T16" s="183">
        <f t="shared" si="13"/>
        <v>0</v>
      </c>
      <c r="U16" s="182">
        <f t="shared" si="18"/>
        <v>164.29139999999998</v>
      </c>
      <c r="V16" s="97">
        <f t="shared" si="4"/>
        <v>0</v>
      </c>
      <c r="W16" s="135" t="str">
        <f t="shared" si="5"/>
        <v>3345/P1714</v>
      </c>
      <c r="X16" s="97">
        <f t="shared" si="6"/>
        <v>0</v>
      </c>
      <c r="Y16" s="190">
        <f t="shared" si="11"/>
        <v>69.236059701492536</v>
      </c>
      <c r="AY16" s="121"/>
      <c r="AZ16" s="114"/>
      <c r="BE16" s="96"/>
      <c r="BF16" s="96"/>
      <c r="BI16" s="96"/>
      <c r="BJ16" s="96"/>
    </row>
    <row r="17" spans="1:62" x14ac:dyDescent="0.2">
      <c r="A17" s="37"/>
      <c r="B17" s="194">
        <v>41254</v>
      </c>
      <c r="C17" s="195">
        <v>0.39583333333333298</v>
      </c>
      <c r="D17" s="49">
        <f t="shared" si="15"/>
        <v>-56808.999999999942</v>
      </c>
      <c r="E17" s="49">
        <f t="shared" si="16"/>
        <v>-2367.0416666666642</v>
      </c>
      <c r="F17" s="49">
        <f t="shared" si="17"/>
        <v>2</v>
      </c>
      <c r="G17" s="196">
        <v>1100</v>
      </c>
      <c r="H17" s="197">
        <f t="shared" si="14"/>
        <v>1030</v>
      </c>
      <c r="I17" s="238">
        <f t="shared" si="9"/>
        <v>0</v>
      </c>
      <c r="J17" s="238">
        <f>(1100*O17)/H17</f>
        <v>0</v>
      </c>
      <c r="K17" s="196">
        <v>15</v>
      </c>
      <c r="L17" s="196">
        <v>15</v>
      </c>
      <c r="M17" s="49">
        <f t="shared" si="3"/>
        <v>15.45</v>
      </c>
      <c r="N17" s="135" t="s">
        <v>190</v>
      </c>
      <c r="O17" s="188">
        <v>0</v>
      </c>
      <c r="P17" s="188"/>
      <c r="Q17" s="188"/>
      <c r="R17" s="188">
        <v>0</v>
      </c>
      <c r="S17" s="188">
        <f t="shared" si="10"/>
        <v>0</v>
      </c>
      <c r="T17" s="183">
        <f t="shared" si="13"/>
        <v>0</v>
      </c>
      <c r="U17" s="182">
        <f t="shared" si="18"/>
        <v>164.29139999999998</v>
      </c>
      <c r="V17" s="97">
        <f t="shared" si="4"/>
        <v>0</v>
      </c>
      <c r="W17" s="135" t="str">
        <f t="shared" si="5"/>
        <v>3345/P1715</v>
      </c>
      <c r="X17" s="97">
        <f t="shared" si="6"/>
        <v>0</v>
      </c>
      <c r="Y17" s="190">
        <f t="shared" si="11"/>
        <v>69.236059701492536</v>
      </c>
      <c r="AY17" s="121"/>
      <c r="AZ17" s="114"/>
      <c r="BE17" s="96"/>
      <c r="BF17" s="96"/>
      <c r="BI17" s="96"/>
      <c r="BJ17" s="96"/>
    </row>
    <row r="18" spans="1:62" x14ac:dyDescent="0.2">
      <c r="A18" s="37"/>
      <c r="B18" s="194">
        <v>41256</v>
      </c>
      <c r="C18" s="195">
        <v>0.39583333333333298</v>
      </c>
      <c r="D18" s="49">
        <f t="shared" si="15"/>
        <v>-56760.999999999942</v>
      </c>
      <c r="E18" s="49">
        <f t="shared" si="16"/>
        <v>-2365.0416666666642</v>
      </c>
      <c r="F18" s="49">
        <f t="shared" si="17"/>
        <v>2</v>
      </c>
      <c r="G18" s="196">
        <v>1100</v>
      </c>
      <c r="H18" s="197">
        <f t="shared" si="14"/>
        <v>1030</v>
      </c>
      <c r="I18" s="238">
        <f t="shared" si="9"/>
        <v>0</v>
      </c>
      <c r="J18" s="238">
        <f>(1100*O18)/H18</f>
        <v>0</v>
      </c>
      <c r="K18" s="196">
        <v>15</v>
      </c>
      <c r="L18" s="196">
        <v>15</v>
      </c>
      <c r="M18" s="49">
        <f t="shared" si="3"/>
        <v>15.45</v>
      </c>
      <c r="N18" s="135" t="s">
        <v>191</v>
      </c>
      <c r="O18" s="188">
        <v>0</v>
      </c>
      <c r="P18" s="188"/>
      <c r="Q18" s="188"/>
      <c r="R18" s="188">
        <v>0</v>
      </c>
      <c r="S18" s="188">
        <f t="shared" si="10"/>
        <v>0</v>
      </c>
      <c r="T18" s="183">
        <f t="shared" si="13"/>
        <v>0</v>
      </c>
      <c r="U18" s="182">
        <f t="shared" si="18"/>
        <v>164.29139999999998</v>
      </c>
      <c r="V18" s="97">
        <f t="shared" si="4"/>
        <v>0</v>
      </c>
      <c r="W18" s="135" t="str">
        <f t="shared" si="5"/>
        <v>3345/P1716</v>
      </c>
      <c r="X18" s="97">
        <f t="shared" si="6"/>
        <v>0</v>
      </c>
      <c r="Y18" s="190">
        <f t="shared" si="11"/>
        <v>69.236059701492536</v>
      </c>
      <c r="AY18" s="121"/>
      <c r="AZ18" s="114"/>
      <c r="BE18" s="96"/>
      <c r="BF18" s="96"/>
      <c r="BI18" s="96"/>
      <c r="BJ18" s="96"/>
    </row>
    <row r="19" spans="1:62" x14ac:dyDescent="0.2">
      <c r="A19" s="37"/>
      <c r="B19" s="194">
        <v>41258</v>
      </c>
      <c r="C19" s="195">
        <v>0.39583333333333298</v>
      </c>
      <c r="D19" s="49">
        <f t="shared" si="15"/>
        <v>-56712.999999999942</v>
      </c>
      <c r="E19" s="49">
        <f t="shared" si="16"/>
        <v>-2363.0416666666642</v>
      </c>
      <c r="F19" s="49">
        <f t="shared" si="17"/>
        <v>2</v>
      </c>
      <c r="G19" s="196">
        <v>1100</v>
      </c>
      <c r="H19" s="197">
        <f t="shared" si="14"/>
        <v>1030</v>
      </c>
      <c r="I19" s="238">
        <f t="shared" si="9"/>
        <v>0</v>
      </c>
      <c r="J19" s="238">
        <f t="shared" ref="J19:J34" si="19">(1200*R19)/H19</f>
        <v>0</v>
      </c>
      <c r="K19" s="196">
        <v>15</v>
      </c>
      <c r="L19" s="196">
        <v>15</v>
      </c>
      <c r="M19" s="49">
        <f t="shared" si="3"/>
        <v>15.45</v>
      </c>
      <c r="N19" s="135" t="s">
        <v>192</v>
      </c>
      <c r="O19" s="188">
        <v>0</v>
      </c>
      <c r="P19" s="188"/>
      <c r="Q19" s="188"/>
      <c r="R19" s="188">
        <v>0</v>
      </c>
      <c r="S19" s="188">
        <f t="shared" si="10"/>
        <v>0</v>
      </c>
      <c r="T19" s="183">
        <f t="shared" si="13"/>
        <v>0</v>
      </c>
      <c r="U19" s="182">
        <f t="shared" si="18"/>
        <v>164.29139999999998</v>
      </c>
      <c r="V19" s="97">
        <f t="shared" si="4"/>
        <v>0</v>
      </c>
      <c r="W19" s="135" t="str">
        <f t="shared" si="5"/>
        <v>3345/P1717</v>
      </c>
      <c r="X19" s="97">
        <f t="shared" si="6"/>
        <v>0</v>
      </c>
      <c r="Y19" s="190">
        <f t="shared" si="11"/>
        <v>69.236059701492536</v>
      </c>
      <c r="AY19" s="121"/>
      <c r="AZ19" s="114"/>
      <c r="BE19" s="96"/>
      <c r="BF19" s="96"/>
      <c r="BI19" s="96"/>
      <c r="BJ19" s="96"/>
    </row>
    <row r="20" spans="1:62" x14ac:dyDescent="0.2">
      <c r="A20" s="37"/>
      <c r="B20" s="194">
        <v>41260</v>
      </c>
      <c r="C20" s="195">
        <v>0.39583333333333298</v>
      </c>
      <c r="D20" s="49">
        <f t="shared" si="15"/>
        <v>-56664.999999999942</v>
      </c>
      <c r="E20" s="49">
        <f t="shared" si="16"/>
        <v>-2361.0416666666642</v>
      </c>
      <c r="F20" s="49">
        <f t="shared" si="17"/>
        <v>2</v>
      </c>
      <c r="G20" s="196">
        <v>1100</v>
      </c>
      <c r="H20" s="197">
        <f t="shared" si="14"/>
        <v>1030</v>
      </c>
      <c r="I20" s="238">
        <f t="shared" si="9"/>
        <v>0</v>
      </c>
      <c r="J20" s="238">
        <f t="shared" si="19"/>
        <v>0</v>
      </c>
      <c r="K20" s="196">
        <v>15</v>
      </c>
      <c r="L20" s="196">
        <v>15</v>
      </c>
      <c r="M20" s="49">
        <f t="shared" si="3"/>
        <v>15.45</v>
      </c>
      <c r="N20" s="135" t="s">
        <v>193</v>
      </c>
      <c r="O20" s="188">
        <v>0</v>
      </c>
      <c r="P20" s="188"/>
      <c r="Q20" s="188"/>
      <c r="R20" s="188">
        <v>0</v>
      </c>
      <c r="S20" s="188">
        <f t="shared" si="10"/>
        <v>0</v>
      </c>
      <c r="T20" s="183">
        <f t="shared" si="13"/>
        <v>0</v>
      </c>
      <c r="U20" s="182">
        <f t="shared" si="18"/>
        <v>164.29139999999998</v>
      </c>
      <c r="V20" s="97">
        <f t="shared" si="4"/>
        <v>0</v>
      </c>
      <c r="W20" s="135" t="str">
        <f t="shared" si="5"/>
        <v>3345/P1718</v>
      </c>
      <c r="X20" s="97">
        <f t="shared" si="6"/>
        <v>0</v>
      </c>
      <c r="Y20" s="190">
        <f t="shared" si="11"/>
        <v>69.236059701492536</v>
      </c>
      <c r="AY20" s="121"/>
      <c r="AZ20" s="114"/>
      <c r="BE20" s="96"/>
      <c r="BF20" s="96"/>
      <c r="BI20" s="96"/>
      <c r="BJ20" s="96"/>
    </row>
    <row r="21" spans="1:62" x14ac:dyDescent="0.2">
      <c r="A21" s="37"/>
      <c r="B21" s="194">
        <v>41262</v>
      </c>
      <c r="C21" s="195">
        <v>0.39583333333333298</v>
      </c>
      <c r="D21" s="49">
        <f t="shared" si="15"/>
        <v>-56616.999999999942</v>
      </c>
      <c r="E21" s="49">
        <f t="shared" si="16"/>
        <v>-2359.0416666666642</v>
      </c>
      <c r="F21" s="49">
        <f t="shared" si="17"/>
        <v>2</v>
      </c>
      <c r="G21" s="196">
        <v>1100</v>
      </c>
      <c r="H21" s="197">
        <f t="shared" si="14"/>
        <v>1030</v>
      </c>
      <c r="I21" s="238">
        <f t="shared" si="9"/>
        <v>0</v>
      </c>
      <c r="J21" s="238">
        <f t="shared" si="19"/>
        <v>0</v>
      </c>
      <c r="K21" s="196">
        <v>15</v>
      </c>
      <c r="L21" s="196">
        <v>15</v>
      </c>
      <c r="M21" s="49">
        <f t="shared" si="3"/>
        <v>15.45</v>
      </c>
      <c r="N21" s="135" t="s">
        <v>194</v>
      </c>
      <c r="O21" s="188">
        <v>0</v>
      </c>
      <c r="P21" s="188"/>
      <c r="Q21" s="188"/>
      <c r="R21" s="188">
        <v>0</v>
      </c>
      <c r="S21" s="188">
        <f t="shared" si="10"/>
        <v>0</v>
      </c>
      <c r="T21" s="183">
        <f t="shared" si="13"/>
        <v>0</v>
      </c>
      <c r="U21" s="182">
        <f t="shared" si="18"/>
        <v>164.29139999999998</v>
      </c>
      <c r="V21" s="97">
        <f t="shared" si="4"/>
        <v>0</v>
      </c>
      <c r="W21" s="135" t="str">
        <f t="shared" si="5"/>
        <v>3345/P1719</v>
      </c>
      <c r="X21" s="97">
        <f t="shared" si="6"/>
        <v>0</v>
      </c>
      <c r="Y21" s="190">
        <f t="shared" si="11"/>
        <v>69.236059701492536</v>
      </c>
      <c r="AY21" s="121"/>
      <c r="AZ21" s="114"/>
      <c r="BE21" s="96"/>
      <c r="BF21" s="96"/>
      <c r="BI21" s="96"/>
      <c r="BJ21" s="96"/>
    </row>
    <row r="22" spans="1:62" x14ac:dyDescent="0.2">
      <c r="A22" s="37"/>
      <c r="B22" s="194">
        <v>41264</v>
      </c>
      <c r="C22" s="195">
        <v>0.39583333333333298</v>
      </c>
      <c r="D22" s="49">
        <f t="shared" si="15"/>
        <v>-56568.999999999942</v>
      </c>
      <c r="E22" s="49">
        <f t="shared" si="16"/>
        <v>-2357.0416666666642</v>
      </c>
      <c r="F22" s="49">
        <f t="shared" si="17"/>
        <v>2</v>
      </c>
      <c r="G22" s="196">
        <v>1100</v>
      </c>
      <c r="H22" s="197">
        <f t="shared" si="14"/>
        <v>1030</v>
      </c>
      <c r="I22" s="238">
        <f t="shared" si="9"/>
        <v>0</v>
      </c>
      <c r="J22" s="238">
        <f t="shared" si="19"/>
        <v>0</v>
      </c>
      <c r="K22" s="196">
        <v>15</v>
      </c>
      <c r="L22" s="196">
        <v>15</v>
      </c>
      <c r="M22" s="49">
        <f t="shared" si="3"/>
        <v>15.45</v>
      </c>
      <c r="N22" s="135" t="s">
        <v>195</v>
      </c>
      <c r="O22" s="188">
        <v>0</v>
      </c>
      <c r="P22" s="188"/>
      <c r="Q22" s="188"/>
      <c r="R22" s="188">
        <v>0</v>
      </c>
      <c r="S22" s="188">
        <f t="shared" si="10"/>
        <v>0</v>
      </c>
      <c r="T22" s="183">
        <f t="shared" si="13"/>
        <v>0</v>
      </c>
      <c r="U22" s="182">
        <f t="shared" si="18"/>
        <v>164.29139999999998</v>
      </c>
      <c r="V22" s="97">
        <f t="shared" si="4"/>
        <v>0</v>
      </c>
      <c r="W22" s="135" t="str">
        <f t="shared" si="5"/>
        <v>3345/P1720</v>
      </c>
      <c r="X22" s="97">
        <f t="shared" si="6"/>
        <v>0</v>
      </c>
      <c r="Y22" s="190">
        <f t="shared" si="11"/>
        <v>69.236059701492536</v>
      </c>
      <c r="AY22" s="121"/>
      <c r="AZ22" s="114"/>
      <c r="BE22" s="96"/>
      <c r="BF22" s="96"/>
      <c r="BI22" s="96"/>
      <c r="BJ22" s="96"/>
    </row>
    <row r="23" spans="1:62" x14ac:dyDescent="0.2">
      <c r="A23" s="37"/>
      <c r="B23" s="194">
        <v>41266</v>
      </c>
      <c r="C23" s="195">
        <v>0.39583333333333298</v>
      </c>
      <c r="D23" s="49">
        <f t="shared" si="15"/>
        <v>-56520.999999999942</v>
      </c>
      <c r="E23" s="49">
        <f t="shared" si="16"/>
        <v>-2355.0416666666642</v>
      </c>
      <c r="F23" s="49">
        <f t="shared" si="17"/>
        <v>2</v>
      </c>
      <c r="G23" s="196">
        <v>1100</v>
      </c>
      <c r="H23" s="197">
        <f t="shared" si="14"/>
        <v>1030</v>
      </c>
      <c r="I23" s="238">
        <f t="shared" si="9"/>
        <v>0</v>
      </c>
      <c r="J23" s="238">
        <f t="shared" si="19"/>
        <v>0</v>
      </c>
      <c r="K23" s="196">
        <v>15</v>
      </c>
      <c r="L23" s="196">
        <v>15</v>
      </c>
      <c r="M23" s="49">
        <f t="shared" si="3"/>
        <v>15.45</v>
      </c>
      <c r="N23" s="135" t="s">
        <v>196</v>
      </c>
      <c r="O23" s="188">
        <v>0</v>
      </c>
      <c r="P23" s="188"/>
      <c r="Q23" s="188"/>
      <c r="R23" s="188">
        <v>0</v>
      </c>
      <c r="S23" s="188">
        <f t="shared" si="10"/>
        <v>0</v>
      </c>
      <c r="T23" s="183">
        <f t="shared" si="13"/>
        <v>0</v>
      </c>
      <c r="U23" s="182">
        <f t="shared" si="18"/>
        <v>164.29139999999998</v>
      </c>
      <c r="V23" s="97">
        <f t="shared" si="4"/>
        <v>0</v>
      </c>
      <c r="W23" s="135" t="str">
        <f t="shared" si="5"/>
        <v>3345/P1721</v>
      </c>
      <c r="X23" s="97">
        <f t="shared" si="6"/>
        <v>0</v>
      </c>
      <c r="Y23" s="190">
        <f t="shared" si="11"/>
        <v>69.236059701492536</v>
      </c>
      <c r="AY23" s="121"/>
      <c r="AZ23" s="114"/>
      <c r="BE23" s="96"/>
      <c r="BF23" s="96"/>
      <c r="BI23" s="96"/>
      <c r="BJ23" s="96"/>
    </row>
    <row r="24" spans="1:62" x14ac:dyDescent="0.2">
      <c r="A24" s="37"/>
      <c r="B24" s="194">
        <v>41268</v>
      </c>
      <c r="C24" s="195">
        <v>0.39583333333333298</v>
      </c>
      <c r="D24" s="49">
        <f t="shared" ref="D24:D29" si="20">(B24+C24-(Inoculo_Fecha+Inoculo_Hora))*24</f>
        <v>-56472.999999999942</v>
      </c>
      <c r="E24" s="49">
        <f t="shared" ref="E24:E29" si="21">D24/24</f>
        <v>-2353.0416666666642</v>
      </c>
      <c r="F24" s="49">
        <f t="shared" ref="F24:F29" si="22">E24-E23</f>
        <v>2</v>
      </c>
      <c r="G24" s="196">
        <v>1100</v>
      </c>
      <c r="H24" s="197">
        <f t="shared" si="14"/>
        <v>1030</v>
      </c>
      <c r="I24" s="238">
        <f t="shared" ref="I24:I29" si="23">J24*G24/1000</f>
        <v>0</v>
      </c>
      <c r="J24" s="238">
        <f t="shared" si="19"/>
        <v>0</v>
      </c>
      <c r="K24" s="196">
        <v>15</v>
      </c>
      <c r="L24" s="196">
        <v>15</v>
      </c>
      <c r="M24" s="49">
        <f>K24*H24/1000</f>
        <v>15.45</v>
      </c>
      <c r="N24" s="135" t="s">
        <v>197</v>
      </c>
      <c r="O24" s="188">
        <v>0</v>
      </c>
      <c r="P24" s="188"/>
      <c r="Q24" s="188"/>
      <c r="R24" s="188">
        <v>0</v>
      </c>
      <c r="S24" s="188">
        <f t="shared" si="10"/>
        <v>0</v>
      </c>
      <c r="T24" s="183">
        <f t="shared" si="13"/>
        <v>0</v>
      </c>
      <c r="U24" s="182">
        <f>S24+U23</f>
        <v>164.29139999999998</v>
      </c>
      <c r="V24" s="97">
        <f t="shared" si="4"/>
        <v>0</v>
      </c>
      <c r="W24" s="135" t="str">
        <f t="shared" si="5"/>
        <v>3345/P1722</v>
      </c>
      <c r="X24" s="97">
        <f t="shared" si="6"/>
        <v>0</v>
      </c>
      <c r="Y24" s="190">
        <f t="shared" si="11"/>
        <v>69.236059701492536</v>
      </c>
      <c r="AY24" s="121"/>
      <c r="AZ24" s="114"/>
      <c r="BE24" s="96"/>
      <c r="BF24" s="96"/>
      <c r="BI24" s="96"/>
      <c r="BJ24" s="96"/>
    </row>
    <row r="25" spans="1:62" ht="10.5" customHeight="1" x14ac:dyDescent="0.2">
      <c r="A25" s="37"/>
      <c r="B25" s="194">
        <v>41270</v>
      </c>
      <c r="C25" s="195">
        <v>0.39583333333333298</v>
      </c>
      <c r="D25" s="49">
        <f t="shared" si="20"/>
        <v>-56424.999999999942</v>
      </c>
      <c r="E25" s="49">
        <f t="shared" si="21"/>
        <v>-2351.0416666666642</v>
      </c>
      <c r="F25" s="49">
        <f t="shared" si="22"/>
        <v>2</v>
      </c>
      <c r="G25" s="196">
        <v>1100</v>
      </c>
      <c r="H25" s="197">
        <f t="shared" si="14"/>
        <v>1030</v>
      </c>
      <c r="I25" s="238">
        <f t="shared" si="23"/>
        <v>0</v>
      </c>
      <c r="J25" s="238">
        <f t="shared" si="19"/>
        <v>0</v>
      </c>
      <c r="K25" s="196">
        <v>15</v>
      </c>
      <c r="L25" s="196">
        <v>15</v>
      </c>
      <c r="M25" s="49">
        <f>K25*H25/1000</f>
        <v>15.45</v>
      </c>
      <c r="N25" s="135" t="s">
        <v>198</v>
      </c>
      <c r="O25" s="188">
        <v>0</v>
      </c>
      <c r="P25" s="188"/>
      <c r="Q25" s="188"/>
      <c r="R25" s="188">
        <v>0</v>
      </c>
      <c r="S25" s="188">
        <f t="shared" si="10"/>
        <v>0</v>
      </c>
      <c r="T25" s="183">
        <f t="shared" si="13"/>
        <v>0</v>
      </c>
      <c r="U25" s="182">
        <f>S25+U24</f>
        <v>164.29139999999998</v>
      </c>
      <c r="V25" s="97">
        <f t="shared" si="4"/>
        <v>0</v>
      </c>
      <c r="W25" s="135" t="str">
        <f t="shared" si="5"/>
        <v>3345/P1723</v>
      </c>
      <c r="X25" s="97">
        <f t="shared" si="6"/>
        <v>0</v>
      </c>
      <c r="Y25" s="190">
        <f t="shared" si="11"/>
        <v>69.236059701492536</v>
      </c>
      <c r="AY25" s="121"/>
      <c r="AZ25" s="114"/>
      <c r="BE25" s="96"/>
      <c r="BF25" s="96"/>
      <c r="BI25" s="96"/>
      <c r="BJ25" s="96"/>
    </row>
    <row r="26" spans="1:62" x14ac:dyDescent="0.2">
      <c r="A26" s="37"/>
      <c r="B26" s="194">
        <v>41272</v>
      </c>
      <c r="C26" s="195">
        <v>0.39583333333333298</v>
      </c>
      <c r="D26" s="49">
        <f t="shared" si="20"/>
        <v>-56376.999999999942</v>
      </c>
      <c r="E26" s="49">
        <f t="shared" si="21"/>
        <v>-2349.0416666666642</v>
      </c>
      <c r="F26" s="49">
        <f t="shared" si="22"/>
        <v>2</v>
      </c>
      <c r="G26" s="196">
        <v>1100</v>
      </c>
      <c r="H26" s="197">
        <f t="shared" si="14"/>
        <v>1030</v>
      </c>
      <c r="I26" s="238">
        <f t="shared" si="23"/>
        <v>0</v>
      </c>
      <c r="J26" s="238">
        <f t="shared" si="19"/>
        <v>0</v>
      </c>
      <c r="K26" s="196">
        <v>15</v>
      </c>
      <c r="L26" s="196">
        <v>15</v>
      </c>
      <c r="M26" s="49">
        <f>K26*H26/1000</f>
        <v>15.45</v>
      </c>
      <c r="N26" s="135" t="s">
        <v>199</v>
      </c>
      <c r="O26" s="188">
        <v>0</v>
      </c>
      <c r="P26" s="188"/>
      <c r="Q26" s="188"/>
      <c r="R26" s="188">
        <v>0</v>
      </c>
      <c r="S26" s="188">
        <f t="shared" si="10"/>
        <v>0</v>
      </c>
      <c r="T26" s="183">
        <f t="shared" si="13"/>
        <v>0</v>
      </c>
      <c r="U26" s="182">
        <f>S26+U25</f>
        <v>164.29139999999998</v>
      </c>
      <c r="V26" s="97">
        <f t="shared" si="4"/>
        <v>0</v>
      </c>
      <c r="W26" s="135" t="str">
        <f t="shared" si="5"/>
        <v>3345/P1724</v>
      </c>
      <c r="X26" s="97">
        <f t="shared" si="6"/>
        <v>0</v>
      </c>
      <c r="Y26" s="190">
        <f t="shared" si="11"/>
        <v>69.236059701492536</v>
      </c>
      <c r="AY26" s="121"/>
      <c r="AZ26" s="114"/>
      <c r="BE26" s="96"/>
      <c r="BF26" s="96"/>
      <c r="BI26" s="96"/>
      <c r="BJ26" s="96"/>
    </row>
    <row r="27" spans="1:62" x14ac:dyDescent="0.2">
      <c r="A27" s="37"/>
      <c r="B27" s="194">
        <v>41274</v>
      </c>
      <c r="C27" s="195">
        <v>0.39583333333333298</v>
      </c>
      <c r="D27" s="49">
        <f t="shared" si="20"/>
        <v>-56328.999999999942</v>
      </c>
      <c r="E27" s="49">
        <f t="shared" si="21"/>
        <v>-2347.0416666666642</v>
      </c>
      <c r="F27" s="49">
        <f t="shared" si="22"/>
        <v>2</v>
      </c>
      <c r="G27" s="196">
        <v>1100</v>
      </c>
      <c r="H27" s="197">
        <f t="shared" si="14"/>
        <v>1030</v>
      </c>
      <c r="I27" s="238">
        <f t="shared" si="23"/>
        <v>0</v>
      </c>
      <c r="J27" s="238">
        <f t="shared" si="19"/>
        <v>0</v>
      </c>
      <c r="K27" s="196">
        <v>15</v>
      </c>
      <c r="L27" s="196">
        <v>15</v>
      </c>
      <c r="M27" s="49">
        <f t="shared" ref="M27:M34" si="24">K27*H27/1000</f>
        <v>15.45</v>
      </c>
      <c r="N27" s="135" t="s">
        <v>200</v>
      </c>
      <c r="O27" s="188">
        <v>0</v>
      </c>
      <c r="P27" s="188"/>
      <c r="Q27" s="188"/>
      <c r="R27" s="188">
        <v>0</v>
      </c>
      <c r="S27" s="188">
        <f t="shared" si="10"/>
        <v>0</v>
      </c>
      <c r="T27" s="183">
        <f t="shared" si="13"/>
        <v>0</v>
      </c>
      <c r="U27" s="182">
        <f t="shared" ref="U27:U34" si="25">S27+U26</f>
        <v>164.29139999999998</v>
      </c>
      <c r="V27" s="97">
        <f t="shared" si="4"/>
        <v>0</v>
      </c>
      <c r="W27" s="135" t="str">
        <f t="shared" si="5"/>
        <v>3345/P1725</v>
      </c>
      <c r="X27" s="97">
        <f t="shared" si="6"/>
        <v>0</v>
      </c>
      <c r="Y27" s="190"/>
      <c r="AY27" s="121"/>
      <c r="AZ27" s="114"/>
      <c r="BE27" s="96"/>
      <c r="BF27" s="96"/>
      <c r="BI27" s="96"/>
      <c r="BJ27" s="96"/>
    </row>
    <row r="28" spans="1:62" x14ac:dyDescent="0.2">
      <c r="A28" s="37"/>
      <c r="B28" s="194">
        <v>41276</v>
      </c>
      <c r="C28" s="195">
        <v>0.39583333333333298</v>
      </c>
      <c r="D28" s="49">
        <f t="shared" si="20"/>
        <v>-56280.999999999942</v>
      </c>
      <c r="E28" s="49">
        <f t="shared" si="21"/>
        <v>-2345.0416666666642</v>
      </c>
      <c r="F28" s="49">
        <f t="shared" si="22"/>
        <v>2</v>
      </c>
      <c r="G28" s="196">
        <v>1100</v>
      </c>
      <c r="H28" s="197">
        <f t="shared" si="14"/>
        <v>1030</v>
      </c>
      <c r="I28" s="238">
        <f t="shared" si="23"/>
        <v>0</v>
      </c>
      <c r="J28" s="238">
        <f t="shared" si="19"/>
        <v>0</v>
      </c>
      <c r="K28" s="196">
        <v>15</v>
      </c>
      <c r="L28" s="196">
        <v>15</v>
      </c>
      <c r="M28" s="49">
        <f t="shared" si="24"/>
        <v>15.45</v>
      </c>
      <c r="N28" s="135" t="s">
        <v>201</v>
      </c>
      <c r="O28" s="188">
        <v>0</v>
      </c>
      <c r="P28" s="188"/>
      <c r="Q28" s="188"/>
      <c r="R28" s="188">
        <v>0</v>
      </c>
      <c r="S28" s="188">
        <f t="shared" si="10"/>
        <v>0</v>
      </c>
      <c r="T28" s="183">
        <f t="shared" si="13"/>
        <v>0</v>
      </c>
      <c r="U28" s="182">
        <f t="shared" si="25"/>
        <v>164.29139999999998</v>
      </c>
      <c r="V28" s="97">
        <f t="shared" si="4"/>
        <v>0</v>
      </c>
      <c r="W28" s="135" t="str">
        <f t="shared" si="5"/>
        <v>3345/P1726</v>
      </c>
      <c r="X28" s="97">
        <f t="shared" si="6"/>
        <v>0</v>
      </c>
      <c r="Y28" s="190"/>
      <c r="AY28" s="121"/>
      <c r="AZ28" s="114"/>
      <c r="BE28" s="96"/>
      <c r="BF28" s="96"/>
      <c r="BI28" s="96"/>
      <c r="BJ28" s="96"/>
    </row>
    <row r="29" spans="1:62" x14ac:dyDescent="0.2">
      <c r="A29" s="37"/>
      <c r="B29" s="194">
        <v>41278</v>
      </c>
      <c r="C29" s="195">
        <v>0.39583333333333298</v>
      </c>
      <c r="D29" s="49">
        <f t="shared" si="20"/>
        <v>-56232.999999999942</v>
      </c>
      <c r="E29" s="49">
        <f t="shared" si="21"/>
        <v>-2343.0416666666642</v>
      </c>
      <c r="F29" s="49">
        <f t="shared" si="22"/>
        <v>2</v>
      </c>
      <c r="G29" s="196">
        <v>1100</v>
      </c>
      <c r="H29" s="197">
        <f t="shared" si="14"/>
        <v>1030</v>
      </c>
      <c r="I29" s="238">
        <f t="shared" si="23"/>
        <v>0</v>
      </c>
      <c r="J29" s="238">
        <f t="shared" si="19"/>
        <v>0</v>
      </c>
      <c r="K29" s="196">
        <v>15</v>
      </c>
      <c r="L29" s="196">
        <v>15</v>
      </c>
      <c r="M29" s="49">
        <f t="shared" si="24"/>
        <v>15.45</v>
      </c>
      <c r="N29" s="135" t="s">
        <v>202</v>
      </c>
      <c r="O29" s="188">
        <v>0</v>
      </c>
      <c r="P29" s="188"/>
      <c r="Q29" s="188"/>
      <c r="R29" s="188">
        <v>0</v>
      </c>
      <c r="S29" s="188">
        <f t="shared" si="10"/>
        <v>0</v>
      </c>
      <c r="T29" s="183">
        <f t="shared" si="13"/>
        <v>0</v>
      </c>
      <c r="U29" s="182">
        <f t="shared" si="25"/>
        <v>164.29139999999998</v>
      </c>
      <c r="V29" s="97">
        <f t="shared" si="4"/>
        <v>0</v>
      </c>
      <c r="W29" s="135" t="str">
        <f t="shared" si="5"/>
        <v>3345/P1727</v>
      </c>
      <c r="X29" s="97">
        <f t="shared" si="6"/>
        <v>0</v>
      </c>
      <c r="Y29" s="190">
        <f>Y23-Y15</f>
        <v>0</v>
      </c>
      <c r="AY29" s="121"/>
      <c r="AZ29" s="114"/>
      <c r="BE29" s="96"/>
      <c r="BF29" s="96"/>
      <c r="BI29" s="96"/>
      <c r="BJ29" s="96"/>
    </row>
    <row r="30" spans="1:62" x14ac:dyDescent="0.2">
      <c r="A30" s="37"/>
      <c r="B30" s="194">
        <v>41280</v>
      </c>
      <c r="C30" s="195">
        <v>0.39583333333333298</v>
      </c>
      <c r="D30" s="49">
        <f>(B30+C30-(Inoculo_Fecha+Inoculo_Hora))*24</f>
        <v>-56184.999999999942</v>
      </c>
      <c r="E30" s="49">
        <f>D30/24</f>
        <v>-2341.0416666666642</v>
      </c>
      <c r="F30" s="49">
        <f>E30-E29</f>
        <v>2</v>
      </c>
      <c r="G30" s="196">
        <v>1100</v>
      </c>
      <c r="H30" s="197">
        <f t="shared" si="14"/>
        <v>1030</v>
      </c>
      <c r="I30" s="238">
        <f>J30*G30/1000</f>
        <v>0</v>
      </c>
      <c r="J30" s="238">
        <f t="shared" si="19"/>
        <v>0</v>
      </c>
      <c r="K30" s="196">
        <v>15</v>
      </c>
      <c r="L30" s="196">
        <v>15</v>
      </c>
      <c r="M30" s="49">
        <f t="shared" si="24"/>
        <v>15.45</v>
      </c>
      <c r="N30" s="135" t="s">
        <v>203</v>
      </c>
      <c r="O30" s="188">
        <v>0</v>
      </c>
      <c r="P30" s="188"/>
      <c r="Q30" s="188"/>
      <c r="R30" s="188">
        <v>0</v>
      </c>
      <c r="S30" s="188">
        <f t="shared" si="10"/>
        <v>0</v>
      </c>
      <c r="T30" s="183">
        <f t="shared" si="13"/>
        <v>0</v>
      </c>
      <c r="U30" s="182">
        <f t="shared" si="25"/>
        <v>164.29139999999998</v>
      </c>
      <c r="V30" s="97">
        <f t="shared" si="4"/>
        <v>0</v>
      </c>
      <c r="W30" s="135" t="str">
        <f t="shared" si="5"/>
        <v>3345/P1728</v>
      </c>
      <c r="X30" s="97">
        <f t="shared" si="6"/>
        <v>0</v>
      </c>
      <c r="Y30" s="190"/>
      <c r="AY30" s="121"/>
      <c r="AZ30" s="114"/>
      <c r="BE30" s="96"/>
      <c r="BF30" s="96"/>
      <c r="BI30" s="96"/>
      <c r="BJ30" s="96"/>
    </row>
    <row r="31" spans="1:62" x14ac:dyDescent="0.2">
      <c r="A31" s="37"/>
      <c r="B31" s="194">
        <v>41282</v>
      </c>
      <c r="C31" s="195">
        <v>0.39583333333333298</v>
      </c>
      <c r="D31" s="49">
        <f>(B31+C31-(Inoculo_Fecha+Inoculo_Hora))*24</f>
        <v>-56136.999999999942</v>
      </c>
      <c r="E31" s="49">
        <f>D31/24</f>
        <v>-2339.0416666666642</v>
      </c>
      <c r="F31" s="49">
        <f>E31-E30</f>
        <v>2</v>
      </c>
      <c r="G31" s="196">
        <v>1100</v>
      </c>
      <c r="H31" s="197">
        <f t="shared" si="14"/>
        <v>1030</v>
      </c>
      <c r="I31" s="238">
        <f>J31*G31/1000</f>
        <v>0</v>
      </c>
      <c r="J31" s="238">
        <f t="shared" si="19"/>
        <v>0</v>
      </c>
      <c r="K31" s="196">
        <v>15</v>
      </c>
      <c r="L31" s="196">
        <v>15</v>
      </c>
      <c r="M31" s="49">
        <f t="shared" si="24"/>
        <v>15.45</v>
      </c>
      <c r="N31" s="135" t="s">
        <v>204</v>
      </c>
      <c r="O31" s="188">
        <v>0</v>
      </c>
      <c r="P31" s="188"/>
      <c r="Q31" s="188"/>
      <c r="R31" s="188">
        <v>0</v>
      </c>
      <c r="S31" s="188">
        <f t="shared" si="10"/>
        <v>0</v>
      </c>
      <c r="T31" s="183">
        <f t="shared" si="13"/>
        <v>0</v>
      </c>
      <c r="U31" s="182">
        <f t="shared" si="25"/>
        <v>164.29139999999998</v>
      </c>
      <c r="V31" s="97">
        <f t="shared" si="4"/>
        <v>0</v>
      </c>
      <c r="W31" s="135" t="str">
        <f t="shared" si="5"/>
        <v>3345/P1729</v>
      </c>
      <c r="X31" s="97">
        <f t="shared" si="6"/>
        <v>0</v>
      </c>
      <c r="Y31" s="190"/>
      <c r="AY31" s="121"/>
      <c r="AZ31" s="114"/>
      <c r="BE31" s="96"/>
      <c r="BF31" s="96"/>
      <c r="BI31" s="96"/>
      <c r="BJ31" s="96"/>
    </row>
    <row r="32" spans="1:62" x14ac:dyDescent="0.2">
      <c r="A32" s="37"/>
      <c r="B32" s="194">
        <v>41284</v>
      </c>
      <c r="C32" s="195">
        <v>0.39583333333333298</v>
      </c>
      <c r="D32" s="49">
        <f>(B32+C32-(Inoculo_Fecha+Inoculo_Hora))*24</f>
        <v>-56088.999999999942</v>
      </c>
      <c r="E32" s="49">
        <f>D32/24</f>
        <v>-2337.0416666666642</v>
      </c>
      <c r="F32" s="49">
        <f>E32-E31</f>
        <v>2</v>
      </c>
      <c r="G32" s="196">
        <v>1100</v>
      </c>
      <c r="H32" s="197">
        <f t="shared" si="14"/>
        <v>1030</v>
      </c>
      <c r="I32" s="238">
        <f>J32*G32/1000</f>
        <v>0</v>
      </c>
      <c r="J32" s="238">
        <f t="shared" si="19"/>
        <v>0</v>
      </c>
      <c r="K32" s="196">
        <v>15</v>
      </c>
      <c r="L32" s="196">
        <v>15</v>
      </c>
      <c r="M32" s="49">
        <f t="shared" si="24"/>
        <v>15.45</v>
      </c>
      <c r="N32" s="135" t="s">
        <v>205</v>
      </c>
      <c r="O32" s="188">
        <v>0</v>
      </c>
      <c r="P32" s="188"/>
      <c r="Q32" s="188"/>
      <c r="R32" s="188">
        <v>0</v>
      </c>
      <c r="S32" s="188">
        <f t="shared" si="10"/>
        <v>0</v>
      </c>
      <c r="T32" s="183">
        <f t="shared" si="13"/>
        <v>0</v>
      </c>
      <c r="U32" s="182">
        <f t="shared" si="25"/>
        <v>164.29139999999998</v>
      </c>
      <c r="V32" s="97">
        <f t="shared" si="4"/>
        <v>0</v>
      </c>
      <c r="W32" s="135" t="str">
        <f t="shared" si="5"/>
        <v>3345/P1730</v>
      </c>
      <c r="X32" s="97">
        <f t="shared" si="6"/>
        <v>0</v>
      </c>
      <c r="Y32" s="190"/>
      <c r="AY32" s="121"/>
      <c r="AZ32" s="114"/>
      <c r="BE32" s="96"/>
      <c r="BF32" s="96"/>
      <c r="BI32" s="96"/>
      <c r="BJ32" s="96"/>
    </row>
    <row r="33" spans="1:62" x14ac:dyDescent="0.2">
      <c r="A33" s="37"/>
      <c r="B33" s="194">
        <v>41286</v>
      </c>
      <c r="C33" s="195">
        <v>0.39583333333333298</v>
      </c>
      <c r="D33" s="49">
        <f>(B33+C33-(Inoculo_Fecha+Inoculo_Hora))*24</f>
        <v>-56040.999999999942</v>
      </c>
      <c r="E33" s="49">
        <f>D33/24</f>
        <v>-2335.0416666666642</v>
      </c>
      <c r="F33" s="49">
        <f>E33-E32</f>
        <v>2</v>
      </c>
      <c r="G33" s="196">
        <v>1100</v>
      </c>
      <c r="H33" s="197">
        <f t="shared" si="14"/>
        <v>1030</v>
      </c>
      <c r="I33" s="238">
        <f>J33*G33/1000</f>
        <v>0</v>
      </c>
      <c r="J33" s="238">
        <f t="shared" si="19"/>
        <v>0</v>
      </c>
      <c r="K33" s="196">
        <v>15</v>
      </c>
      <c r="L33" s="196">
        <v>15</v>
      </c>
      <c r="M33" s="49">
        <f t="shared" si="24"/>
        <v>15.45</v>
      </c>
      <c r="N33" s="135" t="s">
        <v>206</v>
      </c>
      <c r="O33" s="188">
        <v>0</v>
      </c>
      <c r="P33" s="188"/>
      <c r="Q33" s="188"/>
      <c r="R33" s="188">
        <v>0</v>
      </c>
      <c r="S33" s="188">
        <f t="shared" si="10"/>
        <v>0</v>
      </c>
      <c r="T33" s="183">
        <f t="shared" si="13"/>
        <v>0</v>
      </c>
      <c r="U33" s="182">
        <f t="shared" si="25"/>
        <v>164.29139999999998</v>
      </c>
      <c r="V33" s="97">
        <f t="shared" si="4"/>
        <v>0</v>
      </c>
      <c r="W33" s="135" t="str">
        <f t="shared" si="5"/>
        <v>3345/P1731</v>
      </c>
      <c r="X33" s="97">
        <f t="shared" si="6"/>
        <v>0</v>
      </c>
      <c r="AY33" s="121"/>
      <c r="AZ33" s="114"/>
      <c r="BE33" s="96"/>
      <c r="BF33" s="96"/>
      <c r="BI33" s="96"/>
      <c r="BJ33" s="96"/>
    </row>
    <row r="34" spans="1:62" x14ac:dyDescent="0.2">
      <c r="A34" s="37"/>
      <c r="B34" s="194">
        <v>41288</v>
      </c>
      <c r="C34" s="195">
        <v>0.39583333333333298</v>
      </c>
      <c r="D34" s="49">
        <f>(B34+C34-(Inoculo_Fecha+Inoculo_Hora))*24</f>
        <v>-55992.999999999942</v>
      </c>
      <c r="E34" s="49">
        <f>D34/24</f>
        <v>-2333.0416666666642</v>
      </c>
      <c r="F34" s="49">
        <f>E34-E33</f>
        <v>2</v>
      </c>
      <c r="G34" s="196">
        <v>1100</v>
      </c>
      <c r="H34" s="197">
        <f t="shared" si="14"/>
        <v>1030</v>
      </c>
      <c r="I34" s="238">
        <f>J34*G34/1000</f>
        <v>0</v>
      </c>
      <c r="J34" s="238">
        <f t="shared" si="19"/>
        <v>0</v>
      </c>
      <c r="K34" s="196">
        <v>15</v>
      </c>
      <c r="L34" s="196">
        <v>15</v>
      </c>
      <c r="M34" s="49">
        <f t="shared" si="24"/>
        <v>15.45</v>
      </c>
      <c r="N34" s="135" t="s">
        <v>207</v>
      </c>
      <c r="O34" s="188">
        <v>0</v>
      </c>
      <c r="P34" s="188"/>
      <c r="Q34" s="188"/>
      <c r="R34" s="188">
        <v>0</v>
      </c>
      <c r="S34" s="188">
        <f t="shared" si="10"/>
        <v>0</v>
      </c>
      <c r="T34" s="183">
        <f t="shared" si="13"/>
        <v>0</v>
      </c>
      <c r="U34" s="182">
        <f t="shared" si="25"/>
        <v>164.29139999999998</v>
      </c>
      <c r="V34" s="97">
        <f t="shared" si="4"/>
        <v>0</v>
      </c>
      <c r="W34" s="135" t="str">
        <f t="shared" si="5"/>
        <v>3345/P1732</v>
      </c>
      <c r="X34" s="97">
        <f t="shared" si="6"/>
        <v>0</v>
      </c>
      <c r="AY34" s="121"/>
      <c r="AZ34" s="114"/>
      <c r="BE34" s="96"/>
      <c r="BF34" s="96"/>
      <c r="BI34" s="96"/>
      <c r="BJ34" s="96"/>
    </row>
    <row r="35" spans="1:62" x14ac:dyDescent="0.2">
      <c r="A35" s="37"/>
      <c r="B35" s="99"/>
      <c r="C35" s="115"/>
      <c r="D35" s="49"/>
      <c r="E35" s="49"/>
      <c r="F35" s="49"/>
      <c r="G35" s="49"/>
      <c r="H35" s="149"/>
      <c r="I35" s="149"/>
      <c r="J35" s="149"/>
      <c r="K35" s="49"/>
      <c r="L35" s="49"/>
      <c r="M35" s="49"/>
      <c r="N35" s="135"/>
      <c r="O35" s="185"/>
      <c r="P35" s="185"/>
      <c r="Q35" s="185"/>
      <c r="R35" s="185"/>
      <c r="S35" s="113"/>
      <c r="T35" s="114"/>
      <c r="U35" s="97"/>
      <c r="V35" s="97"/>
      <c r="W35" s="135"/>
      <c r="X35" s="97"/>
      <c r="AY35" s="121"/>
      <c r="AZ35" s="114"/>
      <c r="BE35" s="96"/>
      <c r="BF35" s="96"/>
      <c r="BI35" s="96"/>
      <c r="BJ35" s="96"/>
    </row>
    <row r="36" spans="1:62" x14ac:dyDescent="0.2">
      <c r="A36" s="37"/>
      <c r="B36" s="99"/>
      <c r="C36" s="115"/>
      <c r="D36" s="49"/>
      <c r="E36" s="49"/>
      <c r="F36" s="49"/>
      <c r="G36" s="49"/>
      <c r="H36" s="149"/>
      <c r="I36" s="149"/>
      <c r="J36" s="149"/>
      <c r="K36" s="49"/>
      <c r="L36" s="49"/>
      <c r="M36" s="49"/>
      <c r="N36" s="135"/>
      <c r="O36" s="185"/>
      <c r="P36" s="185"/>
      <c r="Q36" s="185"/>
      <c r="R36" s="185"/>
      <c r="S36" s="113"/>
      <c r="T36" s="114"/>
      <c r="U36" s="97"/>
      <c r="V36" s="97"/>
      <c r="W36" s="135"/>
      <c r="X36" s="97"/>
      <c r="AY36" s="121"/>
      <c r="AZ36" s="114"/>
      <c r="BE36" s="96"/>
      <c r="BF36" s="96"/>
      <c r="BI36" s="96"/>
      <c r="BJ36" s="96"/>
    </row>
    <row r="37" spans="1:62" x14ac:dyDescent="0.2">
      <c r="A37" s="191"/>
      <c r="B37" s="99"/>
      <c r="C37" s="115"/>
      <c r="D37" s="49"/>
      <c r="E37" s="49"/>
      <c r="F37" s="49"/>
      <c r="G37" s="49"/>
      <c r="H37" s="149"/>
      <c r="I37" s="149"/>
      <c r="J37" s="149"/>
      <c r="K37" s="49"/>
      <c r="L37" s="49"/>
      <c r="M37" s="49"/>
      <c r="N37" s="135"/>
      <c r="O37" s="120"/>
      <c r="P37" s="120"/>
      <c r="Q37" s="120"/>
      <c r="R37" s="185"/>
      <c r="S37" s="113"/>
      <c r="T37" s="114"/>
      <c r="U37" s="97"/>
      <c r="V37" s="97"/>
      <c r="W37" s="135"/>
      <c r="X37" s="97"/>
      <c r="AY37" s="121"/>
      <c r="AZ37" s="114"/>
      <c r="BE37" s="96"/>
      <c r="BF37" s="96"/>
      <c r="BI37" s="96"/>
      <c r="BJ37" s="96"/>
    </row>
    <row r="38" spans="1:62" x14ac:dyDescent="0.2">
      <c r="B38" s="99"/>
      <c r="C38" s="115"/>
      <c r="D38" s="49"/>
      <c r="E38" s="49"/>
      <c r="F38" s="49"/>
      <c r="G38" s="49"/>
      <c r="H38" s="149"/>
      <c r="I38" s="149"/>
      <c r="J38" s="149"/>
      <c r="K38" s="49"/>
      <c r="L38" s="49"/>
      <c r="M38" s="49"/>
      <c r="N38" s="135"/>
      <c r="O38" s="120"/>
      <c r="P38" s="120"/>
      <c r="Q38" s="120"/>
      <c r="R38" s="185"/>
      <c r="S38" s="113"/>
      <c r="T38" s="114"/>
      <c r="U38" s="97"/>
      <c r="V38" s="97"/>
      <c r="W38" s="135"/>
      <c r="X38" s="97"/>
      <c r="AY38" s="121"/>
      <c r="AZ38" s="114"/>
      <c r="BE38" s="96"/>
      <c r="BF38" s="96"/>
      <c r="BI38" s="96"/>
      <c r="BJ38" s="96"/>
    </row>
    <row r="39" spans="1:62" x14ac:dyDescent="0.2">
      <c r="B39" s="99"/>
      <c r="C39" s="115"/>
      <c r="D39" s="49"/>
      <c r="E39" s="49"/>
      <c r="F39" s="49"/>
      <c r="G39" s="49"/>
      <c r="H39" s="149"/>
      <c r="I39" s="149"/>
      <c r="J39" s="149"/>
      <c r="K39" s="49"/>
      <c r="L39" s="49"/>
      <c r="M39" s="49"/>
      <c r="N39" s="135"/>
      <c r="O39" s="120"/>
      <c r="P39" s="120"/>
      <c r="Q39" s="120"/>
      <c r="R39" s="185"/>
      <c r="S39" s="113"/>
      <c r="T39" s="114"/>
      <c r="U39" s="97"/>
      <c r="V39" s="97"/>
      <c r="W39" s="135"/>
      <c r="X39" s="97"/>
      <c r="AY39" s="121"/>
      <c r="AZ39" s="114"/>
      <c r="BE39" s="96"/>
      <c r="BF39" s="96"/>
      <c r="BI39" s="96"/>
      <c r="BJ39" s="96"/>
    </row>
    <row r="40" spans="1:62" x14ac:dyDescent="0.2">
      <c r="B40" s="99"/>
      <c r="C40" s="115"/>
      <c r="D40" s="49"/>
      <c r="E40" s="49"/>
      <c r="F40" s="49"/>
      <c r="G40" s="49"/>
      <c r="H40" s="149"/>
      <c r="I40" s="149"/>
      <c r="J40" s="149"/>
      <c r="K40" s="49"/>
      <c r="L40" s="49"/>
      <c r="M40" s="49"/>
      <c r="N40" s="135"/>
      <c r="O40" s="120"/>
      <c r="P40" s="120"/>
      <c r="Q40" s="120"/>
      <c r="R40" s="185"/>
      <c r="S40" s="113"/>
      <c r="T40" s="114"/>
      <c r="U40" s="97"/>
      <c r="V40" s="97"/>
      <c r="W40" s="135"/>
      <c r="X40" s="97"/>
      <c r="AY40" s="121"/>
      <c r="AZ40" s="114"/>
      <c r="BE40" s="96"/>
      <c r="BF40" s="96"/>
      <c r="BI40" s="96"/>
      <c r="BJ40" s="96"/>
    </row>
    <row r="41" spans="1:62" x14ac:dyDescent="0.2">
      <c r="B41" s="99"/>
      <c r="C41" s="115"/>
      <c r="D41" s="49"/>
      <c r="E41" s="49"/>
      <c r="F41" s="49"/>
      <c r="G41" s="49"/>
      <c r="H41" s="149"/>
      <c r="I41" s="149"/>
      <c r="J41" s="149"/>
      <c r="K41" s="49"/>
      <c r="L41" s="49"/>
      <c r="M41" s="49"/>
      <c r="N41" s="135"/>
      <c r="O41" s="120"/>
      <c r="P41" s="120"/>
      <c r="Q41" s="120"/>
      <c r="R41" s="185"/>
      <c r="S41" s="113"/>
      <c r="T41" s="114"/>
      <c r="U41" s="97"/>
      <c r="V41" s="97"/>
      <c r="W41" s="135"/>
      <c r="X41" s="97"/>
      <c r="AY41" s="121"/>
      <c r="AZ41" s="114"/>
      <c r="BE41" s="96"/>
      <c r="BF41" s="96"/>
      <c r="BI41" s="96"/>
      <c r="BJ41" s="96"/>
    </row>
    <row r="42" spans="1:62" x14ac:dyDescent="0.2">
      <c r="B42" s="99"/>
      <c r="C42" s="115"/>
      <c r="D42" s="49"/>
      <c r="E42" s="49"/>
      <c r="F42" s="49"/>
      <c r="G42" s="49"/>
      <c r="H42" s="149"/>
      <c r="I42" s="149"/>
      <c r="J42" s="149"/>
      <c r="K42" s="49"/>
      <c r="L42" s="49"/>
      <c r="M42" s="49"/>
      <c r="N42" s="135"/>
      <c r="O42" s="120"/>
      <c r="P42" s="120"/>
      <c r="Q42" s="120"/>
      <c r="R42" s="185"/>
      <c r="S42" s="113"/>
      <c r="T42" s="114"/>
      <c r="U42" s="97"/>
      <c r="V42" s="97"/>
      <c r="W42" s="135"/>
      <c r="X42" s="97"/>
      <c r="AY42" s="121"/>
      <c r="AZ42" s="114"/>
      <c r="BE42" s="96"/>
      <c r="BF42" s="96"/>
      <c r="BI42" s="96"/>
      <c r="BJ42" s="96"/>
    </row>
    <row r="43" spans="1:62" x14ac:dyDescent="0.2">
      <c r="B43" s="99"/>
      <c r="C43" s="115"/>
      <c r="D43" s="49"/>
      <c r="E43" s="49"/>
      <c r="F43" s="49"/>
      <c r="G43" s="49"/>
      <c r="H43" s="149"/>
      <c r="I43" s="149"/>
      <c r="J43" s="149"/>
      <c r="K43" s="49"/>
      <c r="L43" s="49"/>
      <c r="M43" s="49"/>
      <c r="N43" s="135"/>
      <c r="O43" s="120"/>
      <c r="P43" s="120"/>
      <c r="Q43" s="120"/>
      <c r="R43" s="185"/>
      <c r="S43" s="113"/>
      <c r="T43" s="114"/>
      <c r="U43" s="97"/>
      <c r="V43" s="97"/>
      <c r="W43" s="135"/>
      <c r="X43" s="97"/>
      <c r="AY43" s="121"/>
      <c r="AZ43" s="114"/>
      <c r="BE43" s="96"/>
      <c r="BF43" s="96"/>
      <c r="BI43" s="96"/>
      <c r="BJ43" s="96"/>
    </row>
    <row r="44" spans="1:62" x14ac:dyDescent="0.2">
      <c r="B44" s="99"/>
      <c r="C44" s="115"/>
      <c r="D44" s="49"/>
      <c r="E44" s="49"/>
      <c r="F44" s="49"/>
      <c r="G44" s="49"/>
      <c r="H44" s="149"/>
      <c r="I44" s="149"/>
      <c r="J44" s="149"/>
      <c r="K44" s="49"/>
      <c r="L44" s="49"/>
      <c r="M44" s="49"/>
      <c r="N44" s="135"/>
      <c r="O44" s="120"/>
      <c r="P44" s="120"/>
      <c r="Q44" s="120"/>
      <c r="R44" s="185"/>
      <c r="S44" s="113"/>
      <c r="T44" s="114"/>
      <c r="U44" s="97"/>
      <c r="V44" s="97"/>
      <c r="W44" s="135"/>
      <c r="X44" s="97"/>
      <c r="AY44" s="121"/>
      <c r="AZ44" s="114"/>
      <c r="BE44" s="96"/>
      <c r="BF44" s="96"/>
      <c r="BI44" s="96"/>
      <c r="BJ44" s="96"/>
    </row>
    <row r="45" spans="1:62" x14ac:dyDescent="0.2">
      <c r="B45" s="99"/>
      <c r="C45" s="115"/>
      <c r="D45" s="49"/>
      <c r="E45" s="49"/>
      <c r="F45" s="49"/>
      <c r="G45" s="49"/>
      <c r="H45" s="149"/>
      <c r="I45" s="149"/>
      <c r="J45" s="149"/>
      <c r="K45" s="49"/>
      <c r="L45" s="49"/>
      <c r="M45" s="49"/>
      <c r="N45" s="135"/>
      <c r="O45" s="120"/>
      <c r="P45" s="120"/>
      <c r="Q45" s="120"/>
      <c r="R45" s="185"/>
      <c r="S45" s="113"/>
      <c r="T45" s="114"/>
      <c r="U45" s="97"/>
      <c r="V45" s="97"/>
      <c r="W45" s="135"/>
      <c r="X45" s="97"/>
      <c r="AY45" s="121"/>
      <c r="AZ45" s="114"/>
      <c r="BE45" s="96"/>
      <c r="BF45" s="96"/>
      <c r="BI45" s="96"/>
      <c r="BJ45" s="96"/>
    </row>
    <row r="46" spans="1:62" x14ac:dyDescent="0.2">
      <c r="A46" s="120"/>
      <c r="B46" s="99"/>
      <c r="C46" s="115"/>
      <c r="D46" s="49"/>
      <c r="E46" s="49"/>
      <c r="F46" s="49"/>
      <c r="G46" s="49"/>
      <c r="H46" s="149"/>
      <c r="I46" s="149"/>
      <c r="J46" s="149"/>
      <c r="K46" s="49"/>
      <c r="L46" s="49"/>
      <c r="M46" s="49"/>
      <c r="N46" s="135"/>
      <c r="O46" s="120"/>
      <c r="P46" s="120"/>
      <c r="Q46" s="120"/>
      <c r="R46" s="112"/>
      <c r="S46" s="113"/>
      <c r="T46" s="114"/>
      <c r="U46" s="97"/>
      <c r="V46" s="97"/>
      <c r="W46" s="97"/>
      <c r="X46" s="97"/>
      <c r="AY46" s="121"/>
      <c r="AZ46" s="114"/>
      <c r="BE46" s="96"/>
      <c r="BF46" s="96"/>
      <c r="BI46" s="96"/>
      <c r="BJ46" s="96"/>
    </row>
    <row r="47" spans="1:62" x14ac:dyDescent="0.2">
      <c r="A47" s="120"/>
      <c r="B47" s="99"/>
      <c r="C47" s="115"/>
      <c r="D47" s="49"/>
      <c r="E47" s="49"/>
      <c r="F47" s="49"/>
      <c r="G47" s="49"/>
      <c r="H47" s="149"/>
      <c r="I47" s="149"/>
      <c r="J47" s="149"/>
      <c r="K47" s="49"/>
      <c r="L47" s="49"/>
      <c r="M47" s="49"/>
      <c r="N47" s="135"/>
      <c r="O47" s="120"/>
      <c r="P47" s="120"/>
      <c r="Q47" s="120"/>
      <c r="R47" s="112"/>
      <c r="S47" s="113"/>
      <c r="V47" s="97"/>
      <c r="W47" s="97"/>
      <c r="X47" s="97"/>
    </row>
    <row r="48" spans="1:62" x14ac:dyDescent="0.2">
      <c r="B48" s="99"/>
      <c r="C48" s="115"/>
      <c r="D48" s="49"/>
      <c r="E48" s="49"/>
      <c r="F48" s="49"/>
      <c r="G48" s="49"/>
      <c r="H48" s="149"/>
      <c r="I48" s="149"/>
      <c r="J48" s="149"/>
      <c r="K48" s="49"/>
      <c r="L48" s="49"/>
      <c r="N48" s="135"/>
      <c r="O48" s="120"/>
      <c r="P48" s="120"/>
      <c r="Q48" s="120"/>
      <c r="R48" s="112"/>
      <c r="S48" s="113"/>
      <c r="V48" s="97"/>
      <c r="W48" s="97"/>
      <c r="X48" s="97"/>
    </row>
    <row r="49" spans="1:24" x14ac:dyDescent="0.2">
      <c r="A49" s="120"/>
      <c r="B49" s="99"/>
      <c r="C49" s="137"/>
      <c r="D49" s="49"/>
      <c r="E49" s="49"/>
      <c r="F49" s="49"/>
      <c r="G49" s="49"/>
      <c r="H49" s="149"/>
      <c r="I49" s="149"/>
      <c r="J49" s="149"/>
      <c r="K49" s="49"/>
      <c r="L49" s="49"/>
      <c r="N49" s="135"/>
      <c r="O49" s="120"/>
      <c r="P49" s="120"/>
      <c r="Q49" s="120"/>
      <c r="R49" s="112"/>
      <c r="S49" s="113"/>
      <c r="V49" s="97"/>
      <c r="W49" s="97"/>
      <c r="X49" s="97"/>
    </row>
    <row r="50" spans="1:24" x14ac:dyDescent="0.2">
      <c r="B50" s="99"/>
      <c r="C50" s="137"/>
      <c r="D50" s="49"/>
      <c r="E50" s="49"/>
      <c r="F50" s="49"/>
      <c r="G50" s="49"/>
      <c r="H50" s="149"/>
      <c r="I50" s="149"/>
      <c r="J50" s="149"/>
      <c r="K50" s="49"/>
      <c r="L50" s="49"/>
      <c r="N50" s="135"/>
      <c r="O50" s="120"/>
      <c r="P50" s="120"/>
      <c r="Q50" s="120"/>
      <c r="R50" s="112"/>
      <c r="V50" s="97"/>
      <c r="W50" s="97"/>
      <c r="X50" s="97"/>
    </row>
    <row r="51" spans="1:24" x14ac:dyDescent="0.2">
      <c r="B51" s="99"/>
      <c r="C51" s="115"/>
      <c r="D51" s="49"/>
      <c r="E51" s="49"/>
      <c r="F51" s="49"/>
      <c r="G51" s="49"/>
      <c r="H51" s="149"/>
      <c r="I51" s="149"/>
      <c r="J51" s="149"/>
      <c r="K51" s="49"/>
      <c r="L51" s="49"/>
      <c r="N51" s="135"/>
      <c r="O51" s="120"/>
      <c r="P51" s="120"/>
      <c r="Q51" s="120"/>
      <c r="R51" s="112"/>
      <c r="V51" s="97"/>
      <c r="W51" s="97"/>
      <c r="X51" s="97"/>
    </row>
    <row r="52" spans="1:24" x14ac:dyDescent="0.2">
      <c r="A52" s="120"/>
      <c r="B52" s="99"/>
      <c r="C52" s="115"/>
      <c r="D52" s="49"/>
      <c r="E52" s="49"/>
      <c r="F52" s="49"/>
      <c r="G52" s="49"/>
      <c r="H52" s="149"/>
      <c r="I52" s="149"/>
      <c r="J52" s="149"/>
      <c r="K52" s="49"/>
      <c r="L52" s="49"/>
      <c r="N52" s="135"/>
      <c r="O52" s="120"/>
      <c r="P52" s="120"/>
      <c r="Q52" s="120"/>
      <c r="R52" s="112"/>
      <c r="V52" s="97"/>
      <c r="W52" s="97"/>
      <c r="X52" s="97"/>
    </row>
    <row r="53" spans="1:24" x14ac:dyDescent="0.2">
      <c r="B53" s="99"/>
      <c r="C53" s="115"/>
      <c r="D53" s="49"/>
      <c r="E53" s="49"/>
      <c r="F53" s="49"/>
      <c r="G53" s="49"/>
      <c r="H53" s="149"/>
      <c r="I53" s="149"/>
      <c r="J53" s="149"/>
      <c r="K53" s="49"/>
      <c r="L53" s="49"/>
      <c r="N53" s="135"/>
      <c r="O53" s="120"/>
      <c r="P53" s="120"/>
      <c r="Q53" s="120"/>
      <c r="R53" s="112"/>
      <c r="V53" s="97"/>
      <c r="X53" s="97"/>
    </row>
    <row r="54" spans="1:24" x14ac:dyDescent="0.2">
      <c r="B54" s="99"/>
      <c r="C54" s="115"/>
      <c r="D54" s="49"/>
      <c r="E54" s="49"/>
      <c r="F54" s="49"/>
      <c r="G54" s="49"/>
      <c r="H54" s="149"/>
      <c r="I54" s="149"/>
      <c r="J54" s="149"/>
      <c r="K54" s="49"/>
      <c r="L54" s="49"/>
      <c r="N54" s="135"/>
      <c r="O54" s="120"/>
      <c r="P54" s="120"/>
      <c r="Q54" s="120"/>
      <c r="R54" s="112"/>
    </row>
    <row r="55" spans="1:24" x14ac:dyDescent="0.2">
      <c r="C55" s="115"/>
      <c r="D55" s="49"/>
      <c r="E55" s="49"/>
      <c r="F55" s="49"/>
      <c r="G55" s="49"/>
      <c r="H55" s="149"/>
      <c r="I55" s="149"/>
      <c r="J55" s="149"/>
      <c r="K55" s="49"/>
      <c r="L55" s="49"/>
      <c r="M55" s="49"/>
      <c r="N55" s="113"/>
      <c r="O55" s="113"/>
      <c r="P55" s="113"/>
      <c r="Q55" s="113"/>
      <c r="R55" s="112"/>
      <c r="S55" s="113"/>
      <c r="T55" s="114"/>
      <c r="U55" s="97"/>
    </row>
    <row r="56" spans="1:24" x14ac:dyDescent="0.2">
      <c r="C56" s="115"/>
      <c r="D56" s="49"/>
      <c r="E56" s="49"/>
      <c r="F56" s="49"/>
      <c r="G56" s="49"/>
      <c r="H56" s="149"/>
      <c r="I56" s="149"/>
      <c r="J56" s="149"/>
      <c r="K56" s="49"/>
      <c r="L56" s="49"/>
      <c r="M56" s="49"/>
      <c r="N56" s="120"/>
      <c r="O56" s="120"/>
      <c r="P56" s="120"/>
      <c r="Q56" s="120"/>
      <c r="R56" s="112"/>
      <c r="S56" s="113"/>
      <c r="T56" s="114"/>
      <c r="U56" s="97"/>
    </row>
    <row r="57" spans="1:24" x14ac:dyDescent="0.2">
      <c r="C57" s="115"/>
      <c r="D57" s="49"/>
      <c r="E57" s="49"/>
      <c r="K57" s="49"/>
      <c r="L57" s="49"/>
      <c r="R57" s="112"/>
      <c r="S57" s="112"/>
      <c r="T57" s="114"/>
      <c r="U57" s="97"/>
    </row>
    <row r="58" spans="1:24" x14ac:dyDescent="0.2">
      <c r="C58" s="115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120"/>
      <c r="O58" s="120"/>
      <c r="P58" s="120"/>
      <c r="Q58" s="120"/>
      <c r="R58" s="113"/>
      <c r="S58" s="113"/>
      <c r="T58" s="114"/>
      <c r="U58" s="97"/>
    </row>
    <row r="59" spans="1:24" x14ac:dyDescent="0.2">
      <c r="C59" s="115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120"/>
      <c r="O59" s="120"/>
      <c r="P59" s="120"/>
      <c r="Q59" s="120"/>
      <c r="R59" s="113"/>
      <c r="S59" s="113"/>
      <c r="T59" s="114"/>
      <c r="U59" s="97"/>
    </row>
    <row r="60" spans="1:24" x14ac:dyDescent="0.2">
      <c r="C60" s="115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120"/>
      <c r="O60" s="120"/>
      <c r="P60" s="120"/>
      <c r="Q60" s="120"/>
      <c r="R60" s="113"/>
      <c r="S60" s="113"/>
      <c r="T60" s="114"/>
      <c r="U60" s="97"/>
    </row>
    <row r="61" spans="1:24" x14ac:dyDescent="0.2">
      <c r="C61" s="115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120"/>
      <c r="O61" s="120"/>
      <c r="P61" s="120"/>
      <c r="Q61" s="120"/>
      <c r="R61" s="112"/>
      <c r="S61" s="113"/>
      <c r="T61" s="114"/>
      <c r="U61" s="97"/>
    </row>
    <row r="62" spans="1:24" x14ac:dyDescent="0.2">
      <c r="C62" s="115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120"/>
      <c r="O62" s="120"/>
      <c r="P62" s="120"/>
      <c r="Q62" s="120"/>
      <c r="R62" s="112"/>
      <c r="S62" s="113"/>
      <c r="T62" s="114"/>
      <c r="U62" s="97"/>
    </row>
    <row r="63" spans="1:24" x14ac:dyDescent="0.2">
      <c r="C63" s="115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120"/>
      <c r="O63" s="120"/>
      <c r="P63" s="120"/>
      <c r="Q63" s="120"/>
      <c r="R63" s="112"/>
      <c r="S63" s="113"/>
      <c r="T63" s="114"/>
      <c r="U63" s="97"/>
    </row>
    <row r="64" spans="1:24" x14ac:dyDescent="0.2">
      <c r="N64" s="120"/>
      <c r="O64" s="120"/>
      <c r="P64" s="120"/>
      <c r="Q64" s="120"/>
      <c r="R64" s="50"/>
      <c r="S64" s="51"/>
      <c r="T64" s="96"/>
      <c r="U64" s="97"/>
    </row>
    <row r="65" spans="4:21" x14ac:dyDescent="0.2">
      <c r="R65" s="50"/>
      <c r="S65" s="51"/>
      <c r="T65" s="96"/>
      <c r="U65" s="97"/>
    </row>
    <row r="66" spans="4:21" x14ac:dyDescent="0.2">
      <c r="R66" s="113"/>
      <c r="S66" s="113"/>
      <c r="T66" s="96"/>
    </row>
    <row r="67" spans="4:21" x14ac:dyDescent="0.2">
      <c r="R67" s="113"/>
      <c r="S67" s="113"/>
    </row>
    <row r="68" spans="4:21" x14ac:dyDescent="0.2">
      <c r="D68" s="123"/>
      <c r="N68" s="120"/>
      <c r="O68" s="120"/>
      <c r="P68" s="120"/>
      <c r="Q68" s="120"/>
      <c r="R68" s="113"/>
      <c r="S68" s="113"/>
      <c r="T68" s="114"/>
    </row>
    <row r="69" spans="4:21" x14ac:dyDescent="0.2">
      <c r="F69" s="124"/>
      <c r="G69" s="124"/>
      <c r="H69" s="124"/>
      <c r="I69" s="124"/>
      <c r="J69" s="124"/>
      <c r="K69" s="124"/>
      <c r="L69" s="124"/>
      <c r="M69" s="124"/>
      <c r="R69" s="113"/>
      <c r="S69" s="113"/>
      <c r="T69" s="96"/>
    </row>
    <row r="70" spans="4:21" x14ac:dyDescent="0.2">
      <c r="F70" s="120"/>
      <c r="G70" s="120"/>
      <c r="H70" s="120"/>
      <c r="I70" s="120"/>
      <c r="J70" s="120"/>
      <c r="K70" s="120"/>
      <c r="L70" s="120"/>
      <c r="M70" s="120"/>
      <c r="R70" s="113"/>
      <c r="S70" s="113"/>
      <c r="T70" s="96"/>
    </row>
    <row r="71" spans="4:21" x14ac:dyDescent="0.2">
      <c r="F71" s="120"/>
      <c r="G71" s="120"/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13"/>
      <c r="S71" s="113"/>
      <c r="T71" s="114"/>
    </row>
    <row r="72" spans="4:21" x14ac:dyDescent="0.2">
      <c r="F72" s="120"/>
      <c r="G72" s="120"/>
      <c r="H72" s="120"/>
      <c r="I72" s="120"/>
      <c r="J72" s="120"/>
      <c r="K72" s="120"/>
      <c r="L72" s="120"/>
      <c r="M72" s="120"/>
      <c r="R72" s="122"/>
      <c r="S72" s="113"/>
      <c r="T72" s="96"/>
    </row>
    <row r="73" spans="4:21" x14ac:dyDescent="0.2"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2"/>
      <c r="S73" s="113"/>
      <c r="T73" s="114"/>
    </row>
    <row r="74" spans="4:21" x14ac:dyDescent="0.2">
      <c r="R74" s="122"/>
      <c r="S74" s="122"/>
      <c r="T74" s="114"/>
    </row>
    <row r="75" spans="4:21" x14ac:dyDescent="0.2">
      <c r="R75" s="122"/>
      <c r="S75" s="122"/>
      <c r="T75" s="114"/>
    </row>
    <row r="76" spans="4:21" x14ac:dyDescent="0.2">
      <c r="F76" s="120"/>
      <c r="G76" s="120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13"/>
      <c r="S76" s="113"/>
    </row>
    <row r="77" spans="4:21" x14ac:dyDescent="0.2">
      <c r="R77" s="122"/>
      <c r="S77" s="122"/>
      <c r="T77" s="114"/>
    </row>
    <row r="78" spans="4:21" x14ac:dyDescent="0.2">
      <c r="N78" s="120"/>
      <c r="O78" s="120"/>
      <c r="P78" s="120"/>
      <c r="Q78" s="120"/>
      <c r="R78" s="113"/>
    </row>
    <row r="79" spans="4:21" x14ac:dyDescent="0.2">
      <c r="R79" s="113"/>
      <c r="S79" s="113"/>
      <c r="T79" s="114"/>
    </row>
    <row r="80" spans="4:21" x14ac:dyDescent="0.2">
      <c r="F80" s="120"/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13"/>
      <c r="S80" s="113"/>
      <c r="T80" s="114"/>
    </row>
    <row r="81" spans="14:20" x14ac:dyDescent="0.2">
      <c r="R81" s="113"/>
      <c r="S81" s="113"/>
      <c r="T81" s="114"/>
    </row>
    <row r="82" spans="14:20" x14ac:dyDescent="0.2">
      <c r="N82" s="120"/>
      <c r="O82" s="120"/>
      <c r="P82" s="120"/>
      <c r="Q82" s="120"/>
      <c r="R82" s="113"/>
      <c r="S82" s="113"/>
      <c r="T82" s="114"/>
    </row>
    <row r="83" spans="14:20" x14ac:dyDescent="0.2">
      <c r="R83" s="122"/>
      <c r="S83" s="122"/>
      <c r="T83" s="114"/>
    </row>
    <row r="84" spans="14:20" x14ac:dyDescent="0.2">
      <c r="N84" s="120"/>
      <c r="O84" s="120"/>
      <c r="P84" s="120"/>
      <c r="Q84" s="120"/>
      <c r="R84" s="113"/>
    </row>
    <row r="88" spans="14:20" x14ac:dyDescent="0.2">
      <c r="N88" s="35"/>
      <c r="O88" s="35"/>
      <c r="P88" s="35"/>
      <c r="Q88" s="35"/>
      <c r="R88" s="27"/>
      <c r="S88" s="27"/>
      <c r="T88" s="27"/>
    </row>
    <row r="89" spans="14:20" x14ac:dyDescent="0.2">
      <c r="N89" s="35"/>
      <c r="O89" s="35"/>
      <c r="P89" s="35"/>
      <c r="Q89" s="35"/>
      <c r="R89" s="27"/>
      <c r="S89" s="27"/>
      <c r="T89" s="27"/>
    </row>
    <row r="90" spans="14:20" x14ac:dyDescent="0.2">
      <c r="N90" s="35"/>
      <c r="O90" s="35"/>
      <c r="P90" s="35"/>
      <c r="Q90" s="35"/>
      <c r="R90" s="125"/>
      <c r="S90" s="125"/>
      <c r="T90" s="125"/>
    </row>
    <row r="106" spans="1:6" x14ac:dyDescent="0.2">
      <c r="F106" s="41" t="s">
        <v>133</v>
      </c>
    </row>
    <row r="107" spans="1:6" x14ac:dyDescent="0.2">
      <c r="A107" s="41" t="s">
        <v>62</v>
      </c>
      <c r="B107" s="194">
        <v>41223</v>
      </c>
      <c r="C107" s="195">
        <v>0.5</v>
      </c>
      <c r="D107" s="49">
        <f>(B107+C107-(Inoculo_Fecha+Inoculo_Hora))*24</f>
        <v>-57550.5</v>
      </c>
      <c r="E107" s="49">
        <f>D107/24</f>
        <v>-2397.9375</v>
      </c>
    </row>
    <row r="108" spans="1:6" x14ac:dyDescent="0.2">
      <c r="A108" s="37" t="s">
        <v>123</v>
      </c>
      <c r="B108" s="194">
        <v>41237</v>
      </c>
      <c r="C108" s="195">
        <v>0.39583333333333331</v>
      </c>
      <c r="D108" s="49">
        <f>(B108+C108-(Inoculo_Fecha+Inoculo_Hora))*24</f>
        <v>-57216.999999999942</v>
      </c>
      <c r="E108" s="49">
        <f>D108/24</f>
        <v>-2384.0416666666642</v>
      </c>
      <c r="F108" s="41">
        <v>30</v>
      </c>
    </row>
    <row r="109" spans="1:6" x14ac:dyDescent="0.2">
      <c r="A109" s="37" t="s">
        <v>124</v>
      </c>
      <c r="B109" s="194">
        <v>41243</v>
      </c>
      <c r="C109" s="195">
        <v>0.39583333333333331</v>
      </c>
      <c r="D109" s="49">
        <f>(B109+C109-(Inoculo_Fecha+Inoculo_Hora))*24</f>
        <v>-57072.999999999942</v>
      </c>
      <c r="E109" s="49">
        <f>D109/24</f>
        <v>-2378.0416666666642</v>
      </c>
      <c r="F109" s="41">
        <v>60</v>
      </c>
    </row>
    <row r="110" spans="1:6" x14ac:dyDescent="0.2">
      <c r="A110" s="37" t="s">
        <v>125</v>
      </c>
      <c r="B110" s="194">
        <v>41249</v>
      </c>
      <c r="C110" s="195">
        <v>0.39583333333333298</v>
      </c>
      <c r="D110" s="49">
        <f>(B110+C110-(Inoculo_Fecha+Inoculo_Hora))*24</f>
        <v>-56928.999999999942</v>
      </c>
      <c r="E110" s="49">
        <f>D110/24</f>
        <v>-2372.0416666666642</v>
      </c>
      <c r="F110" s="41">
        <v>90</v>
      </c>
    </row>
    <row r="111" spans="1:6" x14ac:dyDescent="0.2">
      <c r="A111" s="37" t="s">
        <v>126</v>
      </c>
      <c r="B111" s="194">
        <v>41255</v>
      </c>
      <c r="C111" s="195">
        <v>0.39583333333333298</v>
      </c>
      <c r="D111" s="49">
        <f t="shared" ref="D111:D117" si="26">(B111+C111-(Inoculo_Fecha+Inoculo_Hora))*24</f>
        <v>-56784.999999999942</v>
      </c>
      <c r="E111" s="49">
        <f t="shared" ref="E111:E117" si="27">D111/24</f>
        <v>-2366.0416666666642</v>
      </c>
      <c r="F111" s="41">
        <v>120</v>
      </c>
    </row>
    <row r="112" spans="1:6" x14ac:dyDescent="0.2">
      <c r="A112" s="37" t="s">
        <v>127</v>
      </c>
      <c r="B112" s="194">
        <v>41261</v>
      </c>
      <c r="C112" s="195">
        <v>0.39583333333333298</v>
      </c>
      <c r="D112" s="49">
        <f t="shared" si="26"/>
        <v>-56640.999999999942</v>
      </c>
      <c r="E112" s="49">
        <f t="shared" si="27"/>
        <v>-2360.0416666666642</v>
      </c>
      <c r="F112" s="41">
        <v>150</v>
      </c>
    </row>
    <row r="113" spans="1:6" x14ac:dyDescent="0.2">
      <c r="A113" s="37" t="s">
        <v>128</v>
      </c>
      <c r="B113" s="194">
        <v>41267</v>
      </c>
      <c r="C113" s="195">
        <v>0.39583333333333298</v>
      </c>
      <c r="D113" s="49">
        <f t="shared" si="26"/>
        <v>-56496.999999999942</v>
      </c>
      <c r="E113" s="49">
        <f t="shared" si="27"/>
        <v>-2354.0416666666642</v>
      </c>
      <c r="F113" s="41">
        <v>180</v>
      </c>
    </row>
    <row r="114" spans="1:6" x14ac:dyDescent="0.2">
      <c r="A114" s="37" t="s">
        <v>129</v>
      </c>
      <c r="B114" s="194">
        <v>41273</v>
      </c>
      <c r="C114" s="195">
        <v>0.39583333333333298</v>
      </c>
      <c r="D114" s="49">
        <f t="shared" si="26"/>
        <v>-56352.999999999942</v>
      </c>
      <c r="E114" s="49">
        <f t="shared" si="27"/>
        <v>-2348.0416666666642</v>
      </c>
      <c r="F114" s="41">
        <v>210</v>
      </c>
    </row>
    <row r="115" spans="1:6" x14ac:dyDescent="0.2">
      <c r="A115" s="37" t="s">
        <v>130</v>
      </c>
      <c r="B115" s="194">
        <v>41279</v>
      </c>
      <c r="C115" s="195">
        <v>0.39583333333333298</v>
      </c>
      <c r="D115" s="49">
        <f t="shared" si="26"/>
        <v>-56208.999999999942</v>
      </c>
      <c r="E115" s="49">
        <f t="shared" si="27"/>
        <v>-2342.0416666666642</v>
      </c>
      <c r="F115" s="41">
        <v>240</v>
      </c>
    </row>
    <row r="116" spans="1:6" x14ac:dyDescent="0.2">
      <c r="A116" s="37" t="s">
        <v>131</v>
      </c>
      <c r="B116" s="194">
        <v>41285</v>
      </c>
      <c r="C116" s="195">
        <v>0.39583333333333298</v>
      </c>
      <c r="D116" s="49">
        <f t="shared" si="26"/>
        <v>-56064.999999999942</v>
      </c>
      <c r="E116" s="49">
        <f t="shared" si="27"/>
        <v>-2336.0416666666642</v>
      </c>
      <c r="F116" s="41">
        <v>270</v>
      </c>
    </row>
    <row r="117" spans="1:6" x14ac:dyDescent="0.2">
      <c r="A117" s="37" t="s">
        <v>132</v>
      </c>
      <c r="B117" s="194">
        <v>41291</v>
      </c>
      <c r="C117" s="195">
        <v>0.39583333333333298</v>
      </c>
      <c r="D117" s="49">
        <f t="shared" si="26"/>
        <v>-55920.999999999942</v>
      </c>
      <c r="E117" s="49">
        <f t="shared" si="27"/>
        <v>-2330.0416666666642</v>
      </c>
      <c r="F117" s="41">
        <v>300</v>
      </c>
    </row>
    <row r="118" spans="1:6" x14ac:dyDescent="0.2">
      <c r="A118" s="37"/>
      <c r="B118" s="194"/>
      <c r="C118" s="195"/>
      <c r="D118" s="49"/>
      <c r="E118" s="49"/>
    </row>
    <row r="119" spans="1:6" x14ac:dyDescent="0.2">
      <c r="A119" s="37"/>
      <c r="B119" s="194"/>
      <c r="C119" s="195"/>
      <c r="D119" s="49"/>
      <c r="E119" s="49"/>
    </row>
    <row r="120" spans="1:6" x14ac:dyDescent="0.2">
      <c r="A120" s="37"/>
      <c r="B120" s="194"/>
      <c r="C120" s="195"/>
      <c r="D120" s="49"/>
      <c r="E120" s="49"/>
    </row>
    <row r="121" spans="1:6" x14ac:dyDescent="0.2">
      <c r="A121" s="37"/>
      <c r="B121" s="194"/>
      <c r="C121" s="195"/>
      <c r="D121" s="49"/>
      <c r="E121" s="49"/>
    </row>
    <row r="122" spans="1:6" x14ac:dyDescent="0.2">
      <c r="A122" s="37"/>
      <c r="B122" s="194"/>
      <c r="C122" s="195"/>
      <c r="D122" s="49"/>
      <c r="E122" s="49"/>
    </row>
    <row r="123" spans="1:6" x14ac:dyDescent="0.2">
      <c r="A123" s="37"/>
      <c r="B123" s="194"/>
      <c r="C123" s="195"/>
      <c r="D123" s="49"/>
      <c r="E123" s="49"/>
    </row>
    <row r="124" spans="1:6" x14ac:dyDescent="0.2">
      <c r="A124" s="37"/>
      <c r="B124" s="194"/>
      <c r="C124" s="195"/>
      <c r="D124" s="49"/>
      <c r="E124" s="49"/>
    </row>
    <row r="125" spans="1:6" x14ac:dyDescent="0.2">
      <c r="A125" s="37"/>
      <c r="B125" s="194"/>
      <c r="C125" s="195"/>
      <c r="D125" s="49"/>
      <c r="E125" s="49"/>
    </row>
    <row r="126" spans="1:6" x14ac:dyDescent="0.2">
      <c r="A126" s="37"/>
      <c r="B126" s="194"/>
      <c r="C126" s="195"/>
      <c r="D126" s="49"/>
      <c r="E126" s="49"/>
    </row>
    <row r="127" spans="1:6" x14ac:dyDescent="0.2">
      <c r="A127" s="37"/>
      <c r="B127" s="194"/>
      <c r="C127" s="195"/>
      <c r="D127" s="49"/>
      <c r="E127" s="49"/>
    </row>
    <row r="128" spans="1:6" x14ac:dyDescent="0.2">
      <c r="A128" s="37"/>
      <c r="B128" s="194"/>
      <c r="C128" s="195"/>
      <c r="D128" s="49"/>
      <c r="E128" s="49"/>
    </row>
    <row r="129" spans="1:5" x14ac:dyDescent="0.2">
      <c r="A129" s="37"/>
      <c r="B129" s="194"/>
      <c r="C129" s="195"/>
      <c r="D129" s="49"/>
      <c r="E129" s="49"/>
    </row>
    <row r="130" spans="1:5" x14ac:dyDescent="0.2">
      <c r="A130" s="37"/>
      <c r="B130" s="194"/>
      <c r="C130" s="195"/>
      <c r="D130" s="49"/>
      <c r="E130" s="49"/>
    </row>
    <row r="131" spans="1:5" x14ac:dyDescent="0.2">
      <c r="A131" s="37"/>
      <c r="B131" s="194"/>
      <c r="C131" s="195"/>
      <c r="D131" s="49"/>
      <c r="E131" s="49"/>
    </row>
  </sheetData>
  <phoneticPr fontId="25" type="noConversion"/>
  <conditionalFormatting sqref="V3:V52">
    <cfRule type="colorScale" priority="2">
      <colorScale>
        <cfvo type="num" val="0"/>
        <cfvo type="num" val="10"/>
        <cfvo type="num" val="20"/>
        <color rgb="FFFF0000"/>
        <color rgb="FFFFFF00"/>
        <color rgb="FF0070C0"/>
      </colorScale>
    </cfRule>
  </conditionalFormatting>
  <conditionalFormatting sqref="X3:X52">
    <cfRule type="colorScale" priority="1">
      <colorScale>
        <cfvo type="num" val="0"/>
        <cfvo type="num" val="10"/>
        <cfvo type="num" val="20"/>
        <color rgb="FFFF0000"/>
        <color rgb="FFFFFF00"/>
        <color rgb="FF0070C0"/>
      </colorScale>
    </cfRule>
  </conditionalFormatting>
  <pageMargins left="0.75" right="0.75" top="1" bottom="1" header="0" footer="0"/>
  <headerFooter alignWithMargins="0"/>
  <ignoredErrors>
    <ignoredError sqref="J13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3"/>
  <dimension ref="A1:DZ260"/>
  <sheetViews>
    <sheetView topLeftCell="AB1" workbookViewId="0">
      <selection activeCell="BC13" sqref="BC13"/>
    </sheetView>
  </sheetViews>
  <sheetFormatPr baseColWidth="10" defaultColWidth="9.140625" defaultRowHeight="10.5" x14ac:dyDescent="0.15"/>
  <cols>
    <col min="1" max="1" width="9.140625" style="24" hidden="1" customWidth="1"/>
    <col min="2" max="2" width="12.7109375" style="7" customWidth="1"/>
    <col min="3" max="3" width="9.140625" style="7" customWidth="1"/>
    <col min="4" max="6" width="12.28515625" style="7" customWidth="1"/>
    <col min="7" max="7" width="11" style="7" bestFit="1" customWidth="1"/>
    <col min="8" max="8" width="9.85546875" style="7" customWidth="1"/>
    <col min="9" max="9" width="14.85546875" style="7" bestFit="1" customWidth="1"/>
    <col min="10" max="10" width="6.7109375" style="7" bestFit="1" customWidth="1"/>
    <col min="11" max="11" width="14.85546875" style="7" bestFit="1" customWidth="1"/>
    <col min="12" max="12" width="25.85546875" style="7" bestFit="1" customWidth="1"/>
    <col min="13" max="13" width="13" style="7" customWidth="1"/>
    <col min="14" max="14" width="12.140625" style="7" customWidth="1"/>
    <col min="15" max="15" width="12.5703125" style="7" bestFit="1" customWidth="1"/>
    <col min="16" max="16" width="9" style="7" bestFit="1" customWidth="1"/>
    <col min="17" max="17" width="12.5703125" style="7" bestFit="1" customWidth="1"/>
    <col min="18" max="19" width="14.85546875" style="7" customWidth="1"/>
    <col min="20" max="20" width="13.5703125" style="7" customWidth="1"/>
    <col min="21" max="24" width="14.85546875" style="7" customWidth="1"/>
    <col min="25" max="26" width="0" style="7" hidden="1" customWidth="1"/>
    <col min="27" max="27" width="9.140625" style="7" customWidth="1"/>
    <col min="28" max="28" width="12.28515625" style="7" bestFit="1" customWidth="1"/>
    <col min="29" max="29" width="5.28515625" style="7" hidden="1" customWidth="1"/>
    <col min="30" max="30" width="9.28515625" style="7" hidden="1" customWidth="1"/>
    <col min="31" max="31" width="11" style="7" bestFit="1" customWidth="1"/>
    <col min="32" max="32" width="9.7109375" style="7" bestFit="1" customWidth="1"/>
    <col min="33" max="34" width="0" style="7" hidden="1" customWidth="1"/>
    <col min="35" max="35" width="13.85546875" style="7" customWidth="1"/>
    <col min="36" max="36" width="14.42578125" style="7" bestFit="1" customWidth="1"/>
    <col min="37" max="37" width="5.28515625" style="7" hidden="1" customWidth="1"/>
    <col min="38" max="38" width="9.28515625" style="7" hidden="1" customWidth="1"/>
    <col min="39" max="40" width="9.140625" style="7" customWidth="1"/>
    <col min="41" max="41" width="5.28515625" style="7" hidden="1" customWidth="1"/>
    <col min="42" max="42" width="9.28515625" style="7" hidden="1" customWidth="1"/>
    <col min="43" max="44" width="9.140625" style="7" customWidth="1"/>
    <col min="45" max="45" width="5.28515625" style="7" hidden="1" customWidth="1"/>
    <col min="46" max="46" width="9.28515625" style="7" hidden="1" customWidth="1"/>
    <col min="47" max="48" width="9.140625" style="7" customWidth="1"/>
    <col min="49" max="49" width="5.28515625" style="7" hidden="1" customWidth="1"/>
    <col min="50" max="50" width="9.28515625" style="7" hidden="1" customWidth="1"/>
    <col min="51" max="51" width="11" style="7" bestFit="1" customWidth="1"/>
    <col min="52" max="52" width="9.140625" style="7" customWidth="1"/>
    <col min="53" max="53" width="5.28515625" style="7" hidden="1" customWidth="1"/>
    <col min="54" max="54" width="9.28515625" style="7" hidden="1" customWidth="1"/>
    <col min="55" max="56" width="9.140625" style="7" customWidth="1"/>
    <col min="57" max="58" width="0" style="7" hidden="1" customWidth="1"/>
    <col min="59" max="60" width="9.140625" style="7" customWidth="1"/>
    <col min="61" max="61" width="5.28515625" style="7" hidden="1" customWidth="1"/>
    <col min="62" max="62" width="9.28515625" style="7" hidden="1" customWidth="1"/>
    <col min="63" max="64" width="9.140625" style="7" customWidth="1"/>
    <col min="65" max="65" width="5.28515625" style="7" hidden="1" customWidth="1"/>
    <col min="66" max="66" width="9.28515625" style="7" hidden="1" customWidth="1"/>
    <col min="67" max="68" width="9.140625" style="7" customWidth="1"/>
    <col min="69" max="69" width="5.28515625" style="7" hidden="1" customWidth="1"/>
    <col min="70" max="70" width="9.28515625" style="7" hidden="1" customWidth="1"/>
    <col min="71" max="72" width="9.140625" style="7" customWidth="1"/>
    <col min="73" max="73" width="5.28515625" style="7" hidden="1" customWidth="1"/>
    <col min="74" max="74" width="9.28515625" style="7" hidden="1" customWidth="1"/>
    <col min="75" max="76" width="9.140625" style="7" customWidth="1"/>
    <col min="77" max="78" width="0" style="7" hidden="1" customWidth="1"/>
    <col min="79" max="80" width="9.140625" style="7" customWidth="1"/>
    <col min="81" max="81" width="5.28515625" style="7" hidden="1" customWidth="1"/>
    <col min="82" max="82" width="9.28515625" style="7" hidden="1" customWidth="1"/>
    <col min="83" max="84" width="9.140625" style="7" customWidth="1"/>
    <col min="85" max="85" width="5.28515625" style="7" hidden="1" customWidth="1"/>
    <col min="86" max="86" width="9.28515625" style="7" hidden="1" customWidth="1"/>
    <col min="87" max="88" width="9.140625" style="7" customWidth="1"/>
    <col min="89" max="89" width="5.28515625" style="7" hidden="1" customWidth="1"/>
    <col min="90" max="90" width="9.28515625" style="7" hidden="1" customWidth="1"/>
    <col min="91" max="92" width="9.140625" style="7" customWidth="1"/>
    <col min="93" max="93" width="5.28515625" style="7" hidden="1" customWidth="1"/>
    <col min="94" max="94" width="9.28515625" style="7" hidden="1" customWidth="1"/>
    <col min="95" max="96" width="9.140625" style="7" customWidth="1"/>
    <col min="97" max="98" width="0" style="7" hidden="1" customWidth="1"/>
    <col min="99" max="100" width="9.140625" style="7" customWidth="1"/>
    <col min="101" max="101" width="5.28515625" style="7" hidden="1" customWidth="1"/>
    <col min="102" max="102" width="9.28515625" style="7" hidden="1" customWidth="1"/>
    <col min="103" max="104" width="9.140625" style="7" customWidth="1"/>
    <col min="105" max="105" width="5.28515625" style="7" hidden="1" customWidth="1"/>
    <col min="106" max="106" width="9.28515625" style="7" hidden="1" customWidth="1"/>
    <col min="107" max="108" width="9.140625" style="7" customWidth="1"/>
    <col min="109" max="109" width="5.28515625" style="7" hidden="1" customWidth="1"/>
    <col min="110" max="110" width="9.28515625" style="7" hidden="1" customWidth="1"/>
    <col min="111" max="112" width="9.140625" style="7" customWidth="1"/>
    <col min="113" max="113" width="5.28515625" style="7" hidden="1" customWidth="1"/>
    <col min="114" max="114" width="9.28515625" style="7" hidden="1" customWidth="1"/>
    <col min="115" max="116" width="9.140625" style="7" customWidth="1"/>
    <col min="117" max="118" width="0" style="7" hidden="1" customWidth="1"/>
    <col min="119" max="120" width="9.140625" style="7" customWidth="1"/>
    <col min="121" max="121" width="5.28515625" style="7" hidden="1" customWidth="1"/>
    <col min="122" max="122" width="9.28515625" style="7" hidden="1" customWidth="1"/>
    <col min="123" max="124" width="9.140625" style="7" customWidth="1"/>
    <col min="125" max="125" width="5.28515625" style="7" hidden="1" customWidth="1"/>
    <col min="126" max="126" width="9.28515625" style="7" hidden="1" customWidth="1"/>
    <col min="127" max="128" width="9.140625" style="7" customWidth="1"/>
    <col min="129" max="129" width="5.28515625" style="7" hidden="1" customWidth="1"/>
    <col min="130" max="130" width="9.28515625" style="7" hidden="1" customWidth="1"/>
    <col min="131" max="16384" width="9.140625" style="7"/>
  </cols>
  <sheetData>
    <row r="1" spans="1:55" ht="20.25" thickBot="1" x14ac:dyDescent="0.4">
      <c r="A1" s="43" t="s">
        <v>0</v>
      </c>
      <c r="I1" s="44"/>
      <c r="J1" s="44"/>
      <c r="K1" s="44"/>
    </row>
    <row r="2" spans="1:55" ht="11.25" thickBot="1" x14ac:dyDescent="0.2">
      <c r="A2" s="19"/>
      <c r="B2" s="5"/>
      <c r="C2" s="5"/>
      <c r="D2" s="5"/>
      <c r="E2" s="5"/>
      <c r="I2" s="23"/>
      <c r="J2" s="23"/>
      <c r="K2" s="23"/>
    </row>
    <row r="3" spans="1:55" x14ac:dyDescent="0.15">
      <c r="A3" s="19"/>
      <c r="B3" s="5" t="s">
        <v>4</v>
      </c>
      <c r="C3" s="6" t="s">
        <v>5</v>
      </c>
      <c r="I3" s="23"/>
      <c r="J3" s="23"/>
      <c r="K3" s="23"/>
    </row>
    <row r="4" spans="1:55" ht="13.5" thickBot="1" x14ac:dyDescent="0.25">
      <c r="A4" s="20" t="s">
        <v>8</v>
      </c>
      <c r="B4" s="16">
        <f>Inoculo_Fecha</f>
        <v>43621</v>
      </c>
      <c r="C4" s="8">
        <f>Inoculo_Hora</f>
        <v>0.4375</v>
      </c>
      <c r="G4" s="30"/>
      <c r="H4" s="30"/>
      <c r="I4" s="23"/>
      <c r="J4" s="23"/>
      <c r="K4" s="23"/>
    </row>
    <row r="5" spans="1:55" ht="13.5" thickBot="1" x14ac:dyDescent="0.25">
      <c r="A5" s="20"/>
      <c r="B5" s="9"/>
      <c r="C5" s="10"/>
      <c r="D5" s="11"/>
      <c r="G5" s="45" t="s">
        <v>54</v>
      </c>
      <c r="H5" s="45" t="s">
        <v>54</v>
      </c>
      <c r="I5" s="23"/>
      <c r="J5" s="23"/>
      <c r="K5" s="23"/>
    </row>
    <row r="6" spans="1:55" ht="13.5" thickBot="1" x14ac:dyDescent="0.25">
      <c r="A6" s="21" t="s">
        <v>12</v>
      </c>
      <c r="B6" s="13" t="s">
        <v>4</v>
      </c>
      <c r="C6" s="14" t="s">
        <v>5</v>
      </c>
      <c r="D6" s="12" t="s">
        <v>2</v>
      </c>
      <c r="E6" s="12" t="s">
        <v>2</v>
      </c>
      <c r="F6" s="15" t="s">
        <v>18</v>
      </c>
      <c r="G6" s="46" t="s">
        <v>52</v>
      </c>
      <c r="H6" s="46" t="s">
        <v>52</v>
      </c>
      <c r="I6" s="47" t="s">
        <v>100</v>
      </c>
      <c r="J6" s="47"/>
      <c r="K6" s="47" t="s">
        <v>100</v>
      </c>
      <c r="L6" s="31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AE6" s="39" t="s">
        <v>2</v>
      </c>
      <c r="AF6" s="40" t="s">
        <v>23</v>
      </c>
      <c r="AI6" s="40" t="s">
        <v>23</v>
      </c>
      <c r="AJ6" s="40" t="s">
        <v>23</v>
      </c>
    </row>
    <row r="7" spans="1:55" ht="33" thickBot="1" x14ac:dyDescent="0.25">
      <c r="A7" s="22" t="s">
        <v>14</v>
      </c>
      <c r="B7" s="2" t="s">
        <v>15</v>
      </c>
      <c r="C7" s="3" t="s">
        <v>16</v>
      </c>
      <c r="D7" s="33" t="s">
        <v>17</v>
      </c>
      <c r="E7" s="1" t="s">
        <v>22</v>
      </c>
      <c r="F7" s="4" t="s">
        <v>22</v>
      </c>
      <c r="G7" s="46" t="s">
        <v>53</v>
      </c>
      <c r="H7" s="46" t="s">
        <v>55</v>
      </c>
      <c r="I7" s="138" t="s">
        <v>56</v>
      </c>
      <c r="J7" s="138" t="s">
        <v>104</v>
      </c>
      <c r="K7" s="138" t="s">
        <v>101</v>
      </c>
      <c r="L7" s="138" t="s">
        <v>104</v>
      </c>
      <c r="M7" s="151" t="s">
        <v>75</v>
      </c>
      <c r="N7" s="151" t="s">
        <v>76</v>
      </c>
      <c r="O7" s="151" t="s">
        <v>73</v>
      </c>
      <c r="P7" s="12" t="s">
        <v>74</v>
      </c>
      <c r="Q7" s="151" t="s">
        <v>77</v>
      </c>
      <c r="R7" s="151" t="s">
        <v>78</v>
      </c>
      <c r="S7" s="151" t="s">
        <v>79</v>
      </c>
      <c r="T7" s="151" t="s">
        <v>93</v>
      </c>
      <c r="U7" s="151" t="s">
        <v>80</v>
      </c>
      <c r="V7" s="151" t="s">
        <v>81</v>
      </c>
      <c r="W7" s="151" t="s">
        <v>82</v>
      </c>
      <c r="X7" s="12" t="s">
        <v>83</v>
      </c>
      <c r="AE7" s="1" t="s">
        <v>22</v>
      </c>
      <c r="AF7" s="32" t="s">
        <v>105</v>
      </c>
      <c r="AI7" s="32" t="s">
        <v>56</v>
      </c>
      <c r="AJ7" s="32" t="s">
        <v>57</v>
      </c>
      <c r="AU7" s="374" t="s">
        <v>233</v>
      </c>
      <c r="AV7" s="374"/>
      <c r="AY7" s="374" t="s">
        <v>234</v>
      </c>
      <c r="AZ7" s="374"/>
      <c r="BC7" s="7" t="s">
        <v>59</v>
      </c>
    </row>
    <row r="8" spans="1:55" ht="12.75" x14ac:dyDescent="0.2">
      <c r="A8" s="26" t="e">
        <f>ferment.!#REF!</f>
        <v>#REF!</v>
      </c>
      <c r="B8" s="101">
        <f>Inoculo_Fecha</f>
        <v>43621</v>
      </c>
      <c r="C8" s="102"/>
      <c r="D8" s="103"/>
      <c r="E8" s="104"/>
      <c r="F8" s="103"/>
      <c r="G8" s="105"/>
      <c r="H8" s="136"/>
      <c r="I8" s="106"/>
      <c r="J8" s="164"/>
      <c r="K8" s="164"/>
      <c r="L8" s="107"/>
      <c r="M8" s="108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AB8" s="38">
        <f>AE8*24</f>
        <v>47.499999999941792</v>
      </c>
      <c r="AE8" s="38">
        <f>E9</f>
        <v>1.9791666666642413</v>
      </c>
      <c r="AF8" s="38">
        <f>P9</f>
        <v>0</v>
      </c>
      <c r="AI8" s="38">
        <f>T9</f>
        <v>0</v>
      </c>
      <c r="AJ8" s="25">
        <f>X9</f>
        <v>0</v>
      </c>
      <c r="AU8" s="374" t="s">
        <v>235</v>
      </c>
      <c r="AV8" s="374"/>
      <c r="AY8" s="54">
        <v>43620</v>
      </c>
      <c r="BC8" s="7" t="s">
        <v>236</v>
      </c>
    </row>
    <row r="9" spans="1:55" ht="12.75" x14ac:dyDescent="0.2">
      <c r="A9" s="26">
        <f>ferment.!A8</f>
        <v>1</v>
      </c>
      <c r="B9" s="82">
        <v>43623</v>
      </c>
      <c r="C9" s="81">
        <v>0.41666666666666669</v>
      </c>
      <c r="D9" s="83">
        <f>(B9+C9-(Inoculo_Fecha+Inoculo_Hora))*24</f>
        <v>47.499999999941792</v>
      </c>
      <c r="E9" s="27">
        <f>D9/24</f>
        <v>1.9791666666642413</v>
      </c>
      <c r="F9" s="83">
        <f t="shared" ref="F9:F15" si="0">E9-E8</f>
        <v>1.9791666666642413</v>
      </c>
      <c r="G9" s="42">
        <v>0</v>
      </c>
      <c r="H9" s="42">
        <v>0</v>
      </c>
      <c r="I9" s="42">
        <v>0</v>
      </c>
      <c r="J9" s="94"/>
      <c r="K9" s="42">
        <v>0</v>
      </c>
      <c r="L9" s="38"/>
      <c r="M9" s="85">
        <f>G9+H9+I8+K8-G8-H8</f>
        <v>0</v>
      </c>
      <c r="N9" s="36">
        <f>M9+N8</f>
        <v>0</v>
      </c>
      <c r="O9" s="36">
        <f>M9/F9</f>
        <v>0</v>
      </c>
      <c r="P9" s="27">
        <f>O9/30</f>
        <v>0</v>
      </c>
      <c r="Q9" s="36">
        <f>G9+I8-G8</f>
        <v>0</v>
      </c>
      <c r="R9" s="36">
        <f>Q9+R8</f>
        <v>0</v>
      </c>
      <c r="S9" s="36">
        <f>Q9/F9</f>
        <v>0</v>
      </c>
      <c r="T9" s="27">
        <f>S9/30</f>
        <v>0</v>
      </c>
      <c r="U9" s="36">
        <f>H9+K8-H8</f>
        <v>0</v>
      </c>
      <c r="V9" s="36">
        <f>U9+V8</f>
        <v>0</v>
      </c>
      <c r="W9" s="36">
        <f>U9/F9</f>
        <v>0</v>
      </c>
      <c r="X9" s="27">
        <f>W9/2</f>
        <v>0</v>
      </c>
      <c r="AB9" s="38">
        <f t="shared" ref="AB9:AB72" si="1">AE9*24</f>
        <v>47.499999999941792</v>
      </c>
      <c r="AE9" s="38">
        <f>E9</f>
        <v>1.9791666666642413</v>
      </c>
      <c r="AF9" s="38">
        <f>P10</f>
        <v>0.29117647058798607</v>
      </c>
      <c r="AI9" s="25">
        <f>T10</f>
        <v>0.29117647058798607</v>
      </c>
      <c r="AJ9" s="25">
        <f>X10</f>
        <v>0</v>
      </c>
      <c r="AU9" s="374" t="s">
        <v>237</v>
      </c>
      <c r="AV9" s="374"/>
      <c r="AY9" s="54">
        <v>43634</v>
      </c>
      <c r="BC9" s="7" t="s">
        <v>236</v>
      </c>
    </row>
    <row r="10" spans="1:55" ht="12.75" x14ac:dyDescent="0.2">
      <c r="A10" s="26">
        <f>ferment.!A9</f>
        <v>2</v>
      </c>
      <c r="B10" s="82">
        <v>43624</v>
      </c>
      <c r="C10" s="81">
        <v>0.3611111111111111</v>
      </c>
      <c r="D10" s="83">
        <f t="shared" ref="D10:D15" si="2">(B10+C10-(Inoculo_Fecha+Inoculo_Hora))*24</f>
        <v>70.166666666627862</v>
      </c>
      <c r="E10" s="27">
        <f t="shared" ref="E10:E21" si="3">D10/24</f>
        <v>2.9236111111094942</v>
      </c>
      <c r="F10" s="83">
        <f t="shared" si="0"/>
        <v>0.94444444444525288</v>
      </c>
      <c r="G10" s="42">
        <v>0.55000000000000004</v>
      </c>
      <c r="H10" s="42">
        <v>0</v>
      </c>
      <c r="I10" s="42">
        <v>0</v>
      </c>
      <c r="J10" s="94"/>
      <c r="K10" s="42">
        <v>0</v>
      </c>
      <c r="L10" s="38"/>
      <c r="M10" s="85">
        <f t="shared" ref="M10:M21" si="4">G10+H10+I9+K9-G9-H9</f>
        <v>0.55000000000000004</v>
      </c>
      <c r="N10" s="36">
        <f t="shared" ref="N10:N21" si="5">M10+N9</f>
        <v>0.55000000000000004</v>
      </c>
      <c r="O10" s="36">
        <f t="shared" ref="O10:O22" si="6">M10/F10</f>
        <v>0.58235294117597214</v>
      </c>
      <c r="P10" s="27">
        <f>O10/2</f>
        <v>0.29117647058798607</v>
      </c>
      <c r="Q10" s="36">
        <f t="shared" ref="Q10:Q21" si="7">G10+I9-G9</f>
        <v>0.55000000000000004</v>
      </c>
      <c r="R10" s="36">
        <f t="shared" ref="R10:R21" si="8">Q10+R9</f>
        <v>0.55000000000000004</v>
      </c>
      <c r="S10" s="36">
        <f t="shared" ref="S10:S21" si="9">Q10/F10</f>
        <v>0.58235294117597214</v>
      </c>
      <c r="T10" s="27">
        <f>S10/2</f>
        <v>0.29117647058798607</v>
      </c>
      <c r="U10" s="36">
        <f t="shared" ref="U10:U21" si="10">H10+K9-H9</f>
        <v>0</v>
      </c>
      <c r="V10" s="36">
        <f t="shared" ref="V10:V21" si="11">U10+V9</f>
        <v>0</v>
      </c>
      <c r="W10" s="36">
        <f t="shared" ref="W10:W21" si="12">U10/F10</f>
        <v>0</v>
      </c>
      <c r="X10" s="27">
        <f t="shared" ref="X10:X62" si="13">W10/2</f>
        <v>0</v>
      </c>
      <c r="AB10" s="38">
        <f t="shared" si="1"/>
        <v>70.166666666627862</v>
      </c>
      <c r="AE10" s="38">
        <f>E10</f>
        <v>2.9236111111094942</v>
      </c>
      <c r="AF10" s="38">
        <f>P10</f>
        <v>0.29117647058798607</v>
      </c>
      <c r="AI10" s="25">
        <f>T10</f>
        <v>0.29117647058798607</v>
      </c>
      <c r="AJ10" s="25">
        <f>X10</f>
        <v>0</v>
      </c>
      <c r="AU10" s="374" t="s">
        <v>238</v>
      </c>
      <c r="AV10" s="374"/>
      <c r="AY10" s="54">
        <v>43627</v>
      </c>
      <c r="BC10" s="7" t="s">
        <v>236</v>
      </c>
    </row>
    <row r="11" spans="1:55" ht="12.75" x14ac:dyDescent="0.2">
      <c r="A11" s="26">
        <f>ferment.!A10</f>
        <v>3</v>
      </c>
      <c r="B11" s="82">
        <v>43633</v>
      </c>
      <c r="C11" s="81">
        <v>0.66666666666666663</v>
      </c>
      <c r="D11" s="83">
        <f t="shared" si="2"/>
        <v>293.49999999994179</v>
      </c>
      <c r="E11" s="27">
        <f t="shared" si="3"/>
        <v>12.229166666664241</v>
      </c>
      <c r="F11" s="83">
        <f t="shared" si="0"/>
        <v>9.3055555555547471</v>
      </c>
      <c r="G11" s="42">
        <v>9</v>
      </c>
      <c r="H11" s="42">
        <v>0</v>
      </c>
      <c r="I11" s="42">
        <v>0</v>
      </c>
      <c r="J11" s="94"/>
      <c r="K11" s="42">
        <v>0</v>
      </c>
      <c r="M11" s="85">
        <f t="shared" si="4"/>
        <v>8.4499999999999993</v>
      </c>
      <c r="N11" s="36">
        <f t="shared" si="5"/>
        <v>9</v>
      </c>
      <c r="O11" s="36">
        <f t="shared" si="6"/>
        <v>0.90805970149261617</v>
      </c>
      <c r="P11" s="27">
        <f t="shared" ref="P11:P62" si="14">O11/2</f>
        <v>0.45402985074630808</v>
      </c>
      <c r="Q11" s="36">
        <f t="shared" si="7"/>
        <v>8.4499999999999993</v>
      </c>
      <c r="R11" s="36">
        <f t="shared" si="8"/>
        <v>9</v>
      </c>
      <c r="S11" s="36">
        <f t="shared" si="9"/>
        <v>0.90805970149261617</v>
      </c>
      <c r="T11" s="27">
        <f t="shared" ref="T11:T62" si="15">S11/2</f>
        <v>0.45402985074630808</v>
      </c>
      <c r="U11" s="36">
        <f t="shared" si="10"/>
        <v>0</v>
      </c>
      <c r="V11" s="36">
        <f t="shared" si="11"/>
        <v>0</v>
      </c>
      <c r="W11" s="36">
        <f t="shared" si="12"/>
        <v>0</v>
      </c>
      <c r="X11" s="27">
        <f t="shared" si="13"/>
        <v>0</v>
      </c>
      <c r="AB11" s="38">
        <f t="shared" si="1"/>
        <v>70.166666666627862</v>
      </c>
      <c r="AE11" s="38">
        <f>E10</f>
        <v>2.9236111111094942</v>
      </c>
      <c r="AF11" s="38">
        <f>P11</f>
        <v>0.45402985074630808</v>
      </c>
      <c r="AI11" s="25">
        <f>T11</f>
        <v>0.45402985074630808</v>
      </c>
      <c r="AJ11" s="25">
        <f>X11</f>
        <v>0</v>
      </c>
      <c r="AU11" s="374" t="s">
        <v>239</v>
      </c>
      <c r="AV11" s="374"/>
      <c r="AY11" s="54">
        <v>43648</v>
      </c>
      <c r="BC11" s="7" t="s">
        <v>240</v>
      </c>
    </row>
    <row r="12" spans="1:55" ht="12.75" x14ac:dyDescent="0.2">
      <c r="A12" s="26">
        <f>ferment.!A11</f>
        <v>4</v>
      </c>
      <c r="B12" s="82">
        <v>43634</v>
      </c>
      <c r="C12" s="81">
        <v>0.91666666666666663</v>
      </c>
      <c r="D12" s="83">
        <f>(B12+C12-(Inoculo_Fecha+Inoculo_Hora))*24</f>
        <v>323.49999999994179</v>
      </c>
      <c r="E12" s="27">
        <f t="shared" si="3"/>
        <v>13.479166666664241</v>
      </c>
      <c r="F12" s="83">
        <f t="shared" si="0"/>
        <v>1.25</v>
      </c>
      <c r="G12" s="42">
        <v>10</v>
      </c>
      <c r="H12" s="42">
        <v>0</v>
      </c>
      <c r="I12" s="42">
        <v>0</v>
      </c>
      <c r="J12" s="94"/>
      <c r="K12" s="42">
        <v>0</v>
      </c>
      <c r="L12" s="38" t="s">
        <v>231</v>
      </c>
      <c r="M12" s="85">
        <f t="shared" si="4"/>
        <v>1</v>
      </c>
      <c r="N12" s="36">
        <f t="shared" si="5"/>
        <v>10</v>
      </c>
      <c r="O12" s="36">
        <f t="shared" si="6"/>
        <v>0.8</v>
      </c>
      <c r="P12" s="27">
        <f t="shared" si="14"/>
        <v>0.4</v>
      </c>
      <c r="Q12" s="36">
        <f t="shared" si="7"/>
        <v>1</v>
      </c>
      <c r="R12" s="36">
        <f t="shared" si="8"/>
        <v>10</v>
      </c>
      <c r="S12" s="36">
        <f t="shared" si="9"/>
        <v>0.8</v>
      </c>
      <c r="T12" s="27">
        <f t="shared" si="15"/>
        <v>0.4</v>
      </c>
      <c r="U12" s="36">
        <f t="shared" si="10"/>
        <v>0</v>
      </c>
      <c r="V12" s="36">
        <f t="shared" si="11"/>
        <v>0</v>
      </c>
      <c r="W12" s="36">
        <f t="shared" si="12"/>
        <v>0</v>
      </c>
      <c r="X12" s="27">
        <f t="shared" si="13"/>
        <v>0</v>
      </c>
      <c r="AB12" s="38">
        <f t="shared" si="1"/>
        <v>293.49999999994179</v>
      </c>
      <c r="AE12" s="38">
        <f>E11</f>
        <v>12.229166666664241</v>
      </c>
      <c r="AF12" s="38">
        <f>P11</f>
        <v>0.45402985074630808</v>
      </c>
      <c r="AI12" s="25">
        <f>T11</f>
        <v>0.45402985074630808</v>
      </c>
      <c r="AJ12" s="25">
        <f>X11</f>
        <v>0</v>
      </c>
      <c r="AU12" s="374" t="s">
        <v>241</v>
      </c>
      <c r="AV12" s="374"/>
      <c r="AY12" s="54">
        <v>43678</v>
      </c>
      <c r="BC12" s="7" t="s">
        <v>240</v>
      </c>
    </row>
    <row r="13" spans="1:55" ht="12.75" x14ac:dyDescent="0.2">
      <c r="A13" s="126">
        <f>ferment.!A12</f>
        <v>5</v>
      </c>
      <c r="B13" s="82">
        <v>43647</v>
      </c>
      <c r="C13" s="81">
        <v>0.33333333333333331</v>
      </c>
      <c r="D13" s="83">
        <f t="shared" si="2"/>
        <v>621.50000000005821</v>
      </c>
      <c r="E13" s="27">
        <f t="shared" si="3"/>
        <v>25.895833333335759</v>
      </c>
      <c r="F13" s="83">
        <f t="shared" si="0"/>
        <v>12.416666666671517</v>
      </c>
      <c r="G13" s="42">
        <v>20</v>
      </c>
      <c r="H13" s="42">
        <v>0</v>
      </c>
      <c r="I13" s="42">
        <v>0</v>
      </c>
      <c r="J13" s="94"/>
      <c r="K13" s="42">
        <v>0</v>
      </c>
      <c r="L13" s="38" t="s">
        <v>231</v>
      </c>
      <c r="M13" s="85">
        <f t="shared" si="4"/>
        <v>10</v>
      </c>
      <c r="N13" s="36">
        <f t="shared" si="5"/>
        <v>20</v>
      </c>
      <c r="O13" s="36">
        <f t="shared" si="6"/>
        <v>0.80536912751646395</v>
      </c>
      <c r="P13" s="27">
        <f t="shared" si="14"/>
        <v>0.40268456375823197</v>
      </c>
      <c r="Q13" s="36">
        <f t="shared" si="7"/>
        <v>10</v>
      </c>
      <c r="R13" s="36">
        <f t="shared" si="8"/>
        <v>20</v>
      </c>
      <c r="S13" s="36">
        <f t="shared" si="9"/>
        <v>0.80536912751646395</v>
      </c>
      <c r="T13" s="27">
        <f t="shared" si="15"/>
        <v>0.40268456375823197</v>
      </c>
      <c r="U13" s="36">
        <f t="shared" si="10"/>
        <v>0</v>
      </c>
      <c r="V13" s="36">
        <f t="shared" si="11"/>
        <v>0</v>
      </c>
      <c r="W13" s="36">
        <f t="shared" si="12"/>
        <v>0</v>
      </c>
      <c r="X13" s="27">
        <f t="shared" si="13"/>
        <v>0</v>
      </c>
      <c r="AB13" s="38">
        <f t="shared" si="1"/>
        <v>293.49999999994179</v>
      </c>
      <c r="AE13" s="38">
        <f>E11</f>
        <v>12.229166666664241</v>
      </c>
      <c r="AF13" s="38">
        <f>P12</f>
        <v>0.4</v>
      </c>
      <c r="AI13" s="25">
        <f>T12</f>
        <v>0.4</v>
      </c>
      <c r="AJ13" s="25">
        <f>X12</f>
        <v>0</v>
      </c>
      <c r="AU13" s="374" t="s">
        <v>242</v>
      </c>
      <c r="AV13" s="374"/>
      <c r="AY13" s="54">
        <v>43699</v>
      </c>
      <c r="BC13" s="7" t="s">
        <v>240</v>
      </c>
    </row>
    <row r="14" spans="1:55" ht="12.75" x14ac:dyDescent="0.2">
      <c r="A14" s="127" t="e">
        <f>ferment.!#REF!</f>
        <v>#REF!</v>
      </c>
      <c r="B14" s="82">
        <v>43651</v>
      </c>
      <c r="C14" s="81">
        <v>0.45833333333333331</v>
      </c>
      <c r="D14" s="83">
        <f t="shared" si="2"/>
        <v>720.50000000005821</v>
      </c>
      <c r="E14" s="27">
        <f t="shared" si="3"/>
        <v>30.020833333335759</v>
      </c>
      <c r="F14" s="83">
        <f t="shared" si="0"/>
        <v>4.125</v>
      </c>
      <c r="G14" s="42">
        <v>23.3</v>
      </c>
      <c r="H14" s="42">
        <v>0</v>
      </c>
      <c r="I14" s="42">
        <v>0</v>
      </c>
      <c r="J14" s="94"/>
      <c r="K14" s="42">
        <v>0</v>
      </c>
      <c r="L14" s="94"/>
      <c r="M14" s="85">
        <f t="shared" si="4"/>
        <v>3.3000000000000007</v>
      </c>
      <c r="N14" s="36">
        <f t="shared" si="5"/>
        <v>23.3</v>
      </c>
      <c r="O14" s="36">
        <f t="shared" si="6"/>
        <v>0.80000000000000016</v>
      </c>
      <c r="P14" s="27">
        <f t="shared" si="14"/>
        <v>0.40000000000000008</v>
      </c>
      <c r="Q14" s="36">
        <f t="shared" si="7"/>
        <v>3.3000000000000007</v>
      </c>
      <c r="R14" s="36">
        <f t="shared" si="8"/>
        <v>23.3</v>
      </c>
      <c r="S14" s="36">
        <f t="shared" si="9"/>
        <v>0.80000000000000016</v>
      </c>
      <c r="T14" s="27">
        <f t="shared" si="15"/>
        <v>0.40000000000000008</v>
      </c>
      <c r="U14" s="36">
        <f t="shared" si="10"/>
        <v>0</v>
      </c>
      <c r="V14" s="36">
        <f t="shared" si="11"/>
        <v>0</v>
      </c>
      <c r="W14" s="36">
        <f t="shared" si="12"/>
        <v>0</v>
      </c>
      <c r="X14" s="27">
        <f t="shared" si="13"/>
        <v>0</v>
      </c>
      <c r="AB14" s="38">
        <f t="shared" si="1"/>
        <v>323.49999999994179</v>
      </c>
      <c r="AE14" s="38">
        <f>E12</f>
        <v>13.479166666664241</v>
      </c>
      <c r="AF14" s="38">
        <f>P12</f>
        <v>0.4</v>
      </c>
      <c r="AI14" s="25">
        <f>T12</f>
        <v>0.4</v>
      </c>
      <c r="AJ14" s="25">
        <f>X12</f>
        <v>0</v>
      </c>
    </row>
    <row r="15" spans="1:55" ht="12.75" x14ac:dyDescent="0.2">
      <c r="A15" s="26" t="e">
        <f>ferment.!#REF!</f>
        <v>#REF!</v>
      </c>
      <c r="B15" s="82">
        <v>43661</v>
      </c>
      <c r="C15" s="81">
        <v>8.3333333333333329E-2</v>
      </c>
      <c r="D15" s="83">
        <f t="shared" si="2"/>
        <v>951.50000000005821</v>
      </c>
      <c r="E15" s="27">
        <f t="shared" si="3"/>
        <v>39.645833333335759</v>
      </c>
      <c r="F15" s="83">
        <f t="shared" si="0"/>
        <v>9.625</v>
      </c>
      <c r="G15" s="42">
        <v>30</v>
      </c>
      <c r="H15" s="42">
        <v>0</v>
      </c>
      <c r="I15" s="42">
        <v>0</v>
      </c>
      <c r="J15" s="94"/>
      <c r="K15" s="42">
        <v>0</v>
      </c>
      <c r="L15" s="38" t="s">
        <v>231</v>
      </c>
      <c r="M15" s="85">
        <f t="shared" si="4"/>
        <v>6.6999999999999993</v>
      </c>
      <c r="N15" s="36">
        <f t="shared" si="5"/>
        <v>30</v>
      </c>
      <c r="O15" s="36">
        <f t="shared" si="6"/>
        <v>0.696103896103896</v>
      </c>
      <c r="P15" s="27">
        <f t="shared" si="14"/>
        <v>0.348051948051948</v>
      </c>
      <c r="Q15" s="36">
        <f t="shared" si="7"/>
        <v>6.6999999999999993</v>
      </c>
      <c r="R15" s="36">
        <f t="shared" si="8"/>
        <v>30</v>
      </c>
      <c r="S15" s="36">
        <f t="shared" si="9"/>
        <v>0.696103896103896</v>
      </c>
      <c r="T15" s="27">
        <f t="shared" si="15"/>
        <v>0.348051948051948</v>
      </c>
      <c r="U15" s="36">
        <f t="shared" si="10"/>
        <v>0</v>
      </c>
      <c r="V15" s="36">
        <f t="shared" si="11"/>
        <v>0</v>
      </c>
      <c r="W15" s="36">
        <f t="shared" si="12"/>
        <v>0</v>
      </c>
      <c r="X15" s="27">
        <f t="shared" si="13"/>
        <v>0</v>
      </c>
      <c r="AB15" s="38">
        <f t="shared" si="1"/>
        <v>323.49999999994179</v>
      </c>
      <c r="AE15" s="38">
        <f>E12</f>
        <v>13.479166666664241</v>
      </c>
      <c r="AF15" s="38">
        <f>P13</f>
        <v>0.40268456375823197</v>
      </c>
      <c r="AI15" s="25">
        <f>T13</f>
        <v>0.40268456375823197</v>
      </c>
      <c r="AJ15" s="25">
        <f>X13</f>
        <v>0</v>
      </c>
    </row>
    <row r="16" spans="1:55" ht="12.75" x14ac:dyDescent="0.2">
      <c r="A16" s="26" t="e">
        <f>ferment.!#REF!</f>
        <v>#REF!</v>
      </c>
      <c r="B16" s="82">
        <v>43638</v>
      </c>
      <c r="C16" s="81">
        <v>0.45833333333333331</v>
      </c>
      <c r="D16" s="83">
        <f t="shared" ref="D16:D23" si="16">(B16+C16-(Inoculo_Fecha+Inoculo_Hora))*24</f>
        <v>408.50000000005821</v>
      </c>
      <c r="E16" s="27">
        <f t="shared" si="3"/>
        <v>17.020833333335759</v>
      </c>
      <c r="F16" s="83">
        <f t="shared" ref="F16:F23" si="17">E16-E15</f>
        <v>-22.625</v>
      </c>
      <c r="G16" s="42">
        <v>7</v>
      </c>
      <c r="H16" s="42">
        <v>0</v>
      </c>
      <c r="I16" s="42">
        <v>0</v>
      </c>
      <c r="J16" s="94"/>
      <c r="K16" s="42">
        <v>0</v>
      </c>
      <c r="L16" s="38"/>
      <c r="M16" s="85">
        <f t="shared" si="4"/>
        <v>-23</v>
      </c>
      <c r="N16" s="36">
        <f t="shared" si="5"/>
        <v>7</v>
      </c>
      <c r="O16" s="36">
        <f t="shared" si="6"/>
        <v>1.0165745856353592</v>
      </c>
      <c r="P16" s="27">
        <f t="shared" si="14"/>
        <v>0.50828729281767959</v>
      </c>
      <c r="Q16" s="36">
        <f t="shared" si="7"/>
        <v>-23</v>
      </c>
      <c r="R16" s="36">
        <f t="shared" si="8"/>
        <v>7</v>
      </c>
      <c r="S16" s="36">
        <f t="shared" si="9"/>
        <v>1.0165745856353592</v>
      </c>
      <c r="T16" s="27">
        <f t="shared" si="15"/>
        <v>0.50828729281767959</v>
      </c>
      <c r="U16" s="36">
        <f t="shared" si="10"/>
        <v>0</v>
      </c>
      <c r="V16" s="36">
        <f t="shared" si="11"/>
        <v>0</v>
      </c>
      <c r="W16" s="36">
        <f t="shared" si="12"/>
        <v>0</v>
      </c>
      <c r="X16" s="27">
        <f t="shared" si="13"/>
        <v>0</v>
      </c>
      <c r="AB16" s="38">
        <f t="shared" si="1"/>
        <v>621.50000000005821</v>
      </c>
      <c r="AE16" s="38">
        <f>E13</f>
        <v>25.895833333335759</v>
      </c>
      <c r="AF16" s="38">
        <f>P13</f>
        <v>0.40268456375823197</v>
      </c>
      <c r="AI16" s="25">
        <f>T13</f>
        <v>0.40268456375823197</v>
      </c>
      <c r="AJ16" s="25">
        <f>X13</f>
        <v>0</v>
      </c>
    </row>
    <row r="17" spans="1:36" ht="12.75" x14ac:dyDescent="0.2">
      <c r="A17" s="26" t="e">
        <f>ferment.!#REF!</f>
        <v>#REF!</v>
      </c>
      <c r="B17" s="82">
        <v>42948</v>
      </c>
      <c r="C17" s="81">
        <v>0.45833333333333198</v>
      </c>
      <c r="D17" s="83">
        <f t="shared" si="16"/>
        <v>-16151.499999999942</v>
      </c>
      <c r="E17" s="27">
        <f t="shared" si="3"/>
        <v>-672.97916666666424</v>
      </c>
      <c r="F17" s="83">
        <f t="shared" si="17"/>
        <v>-690</v>
      </c>
      <c r="G17" s="42">
        <v>9</v>
      </c>
      <c r="H17" s="42">
        <v>0</v>
      </c>
      <c r="I17" s="42">
        <v>0</v>
      </c>
      <c r="J17" s="94"/>
      <c r="K17" s="42">
        <v>0</v>
      </c>
      <c r="L17" s="38"/>
      <c r="M17" s="85">
        <f t="shared" si="4"/>
        <v>2</v>
      </c>
      <c r="N17" s="36">
        <f t="shared" si="5"/>
        <v>9</v>
      </c>
      <c r="O17" s="36">
        <f t="shared" si="6"/>
        <v>-2.8985507246376812E-3</v>
      </c>
      <c r="P17" s="27">
        <f t="shared" si="14"/>
        <v>-1.4492753623188406E-3</v>
      </c>
      <c r="Q17" s="36">
        <f t="shared" si="7"/>
        <v>2</v>
      </c>
      <c r="R17" s="36">
        <f t="shared" si="8"/>
        <v>9</v>
      </c>
      <c r="S17" s="36">
        <f t="shared" si="9"/>
        <v>-2.8985507246376812E-3</v>
      </c>
      <c r="T17" s="27">
        <f t="shared" si="15"/>
        <v>-1.4492753623188406E-3</v>
      </c>
      <c r="U17" s="36">
        <f t="shared" si="10"/>
        <v>0</v>
      </c>
      <c r="V17" s="36">
        <f t="shared" si="11"/>
        <v>0</v>
      </c>
      <c r="W17" s="36">
        <f t="shared" si="12"/>
        <v>0</v>
      </c>
      <c r="X17" s="27">
        <f t="shared" si="13"/>
        <v>0</v>
      </c>
      <c r="AB17" s="38">
        <f t="shared" si="1"/>
        <v>621.50000000005821</v>
      </c>
      <c r="AE17" s="38">
        <f>E13</f>
        <v>25.895833333335759</v>
      </c>
      <c r="AF17" s="38">
        <f>P14</f>
        <v>0.40000000000000008</v>
      </c>
      <c r="AI17" s="25">
        <f>T14</f>
        <v>0.40000000000000008</v>
      </c>
      <c r="AJ17" s="25">
        <f>X14</f>
        <v>0</v>
      </c>
    </row>
    <row r="18" spans="1:36" ht="12.75" x14ac:dyDescent="0.2">
      <c r="A18" s="126"/>
      <c r="B18" s="82">
        <v>42949</v>
      </c>
      <c r="C18" s="81">
        <v>0.45833333333333331</v>
      </c>
      <c r="D18" s="83">
        <f t="shared" si="16"/>
        <v>-16127.499999999942</v>
      </c>
      <c r="E18" s="27">
        <f t="shared" si="3"/>
        <v>-671.97916666666424</v>
      </c>
      <c r="F18" s="83">
        <f>E18-E17</f>
        <v>1</v>
      </c>
      <c r="G18" s="42">
        <v>11.8</v>
      </c>
      <c r="H18" s="42">
        <v>0</v>
      </c>
      <c r="I18" s="42">
        <v>0</v>
      </c>
      <c r="J18" s="94"/>
      <c r="K18" s="42">
        <v>0</v>
      </c>
      <c r="L18" s="38"/>
      <c r="M18" s="85">
        <f t="shared" si="4"/>
        <v>2.8000000000000007</v>
      </c>
      <c r="N18" s="36">
        <f t="shared" si="5"/>
        <v>11.8</v>
      </c>
      <c r="O18" s="36">
        <f t="shared" si="6"/>
        <v>2.8000000000000007</v>
      </c>
      <c r="P18" s="27">
        <f t="shared" si="14"/>
        <v>1.4000000000000004</v>
      </c>
      <c r="Q18" s="36">
        <f t="shared" si="7"/>
        <v>2.8000000000000007</v>
      </c>
      <c r="R18" s="36">
        <f t="shared" si="8"/>
        <v>11.8</v>
      </c>
      <c r="S18" s="36">
        <f t="shared" si="9"/>
        <v>2.8000000000000007</v>
      </c>
      <c r="T18" s="27">
        <f t="shared" si="15"/>
        <v>1.4000000000000004</v>
      </c>
      <c r="U18" s="36">
        <f t="shared" si="10"/>
        <v>0</v>
      </c>
      <c r="V18" s="36">
        <f t="shared" si="11"/>
        <v>0</v>
      </c>
      <c r="W18" s="36">
        <f t="shared" si="12"/>
        <v>0</v>
      </c>
      <c r="X18" s="27">
        <f t="shared" si="13"/>
        <v>0</v>
      </c>
      <c r="AB18" s="38">
        <f t="shared" si="1"/>
        <v>720.50000000005821</v>
      </c>
      <c r="AE18" s="38">
        <f>E14</f>
        <v>30.020833333335759</v>
      </c>
      <c r="AF18" s="38">
        <f>P14</f>
        <v>0.40000000000000008</v>
      </c>
      <c r="AI18" s="25">
        <f>T14</f>
        <v>0.40000000000000008</v>
      </c>
      <c r="AJ18" s="25">
        <f>X14</f>
        <v>0</v>
      </c>
    </row>
    <row r="19" spans="1:36" ht="12.75" x14ac:dyDescent="0.2">
      <c r="A19" s="127" t="e">
        <f>ferment.!#REF!</f>
        <v>#REF!</v>
      </c>
      <c r="B19" s="82">
        <v>42950</v>
      </c>
      <c r="C19" s="81">
        <v>0.45833333333333598</v>
      </c>
      <c r="D19" s="83">
        <f t="shared" si="16"/>
        <v>-16103.499999999942</v>
      </c>
      <c r="E19" s="27">
        <f t="shared" si="3"/>
        <v>-670.97916666666424</v>
      </c>
      <c r="F19" s="83">
        <f t="shared" si="17"/>
        <v>1</v>
      </c>
      <c r="G19" s="42">
        <v>14.6</v>
      </c>
      <c r="H19" s="42">
        <v>0</v>
      </c>
      <c r="I19" s="42">
        <v>0</v>
      </c>
      <c r="J19" s="94"/>
      <c r="K19" s="42">
        <v>0</v>
      </c>
      <c r="L19" s="94"/>
      <c r="M19" s="85">
        <f t="shared" si="4"/>
        <v>2.7999999999999989</v>
      </c>
      <c r="N19" s="36">
        <f t="shared" si="5"/>
        <v>14.6</v>
      </c>
      <c r="O19" s="36">
        <f t="shared" si="6"/>
        <v>2.7999999999999989</v>
      </c>
      <c r="P19" s="27">
        <f t="shared" si="14"/>
        <v>1.3999999999999995</v>
      </c>
      <c r="Q19" s="36">
        <f t="shared" si="7"/>
        <v>2.7999999999999989</v>
      </c>
      <c r="R19" s="36">
        <f t="shared" si="8"/>
        <v>14.6</v>
      </c>
      <c r="S19" s="36">
        <f t="shared" si="9"/>
        <v>2.7999999999999989</v>
      </c>
      <c r="T19" s="27">
        <f t="shared" si="15"/>
        <v>1.3999999999999995</v>
      </c>
      <c r="U19" s="36">
        <f t="shared" si="10"/>
        <v>0</v>
      </c>
      <c r="V19" s="36">
        <f t="shared" si="11"/>
        <v>0</v>
      </c>
      <c r="W19" s="36">
        <f t="shared" si="12"/>
        <v>0</v>
      </c>
      <c r="X19" s="27">
        <f t="shared" si="13"/>
        <v>0</v>
      </c>
      <c r="AB19" s="38">
        <f t="shared" si="1"/>
        <v>720.50000000005821</v>
      </c>
      <c r="AE19" s="38">
        <f>E14</f>
        <v>30.020833333335759</v>
      </c>
      <c r="AF19" s="38">
        <f>P15</f>
        <v>0.348051948051948</v>
      </c>
      <c r="AI19" s="25">
        <f>T15</f>
        <v>0.348051948051948</v>
      </c>
      <c r="AJ19" s="25">
        <f>X15</f>
        <v>0</v>
      </c>
    </row>
    <row r="20" spans="1:36" ht="12.75" x14ac:dyDescent="0.2">
      <c r="A20" s="26"/>
      <c r="B20" s="82">
        <v>42951</v>
      </c>
      <c r="C20" s="215">
        <v>0.45833333333333898</v>
      </c>
      <c r="D20" s="216">
        <f t="shared" si="16"/>
        <v>-16079.499999999942</v>
      </c>
      <c r="E20" s="198">
        <f t="shared" si="3"/>
        <v>-669.97916666666424</v>
      </c>
      <c r="F20" s="216">
        <f t="shared" si="17"/>
        <v>1</v>
      </c>
      <c r="G20" s="217">
        <v>17.399999999999999</v>
      </c>
      <c r="H20" s="217">
        <v>0</v>
      </c>
      <c r="I20" s="217">
        <v>0</v>
      </c>
      <c r="J20" s="184"/>
      <c r="K20" s="217">
        <v>0</v>
      </c>
      <c r="M20" s="85">
        <f t="shared" si="4"/>
        <v>2.7999999999999989</v>
      </c>
      <c r="N20" s="36">
        <f t="shared" si="5"/>
        <v>17.399999999999999</v>
      </c>
      <c r="O20" s="36">
        <f t="shared" si="6"/>
        <v>2.7999999999999989</v>
      </c>
      <c r="P20" s="27">
        <f t="shared" si="14"/>
        <v>1.3999999999999995</v>
      </c>
      <c r="Q20" s="36">
        <f t="shared" si="7"/>
        <v>2.7999999999999989</v>
      </c>
      <c r="R20" s="36">
        <f t="shared" si="8"/>
        <v>17.399999999999999</v>
      </c>
      <c r="S20" s="36">
        <f t="shared" si="9"/>
        <v>2.7999999999999989</v>
      </c>
      <c r="T20" s="27">
        <f t="shared" si="15"/>
        <v>1.3999999999999995</v>
      </c>
      <c r="U20" s="36">
        <f t="shared" si="10"/>
        <v>0</v>
      </c>
      <c r="V20" s="36">
        <f t="shared" si="11"/>
        <v>0</v>
      </c>
      <c r="W20" s="36">
        <f t="shared" si="12"/>
        <v>0</v>
      </c>
      <c r="X20" s="27">
        <f t="shared" si="13"/>
        <v>0</v>
      </c>
      <c r="AB20" s="38">
        <f t="shared" si="1"/>
        <v>951.50000000005821</v>
      </c>
      <c r="AE20" s="38">
        <f>E15</f>
        <v>39.645833333335759</v>
      </c>
      <c r="AF20" s="38">
        <f>P15</f>
        <v>0.348051948051948</v>
      </c>
      <c r="AI20" s="25">
        <f>T15</f>
        <v>0.348051948051948</v>
      </c>
      <c r="AJ20" s="25">
        <f>X15</f>
        <v>0</v>
      </c>
    </row>
    <row r="21" spans="1:36" ht="12.75" x14ac:dyDescent="0.2">
      <c r="A21" s="26"/>
      <c r="B21" s="82">
        <v>42952</v>
      </c>
      <c r="C21" s="215">
        <v>0.45833333333334098</v>
      </c>
      <c r="D21" s="216">
        <f t="shared" si="16"/>
        <v>-16055.499999999942</v>
      </c>
      <c r="E21" s="198">
        <f t="shared" si="3"/>
        <v>-668.97916666666424</v>
      </c>
      <c r="F21" s="216">
        <f t="shared" si="17"/>
        <v>1</v>
      </c>
      <c r="G21" s="217">
        <v>20.2</v>
      </c>
      <c r="H21" s="217">
        <v>0</v>
      </c>
      <c r="I21" s="217">
        <v>0</v>
      </c>
      <c r="J21" s="184"/>
      <c r="K21" s="217">
        <v>0</v>
      </c>
      <c r="M21" s="85">
        <f t="shared" si="4"/>
        <v>2.8000000000000007</v>
      </c>
      <c r="N21" s="36">
        <f t="shared" si="5"/>
        <v>20.2</v>
      </c>
      <c r="O21" s="36">
        <f t="shared" si="6"/>
        <v>2.8000000000000007</v>
      </c>
      <c r="P21" s="27">
        <f t="shared" si="14"/>
        <v>1.4000000000000004</v>
      </c>
      <c r="Q21" s="36">
        <f t="shared" si="7"/>
        <v>2.8000000000000007</v>
      </c>
      <c r="R21" s="36">
        <f t="shared" si="8"/>
        <v>20.2</v>
      </c>
      <c r="S21" s="36">
        <f t="shared" si="9"/>
        <v>2.8000000000000007</v>
      </c>
      <c r="T21" s="27">
        <f t="shared" si="15"/>
        <v>1.4000000000000004</v>
      </c>
      <c r="U21" s="36">
        <f t="shared" si="10"/>
        <v>0</v>
      </c>
      <c r="V21" s="36">
        <f t="shared" si="11"/>
        <v>0</v>
      </c>
      <c r="W21" s="36">
        <f t="shared" si="12"/>
        <v>0</v>
      </c>
      <c r="X21" s="27">
        <f t="shared" si="13"/>
        <v>0</v>
      </c>
      <c r="AB21" s="38">
        <f t="shared" si="1"/>
        <v>951.50000000005821</v>
      </c>
      <c r="AE21" s="38">
        <f>E15</f>
        <v>39.645833333335759</v>
      </c>
      <c r="AF21" s="38">
        <f>P16</f>
        <v>0.50828729281767959</v>
      </c>
      <c r="AI21" s="25">
        <f>T16</f>
        <v>0.50828729281767959</v>
      </c>
      <c r="AJ21" s="25">
        <f>X16</f>
        <v>0</v>
      </c>
    </row>
    <row r="22" spans="1:36" ht="12.75" x14ac:dyDescent="0.2">
      <c r="A22" s="26"/>
      <c r="B22" s="214">
        <v>42905</v>
      </c>
      <c r="C22" s="215">
        <v>0.9277777777777777</v>
      </c>
      <c r="D22" s="216">
        <f t="shared" si="16"/>
        <v>-17172.233333333395</v>
      </c>
      <c r="E22" s="198">
        <f t="shared" ref="E22:E29" si="18">D22/24</f>
        <v>-715.50972222222481</v>
      </c>
      <c r="F22" s="216">
        <f t="shared" si="17"/>
        <v>-46.530555555560568</v>
      </c>
      <c r="G22" s="217">
        <v>0</v>
      </c>
      <c r="H22" s="217">
        <v>0</v>
      </c>
      <c r="I22" s="217">
        <v>0</v>
      </c>
      <c r="J22" s="184"/>
      <c r="K22" s="217">
        <v>0</v>
      </c>
      <c r="L22" s="94" t="s">
        <v>102</v>
      </c>
      <c r="M22" s="85">
        <f t="shared" ref="M22:M29" si="19">G22+H22+I21+K21-G21-H21</f>
        <v>-20.2</v>
      </c>
      <c r="N22" s="36">
        <f t="shared" ref="N22:N29" si="20">M22+N21</f>
        <v>0</v>
      </c>
      <c r="O22" s="36">
        <f t="shared" si="6"/>
        <v>0.43412333592019681</v>
      </c>
      <c r="P22" s="27">
        <f t="shared" si="14"/>
        <v>0.2170616679600984</v>
      </c>
      <c r="Q22" s="36">
        <f t="shared" ref="Q22:Q39" si="21">G22+I21-G21</f>
        <v>-20.2</v>
      </c>
      <c r="R22" s="36">
        <f t="shared" ref="R22:R39" si="22">Q22+R21</f>
        <v>0</v>
      </c>
      <c r="S22" s="36">
        <f t="shared" ref="S22:S39" si="23">Q22/F22</f>
        <v>0.43412333592019681</v>
      </c>
      <c r="T22" s="27">
        <f t="shared" si="15"/>
        <v>0.2170616679600984</v>
      </c>
      <c r="U22" s="36">
        <f t="shared" ref="U22:U39" si="24">H22+K21-H21</f>
        <v>0</v>
      </c>
      <c r="V22" s="36">
        <f t="shared" ref="V22:V39" si="25">U22+V21</f>
        <v>0</v>
      </c>
      <c r="W22" s="36">
        <f t="shared" ref="W22:W39" si="26">U22/F22</f>
        <v>0</v>
      </c>
      <c r="X22" s="27">
        <f t="shared" si="13"/>
        <v>0</v>
      </c>
      <c r="AB22" s="38">
        <f t="shared" si="1"/>
        <v>408.50000000005821</v>
      </c>
      <c r="AE22" s="38">
        <f>E16</f>
        <v>17.020833333335759</v>
      </c>
      <c r="AF22" s="38">
        <f>P16</f>
        <v>0.50828729281767959</v>
      </c>
      <c r="AI22" s="25">
        <f>T16</f>
        <v>0.50828729281767959</v>
      </c>
      <c r="AJ22" s="25">
        <f>X16</f>
        <v>0</v>
      </c>
    </row>
    <row r="23" spans="1:36" ht="12.75" x14ac:dyDescent="0.2">
      <c r="A23" s="26"/>
      <c r="B23" s="214">
        <v>42907</v>
      </c>
      <c r="C23" s="215">
        <v>0.45833333333333331</v>
      </c>
      <c r="D23" s="216">
        <f t="shared" si="16"/>
        <v>-17135.499999999942</v>
      </c>
      <c r="E23" s="198">
        <f t="shared" si="18"/>
        <v>-713.97916666666424</v>
      </c>
      <c r="F23" s="216">
        <f t="shared" si="17"/>
        <v>1.5305555555605679</v>
      </c>
      <c r="G23" s="217">
        <v>0</v>
      </c>
      <c r="H23" s="217">
        <v>0</v>
      </c>
      <c r="I23" s="217">
        <v>0</v>
      </c>
      <c r="J23" s="184"/>
      <c r="K23" s="217">
        <v>0</v>
      </c>
      <c r="L23" s="38"/>
      <c r="M23" s="85">
        <f t="shared" si="19"/>
        <v>0</v>
      </c>
      <c r="N23" s="36">
        <f t="shared" si="20"/>
        <v>0</v>
      </c>
      <c r="O23" s="36">
        <f t="shared" ref="O23:O35" si="27">M23/F23</f>
        <v>0</v>
      </c>
      <c r="P23" s="27">
        <f t="shared" si="14"/>
        <v>0</v>
      </c>
      <c r="Q23" s="36">
        <f t="shared" si="21"/>
        <v>0</v>
      </c>
      <c r="R23" s="36">
        <f t="shared" si="22"/>
        <v>0</v>
      </c>
      <c r="S23" s="36">
        <f t="shared" si="23"/>
        <v>0</v>
      </c>
      <c r="T23" s="27">
        <f t="shared" si="15"/>
        <v>0</v>
      </c>
      <c r="U23" s="36">
        <f t="shared" si="24"/>
        <v>0</v>
      </c>
      <c r="V23" s="36">
        <f t="shared" si="25"/>
        <v>0</v>
      </c>
      <c r="W23" s="36">
        <f t="shared" si="26"/>
        <v>0</v>
      </c>
      <c r="X23" s="27">
        <f t="shared" si="13"/>
        <v>0</v>
      </c>
      <c r="AB23" s="38">
        <f t="shared" si="1"/>
        <v>408.50000000005821</v>
      </c>
      <c r="AE23" s="38">
        <f>E16</f>
        <v>17.020833333335759</v>
      </c>
      <c r="AF23" s="38">
        <f>P17</f>
        <v>-1.4492753623188406E-3</v>
      </c>
      <c r="AI23" s="25">
        <f>T17</f>
        <v>-1.4492753623188406E-3</v>
      </c>
      <c r="AJ23" s="25">
        <f>X17</f>
        <v>0</v>
      </c>
    </row>
    <row r="24" spans="1:36" ht="12.75" x14ac:dyDescent="0.2">
      <c r="A24" s="26"/>
      <c r="B24" s="214">
        <v>42908</v>
      </c>
      <c r="C24" s="215">
        <v>0.45833333333333331</v>
      </c>
      <c r="D24" s="216">
        <f t="shared" ref="D24:D35" si="28">(B24+C24-(Inoculo_Fecha+Inoculo_Hora))*24</f>
        <v>-17111.499999999942</v>
      </c>
      <c r="E24" s="198">
        <f t="shared" si="18"/>
        <v>-712.97916666666424</v>
      </c>
      <c r="F24" s="216">
        <f t="shared" ref="F24:F35" si="29">E24-E23</f>
        <v>1</v>
      </c>
      <c r="G24" s="217">
        <v>0</v>
      </c>
      <c r="H24" s="217">
        <v>0</v>
      </c>
      <c r="I24" s="217">
        <v>0</v>
      </c>
      <c r="J24" s="184"/>
      <c r="K24" s="217">
        <v>0</v>
      </c>
      <c r="L24" s="38"/>
      <c r="M24" s="85">
        <f t="shared" si="19"/>
        <v>0</v>
      </c>
      <c r="N24" s="36">
        <f t="shared" si="20"/>
        <v>0</v>
      </c>
      <c r="O24" s="36">
        <f t="shared" si="27"/>
        <v>0</v>
      </c>
      <c r="P24" s="27">
        <f t="shared" si="14"/>
        <v>0</v>
      </c>
      <c r="Q24" s="36">
        <f t="shared" si="21"/>
        <v>0</v>
      </c>
      <c r="R24" s="36">
        <f t="shared" si="22"/>
        <v>0</v>
      </c>
      <c r="S24" s="36">
        <f t="shared" si="23"/>
        <v>0</v>
      </c>
      <c r="T24" s="27">
        <f t="shared" si="15"/>
        <v>0</v>
      </c>
      <c r="U24" s="36">
        <f t="shared" si="24"/>
        <v>0</v>
      </c>
      <c r="V24" s="36">
        <f t="shared" si="25"/>
        <v>0</v>
      </c>
      <c r="W24" s="36">
        <f t="shared" si="26"/>
        <v>0</v>
      </c>
      <c r="X24" s="27">
        <f t="shared" si="13"/>
        <v>0</v>
      </c>
      <c r="AB24" s="38">
        <f t="shared" si="1"/>
        <v>-16151.499999999942</v>
      </c>
      <c r="AE24" s="38">
        <f>E17</f>
        <v>-672.97916666666424</v>
      </c>
      <c r="AF24" s="38">
        <f>P17</f>
        <v>-1.4492753623188406E-3</v>
      </c>
      <c r="AI24" s="25">
        <f>T17</f>
        <v>-1.4492753623188406E-3</v>
      </c>
      <c r="AJ24" s="25">
        <f>X17</f>
        <v>0</v>
      </c>
    </row>
    <row r="25" spans="1:36" ht="12.75" x14ac:dyDescent="0.2">
      <c r="A25" s="26"/>
      <c r="B25" s="214">
        <v>42909</v>
      </c>
      <c r="C25" s="215">
        <v>0.45833333333333298</v>
      </c>
      <c r="D25" s="216">
        <f t="shared" si="28"/>
        <v>-17087.499999999942</v>
      </c>
      <c r="E25" s="198">
        <f t="shared" si="18"/>
        <v>-711.97916666666424</v>
      </c>
      <c r="F25" s="216">
        <f t="shared" si="29"/>
        <v>1</v>
      </c>
      <c r="G25" s="217">
        <v>0</v>
      </c>
      <c r="H25" s="217">
        <v>0</v>
      </c>
      <c r="I25" s="217">
        <v>0</v>
      </c>
      <c r="J25" s="184"/>
      <c r="K25" s="217">
        <v>0</v>
      </c>
      <c r="L25" s="38"/>
      <c r="M25" s="85">
        <f t="shared" si="19"/>
        <v>0</v>
      </c>
      <c r="N25" s="36">
        <f t="shared" si="20"/>
        <v>0</v>
      </c>
      <c r="O25" s="36">
        <f t="shared" si="27"/>
        <v>0</v>
      </c>
      <c r="P25" s="27">
        <f t="shared" si="14"/>
        <v>0</v>
      </c>
      <c r="Q25" s="36">
        <f t="shared" si="21"/>
        <v>0</v>
      </c>
      <c r="R25" s="36">
        <f t="shared" si="22"/>
        <v>0</v>
      </c>
      <c r="S25" s="36">
        <f t="shared" si="23"/>
        <v>0</v>
      </c>
      <c r="T25" s="27">
        <f t="shared" si="15"/>
        <v>0</v>
      </c>
      <c r="U25" s="36">
        <f t="shared" si="24"/>
        <v>0</v>
      </c>
      <c r="V25" s="36">
        <f t="shared" si="25"/>
        <v>0</v>
      </c>
      <c r="W25" s="36">
        <f t="shared" si="26"/>
        <v>0</v>
      </c>
      <c r="X25" s="27">
        <f t="shared" si="13"/>
        <v>0</v>
      </c>
      <c r="AB25" s="38">
        <f t="shared" si="1"/>
        <v>-16151.499999999942</v>
      </c>
      <c r="AE25" s="38">
        <f>E17</f>
        <v>-672.97916666666424</v>
      </c>
      <c r="AF25" s="38">
        <f>P18</f>
        <v>1.4000000000000004</v>
      </c>
      <c r="AI25" s="25">
        <f>T18</f>
        <v>1.4000000000000004</v>
      </c>
      <c r="AJ25" s="25">
        <f>X18</f>
        <v>0</v>
      </c>
    </row>
    <row r="26" spans="1:36" ht="12.75" x14ac:dyDescent="0.2">
      <c r="A26" s="26"/>
      <c r="B26" s="214">
        <v>42910</v>
      </c>
      <c r="C26" s="215">
        <v>0.45833333333333298</v>
      </c>
      <c r="D26" s="216">
        <f t="shared" si="28"/>
        <v>-17063.499999999942</v>
      </c>
      <c r="E26" s="198">
        <f t="shared" si="18"/>
        <v>-710.97916666666424</v>
      </c>
      <c r="F26" s="216">
        <f t="shared" si="29"/>
        <v>1</v>
      </c>
      <c r="G26" s="217">
        <v>0</v>
      </c>
      <c r="H26" s="217">
        <v>0</v>
      </c>
      <c r="I26" s="217">
        <v>0</v>
      </c>
      <c r="J26" s="184"/>
      <c r="K26" s="217">
        <v>0</v>
      </c>
      <c r="L26" s="38"/>
      <c r="M26" s="85">
        <f t="shared" si="19"/>
        <v>0</v>
      </c>
      <c r="N26" s="36">
        <f t="shared" si="20"/>
        <v>0</v>
      </c>
      <c r="O26" s="36">
        <f t="shared" si="27"/>
        <v>0</v>
      </c>
      <c r="P26" s="27">
        <f t="shared" si="14"/>
        <v>0</v>
      </c>
      <c r="Q26" s="36">
        <f t="shared" si="21"/>
        <v>0</v>
      </c>
      <c r="R26" s="36">
        <f t="shared" si="22"/>
        <v>0</v>
      </c>
      <c r="S26" s="36">
        <f t="shared" si="23"/>
        <v>0</v>
      </c>
      <c r="T26" s="27">
        <f t="shared" si="15"/>
        <v>0</v>
      </c>
      <c r="U26" s="36">
        <f t="shared" si="24"/>
        <v>0</v>
      </c>
      <c r="V26" s="36">
        <f t="shared" si="25"/>
        <v>0</v>
      </c>
      <c r="W26" s="36">
        <f t="shared" si="26"/>
        <v>0</v>
      </c>
      <c r="X26" s="27">
        <f t="shared" si="13"/>
        <v>0</v>
      </c>
      <c r="AB26" s="38">
        <f t="shared" si="1"/>
        <v>-16127.499999999942</v>
      </c>
      <c r="AE26" s="38">
        <f>E18</f>
        <v>-671.97916666666424</v>
      </c>
      <c r="AF26" s="38">
        <f>P18</f>
        <v>1.4000000000000004</v>
      </c>
      <c r="AI26" s="25">
        <f>T18</f>
        <v>1.4000000000000004</v>
      </c>
      <c r="AJ26" s="25">
        <f>X18</f>
        <v>0</v>
      </c>
    </row>
    <row r="27" spans="1:36" ht="12.75" x14ac:dyDescent="0.2">
      <c r="A27" s="26"/>
      <c r="B27" s="214">
        <v>42912</v>
      </c>
      <c r="C27" s="215">
        <v>0.45833333333333298</v>
      </c>
      <c r="D27" s="216">
        <f t="shared" si="28"/>
        <v>-17015.499999999942</v>
      </c>
      <c r="E27" s="198">
        <f t="shared" si="18"/>
        <v>-708.97916666666424</v>
      </c>
      <c r="F27" s="216">
        <f t="shared" si="29"/>
        <v>2</v>
      </c>
      <c r="G27" s="217">
        <v>0</v>
      </c>
      <c r="H27" s="217">
        <v>0</v>
      </c>
      <c r="I27" s="217">
        <v>0</v>
      </c>
      <c r="J27" s="184"/>
      <c r="K27" s="217">
        <v>0</v>
      </c>
      <c r="L27" s="94"/>
      <c r="M27" s="85">
        <f t="shared" si="19"/>
        <v>0</v>
      </c>
      <c r="N27" s="36">
        <f t="shared" si="20"/>
        <v>0</v>
      </c>
      <c r="O27" s="36">
        <f t="shared" si="27"/>
        <v>0</v>
      </c>
      <c r="P27" s="27">
        <f t="shared" si="14"/>
        <v>0</v>
      </c>
      <c r="Q27" s="36">
        <f t="shared" si="21"/>
        <v>0</v>
      </c>
      <c r="R27" s="36">
        <f t="shared" si="22"/>
        <v>0</v>
      </c>
      <c r="S27" s="36">
        <f t="shared" si="23"/>
        <v>0</v>
      </c>
      <c r="T27" s="27">
        <f t="shared" si="15"/>
        <v>0</v>
      </c>
      <c r="U27" s="36">
        <f t="shared" si="24"/>
        <v>0</v>
      </c>
      <c r="V27" s="36">
        <f t="shared" si="25"/>
        <v>0</v>
      </c>
      <c r="W27" s="36">
        <f t="shared" si="26"/>
        <v>0</v>
      </c>
      <c r="X27" s="27">
        <f t="shared" si="13"/>
        <v>0</v>
      </c>
      <c r="AB27" s="38">
        <f t="shared" si="1"/>
        <v>-16127.499999999942</v>
      </c>
      <c r="AE27" s="38">
        <f>E18</f>
        <v>-671.97916666666424</v>
      </c>
      <c r="AF27" s="38">
        <f>P19</f>
        <v>1.3999999999999995</v>
      </c>
      <c r="AI27" s="25">
        <f>T19</f>
        <v>1.3999999999999995</v>
      </c>
      <c r="AJ27" s="25">
        <f>X19</f>
        <v>0</v>
      </c>
    </row>
    <row r="28" spans="1:36" ht="12.75" x14ac:dyDescent="0.2">
      <c r="A28" s="26"/>
      <c r="B28" s="214">
        <v>42913</v>
      </c>
      <c r="C28" s="215">
        <v>0.45833333333333331</v>
      </c>
      <c r="D28" s="216">
        <f t="shared" si="28"/>
        <v>-16991.499999999942</v>
      </c>
      <c r="E28" s="198">
        <f t="shared" si="18"/>
        <v>-707.97916666666424</v>
      </c>
      <c r="F28" s="216">
        <f t="shared" si="29"/>
        <v>1</v>
      </c>
      <c r="G28" s="217">
        <v>0</v>
      </c>
      <c r="H28" s="217">
        <v>0</v>
      </c>
      <c r="I28" s="217">
        <v>0</v>
      </c>
      <c r="J28" s="184"/>
      <c r="K28" s="217">
        <v>0</v>
      </c>
      <c r="L28" s="94" t="s">
        <v>67</v>
      </c>
      <c r="M28" s="85">
        <f t="shared" si="19"/>
        <v>0</v>
      </c>
      <c r="N28" s="36">
        <f t="shared" si="20"/>
        <v>0</v>
      </c>
      <c r="O28" s="36">
        <f t="shared" si="27"/>
        <v>0</v>
      </c>
      <c r="P28" s="27">
        <f t="shared" si="14"/>
        <v>0</v>
      </c>
      <c r="Q28" s="36">
        <f t="shared" si="21"/>
        <v>0</v>
      </c>
      <c r="R28" s="36">
        <f t="shared" si="22"/>
        <v>0</v>
      </c>
      <c r="S28" s="36">
        <f t="shared" si="23"/>
        <v>0</v>
      </c>
      <c r="T28" s="27">
        <f t="shared" si="15"/>
        <v>0</v>
      </c>
      <c r="U28" s="36">
        <f t="shared" si="24"/>
        <v>0</v>
      </c>
      <c r="V28" s="36">
        <f t="shared" si="25"/>
        <v>0</v>
      </c>
      <c r="W28" s="36">
        <f t="shared" si="26"/>
        <v>0</v>
      </c>
      <c r="X28" s="27">
        <f t="shared" si="13"/>
        <v>0</v>
      </c>
      <c r="AB28" s="38">
        <f t="shared" si="1"/>
        <v>-16103.499999999942</v>
      </c>
      <c r="AE28" s="38">
        <f>E19</f>
        <v>-670.97916666666424</v>
      </c>
      <c r="AF28" s="38">
        <f>P19</f>
        <v>1.3999999999999995</v>
      </c>
      <c r="AI28" s="25">
        <f>T19</f>
        <v>1.3999999999999995</v>
      </c>
      <c r="AJ28" s="25">
        <f>X19</f>
        <v>0</v>
      </c>
    </row>
    <row r="29" spans="1:36" ht="12.75" customHeight="1" x14ac:dyDescent="0.2">
      <c r="A29" s="26"/>
      <c r="B29" s="214">
        <v>42915</v>
      </c>
      <c r="C29" s="215">
        <v>0.45833333333333331</v>
      </c>
      <c r="D29" s="216">
        <f t="shared" si="28"/>
        <v>-16943.499999999942</v>
      </c>
      <c r="E29" s="198">
        <f t="shared" si="18"/>
        <v>-705.97916666666424</v>
      </c>
      <c r="F29" s="216">
        <f t="shared" si="29"/>
        <v>2</v>
      </c>
      <c r="G29" s="217">
        <v>0</v>
      </c>
      <c r="H29" s="217">
        <v>0</v>
      </c>
      <c r="I29" s="217">
        <v>0</v>
      </c>
      <c r="J29" s="184"/>
      <c r="K29" s="217">
        <v>0</v>
      </c>
      <c r="M29" s="85">
        <f t="shared" si="19"/>
        <v>0</v>
      </c>
      <c r="N29" s="36">
        <f t="shared" si="20"/>
        <v>0</v>
      </c>
      <c r="O29" s="36">
        <f t="shared" si="27"/>
        <v>0</v>
      </c>
      <c r="P29" s="27">
        <f t="shared" si="14"/>
        <v>0</v>
      </c>
      <c r="Q29" s="36">
        <f t="shared" si="21"/>
        <v>0</v>
      </c>
      <c r="R29" s="36">
        <f t="shared" si="22"/>
        <v>0</v>
      </c>
      <c r="S29" s="36">
        <f t="shared" si="23"/>
        <v>0</v>
      </c>
      <c r="T29" s="27">
        <f t="shared" si="15"/>
        <v>0</v>
      </c>
      <c r="U29" s="36">
        <f t="shared" si="24"/>
        <v>0</v>
      </c>
      <c r="V29" s="36">
        <f t="shared" si="25"/>
        <v>0</v>
      </c>
      <c r="W29" s="36">
        <f t="shared" si="26"/>
        <v>0</v>
      </c>
      <c r="X29" s="27">
        <f t="shared" si="13"/>
        <v>0</v>
      </c>
      <c r="AB29" s="38">
        <f t="shared" si="1"/>
        <v>-16103.499999999942</v>
      </c>
      <c r="AE29" s="38">
        <f>E19</f>
        <v>-670.97916666666424</v>
      </c>
      <c r="AF29" s="38">
        <f>P20</f>
        <v>1.3999999999999995</v>
      </c>
      <c r="AI29" s="25">
        <f>T20</f>
        <v>1.3999999999999995</v>
      </c>
      <c r="AJ29" s="25">
        <f>X20</f>
        <v>0</v>
      </c>
    </row>
    <row r="30" spans="1:36" ht="12.75" customHeight="1" x14ac:dyDescent="0.2">
      <c r="A30" s="26"/>
      <c r="B30" s="214">
        <v>42916</v>
      </c>
      <c r="C30" s="215">
        <v>0.45833333333333298</v>
      </c>
      <c r="D30" s="216">
        <f t="shared" si="28"/>
        <v>-16919.499999999942</v>
      </c>
      <c r="E30" s="198">
        <f t="shared" ref="E30:E35" si="30">D30/24</f>
        <v>-704.97916666666424</v>
      </c>
      <c r="F30" s="216">
        <f t="shared" si="29"/>
        <v>1</v>
      </c>
      <c r="G30" s="217">
        <v>0</v>
      </c>
      <c r="H30" s="217">
        <v>0</v>
      </c>
      <c r="I30" s="217">
        <v>0</v>
      </c>
      <c r="J30" s="184"/>
      <c r="K30" s="217">
        <v>0</v>
      </c>
      <c r="L30" s="94"/>
      <c r="M30" s="85">
        <f t="shared" ref="M30:M35" si="31">G30+H30+I29+K29-G29-H29</f>
        <v>0</v>
      </c>
      <c r="N30" s="36">
        <f t="shared" ref="N30:N35" si="32">M30+N29</f>
        <v>0</v>
      </c>
      <c r="O30" s="36">
        <f t="shared" si="27"/>
        <v>0</v>
      </c>
      <c r="P30" s="27">
        <f t="shared" si="14"/>
        <v>0</v>
      </c>
      <c r="Q30" s="36">
        <f t="shared" si="21"/>
        <v>0</v>
      </c>
      <c r="R30" s="36">
        <f t="shared" si="22"/>
        <v>0</v>
      </c>
      <c r="S30" s="36">
        <f t="shared" si="23"/>
        <v>0</v>
      </c>
      <c r="T30" s="27">
        <f t="shared" si="15"/>
        <v>0</v>
      </c>
      <c r="U30" s="36">
        <f t="shared" si="24"/>
        <v>0</v>
      </c>
      <c r="V30" s="36">
        <f t="shared" si="25"/>
        <v>0</v>
      </c>
      <c r="W30" s="36">
        <f t="shared" si="26"/>
        <v>0</v>
      </c>
      <c r="X30" s="27">
        <f t="shared" si="13"/>
        <v>0</v>
      </c>
      <c r="AB30" s="38">
        <f t="shared" si="1"/>
        <v>-16079.499999999942</v>
      </c>
      <c r="AE30" s="38">
        <f>E20</f>
        <v>-669.97916666666424</v>
      </c>
      <c r="AF30" s="38">
        <f>P20</f>
        <v>1.3999999999999995</v>
      </c>
      <c r="AI30" s="25">
        <f>T20</f>
        <v>1.3999999999999995</v>
      </c>
      <c r="AJ30" s="25">
        <f>X20</f>
        <v>0</v>
      </c>
    </row>
    <row r="31" spans="1:36" ht="12.75" customHeight="1" x14ac:dyDescent="0.2">
      <c r="A31" s="26"/>
      <c r="B31" s="214">
        <v>42917</v>
      </c>
      <c r="C31" s="215">
        <v>0.45833333333333298</v>
      </c>
      <c r="D31" s="216">
        <f t="shared" si="28"/>
        <v>-16895.499999999942</v>
      </c>
      <c r="E31" s="198">
        <f t="shared" si="30"/>
        <v>-703.97916666666424</v>
      </c>
      <c r="F31" s="216">
        <f t="shared" si="29"/>
        <v>1</v>
      </c>
      <c r="G31" s="217">
        <v>0</v>
      </c>
      <c r="H31" s="217">
        <v>0</v>
      </c>
      <c r="I31" s="217">
        <v>0</v>
      </c>
      <c r="J31" s="184"/>
      <c r="K31" s="217">
        <v>0</v>
      </c>
      <c r="L31" s="38"/>
      <c r="M31" s="85">
        <f t="shared" si="31"/>
        <v>0</v>
      </c>
      <c r="N31" s="36">
        <f t="shared" si="32"/>
        <v>0</v>
      </c>
      <c r="O31" s="36">
        <f t="shared" si="27"/>
        <v>0</v>
      </c>
      <c r="P31" s="27">
        <f t="shared" si="14"/>
        <v>0</v>
      </c>
      <c r="Q31" s="36">
        <f t="shared" si="21"/>
        <v>0</v>
      </c>
      <c r="R31" s="36">
        <f t="shared" si="22"/>
        <v>0</v>
      </c>
      <c r="S31" s="36">
        <f t="shared" si="23"/>
        <v>0</v>
      </c>
      <c r="T31" s="27">
        <f t="shared" si="15"/>
        <v>0</v>
      </c>
      <c r="U31" s="36">
        <f t="shared" si="24"/>
        <v>0</v>
      </c>
      <c r="V31" s="36">
        <f t="shared" si="25"/>
        <v>0</v>
      </c>
      <c r="W31" s="36">
        <f t="shared" si="26"/>
        <v>0</v>
      </c>
      <c r="X31" s="27">
        <f t="shared" si="13"/>
        <v>0</v>
      </c>
      <c r="AB31" s="38">
        <f t="shared" si="1"/>
        <v>-16079.499999999942</v>
      </c>
      <c r="AE31" s="38">
        <f>E20</f>
        <v>-669.97916666666424</v>
      </c>
      <c r="AF31" s="38">
        <f>P21</f>
        <v>1.4000000000000004</v>
      </c>
      <c r="AI31" s="25">
        <f>T21</f>
        <v>1.4000000000000004</v>
      </c>
      <c r="AJ31" s="25">
        <f>X21</f>
        <v>0</v>
      </c>
    </row>
    <row r="32" spans="1:36" ht="12.75" x14ac:dyDescent="0.2">
      <c r="A32" s="26"/>
      <c r="B32" s="214">
        <v>42918</v>
      </c>
      <c r="C32" s="215">
        <v>0.45833333333333298</v>
      </c>
      <c r="D32" s="216">
        <f t="shared" si="28"/>
        <v>-16871.499999999942</v>
      </c>
      <c r="E32" s="198">
        <f t="shared" si="30"/>
        <v>-702.97916666666424</v>
      </c>
      <c r="F32" s="216">
        <f t="shared" si="29"/>
        <v>1</v>
      </c>
      <c r="G32" s="217">
        <v>0</v>
      </c>
      <c r="H32" s="217">
        <v>0</v>
      </c>
      <c r="I32" s="217">
        <v>0</v>
      </c>
      <c r="J32" s="184"/>
      <c r="K32" s="217">
        <v>0</v>
      </c>
      <c r="L32" s="38"/>
      <c r="M32" s="85">
        <f t="shared" si="31"/>
        <v>0</v>
      </c>
      <c r="N32" s="36">
        <f t="shared" si="32"/>
        <v>0</v>
      </c>
      <c r="O32" s="36">
        <f t="shared" si="27"/>
        <v>0</v>
      </c>
      <c r="P32" s="27">
        <f t="shared" si="14"/>
        <v>0</v>
      </c>
      <c r="Q32" s="36">
        <f t="shared" si="21"/>
        <v>0</v>
      </c>
      <c r="R32" s="36">
        <f t="shared" si="22"/>
        <v>0</v>
      </c>
      <c r="S32" s="36">
        <f t="shared" si="23"/>
        <v>0</v>
      </c>
      <c r="T32" s="27">
        <f t="shared" si="15"/>
        <v>0</v>
      </c>
      <c r="U32" s="36">
        <f t="shared" si="24"/>
        <v>0</v>
      </c>
      <c r="V32" s="36">
        <f t="shared" si="25"/>
        <v>0</v>
      </c>
      <c r="W32" s="36">
        <f t="shared" si="26"/>
        <v>0</v>
      </c>
      <c r="X32" s="27">
        <f t="shared" si="13"/>
        <v>0</v>
      </c>
      <c r="AB32" s="38">
        <f t="shared" si="1"/>
        <v>-16055.499999999942</v>
      </c>
      <c r="AE32" s="38">
        <f>E21</f>
        <v>-668.97916666666424</v>
      </c>
      <c r="AF32" s="38">
        <f>P21</f>
        <v>1.4000000000000004</v>
      </c>
      <c r="AI32" s="25">
        <f>T21</f>
        <v>1.4000000000000004</v>
      </c>
      <c r="AJ32" s="25">
        <f>X21</f>
        <v>0</v>
      </c>
    </row>
    <row r="33" spans="1:36" ht="12.75" x14ac:dyDescent="0.2">
      <c r="A33" s="26"/>
      <c r="B33" s="214">
        <v>42919</v>
      </c>
      <c r="C33" s="215">
        <v>0.45833333333333298</v>
      </c>
      <c r="D33" s="216">
        <f t="shared" si="28"/>
        <v>-16847.499999999942</v>
      </c>
      <c r="E33" s="198">
        <f t="shared" si="30"/>
        <v>-701.97916666666424</v>
      </c>
      <c r="F33" s="216">
        <f t="shared" si="29"/>
        <v>1</v>
      </c>
      <c r="G33" s="217">
        <v>0</v>
      </c>
      <c r="H33" s="217">
        <v>0</v>
      </c>
      <c r="I33" s="217">
        <v>0</v>
      </c>
      <c r="J33" s="184"/>
      <c r="K33" s="217">
        <v>0</v>
      </c>
      <c r="L33" s="38"/>
      <c r="M33" s="85">
        <f t="shared" si="31"/>
        <v>0</v>
      </c>
      <c r="N33" s="36">
        <f t="shared" si="32"/>
        <v>0</v>
      </c>
      <c r="O33" s="36">
        <f t="shared" si="27"/>
        <v>0</v>
      </c>
      <c r="P33" s="27">
        <f t="shared" si="14"/>
        <v>0</v>
      </c>
      <c r="Q33" s="36">
        <f t="shared" si="21"/>
        <v>0</v>
      </c>
      <c r="R33" s="36">
        <f t="shared" si="22"/>
        <v>0</v>
      </c>
      <c r="S33" s="36">
        <f t="shared" si="23"/>
        <v>0</v>
      </c>
      <c r="T33" s="27">
        <f t="shared" si="15"/>
        <v>0</v>
      </c>
      <c r="U33" s="36">
        <f t="shared" si="24"/>
        <v>0</v>
      </c>
      <c r="V33" s="36">
        <f t="shared" si="25"/>
        <v>0</v>
      </c>
      <c r="W33" s="36">
        <f t="shared" si="26"/>
        <v>0</v>
      </c>
      <c r="X33" s="27">
        <f t="shared" si="13"/>
        <v>0</v>
      </c>
      <c r="AB33" s="38">
        <f t="shared" si="1"/>
        <v>-16055.499999999942</v>
      </c>
      <c r="AE33" s="38">
        <f>E21</f>
        <v>-668.97916666666424</v>
      </c>
      <c r="AF33" s="38">
        <f>P22</f>
        <v>0.2170616679600984</v>
      </c>
      <c r="AI33" s="25">
        <f>T22</f>
        <v>0.2170616679600984</v>
      </c>
      <c r="AJ33" s="25">
        <f>X22</f>
        <v>0</v>
      </c>
    </row>
    <row r="34" spans="1:36" ht="12.75" x14ac:dyDescent="0.2">
      <c r="A34" s="26"/>
      <c r="B34" s="214">
        <v>42920</v>
      </c>
      <c r="C34" s="215">
        <v>0.45833333333333298</v>
      </c>
      <c r="D34" s="216">
        <f t="shared" si="28"/>
        <v>-16823.499999999942</v>
      </c>
      <c r="E34" s="198">
        <f t="shared" si="30"/>
        <v>-700.97916666666424</v>
      </c>
      <c r="F34" s="216">
        <f t="shared" si="29"/>
        <v>1</v>
      </c>
      <c r="G34" s="217">
        <v>0</v>
      </c>
      <c r="H34" s="217">
        <v>0</v>
      </c>
      <c r="I34" s="217">
        <v>0</v>
      </c>
      <c r="J34" s="184" t="s">
        <v>209</v>
      </c>
      <c r="K34" s="217">
        <v>0</v>
      </c>
      <c r="L34" s="38"/>
      <c r="M34" s="85">
        <f t="shared" si="31"/>
        <v>0</v>
      </c>
      <c r="N34" s="36">
        <f t="shared" si="32"/>
        <v>0</v>
      </c>
      <c r="O34" s="36">
        <f t="shared" si="27"/>
        <v>0</v>
      </c>
      <c r="P34" s="27">
        <f t="shared" si="14"/>
        <v>0</v>
      </c>
      <c r="Q34" s="36">
        <f t="shared" si="21"/>
        <v>0</v>
      </c>
      <c r="R34" s="36">
        <f t="shared" si="22"/>
        <v>0</v>
      </c>
      <c r="S34" s="36">
        <f t="shared" si="23"/>
        <v>0</v>
      </c>
      <c r="T34" s="27">
        <f t="shared" si="15"/>
        <v>0</v>
      </c>
      <c r="U34" s="36">
        <f t="shared" si="24"/>
        <v>0</v>
      </c>
      <c r="V34" s="36">
        <f t="shared" si="25"/>
        <v>0</v>
      </c>
      <c r="W34" s="36">
        <f t="shared" si="26"/>
        <v>0</v>
      </c>
      <c r="X34" s="27">
        <f t="shared" si="13"/>
        <v>0</v>
      </c>
      <c r="AB34" s="38">
        <f t="shared" si="1"/>
        <v>-17172.233333333395</v>
      </c>
      <c r="AE34" s="38">
        <f>E22</f>
        <v>-715.50972222222481</v>
      </c>
      <c r="AF34" s="38">
        <f>P22</f>
        <v>0.2170616679600984</v>
      </c>
      <c r="AI34" s="25">
        <f>T22</f>
        <v>0.2170616679600984</v>
      </c>
      <c r="AJ34" s="25">
        <f>X22</f>
        <v>0</v>
      </c>
    </row>
    <row r="35" spans="1:36" ht="12" customHeight="1" x14ac:dyDescent="0.2">
      <c r="A35" s="26"/>
      <c r="B35" s="214">
        <v>42921</v>
      </c>
      <c r="C35" s="215">
        <v>0.45833333333333298</v>
      </c>
      <c r="D35" s="216">
        <f t="shared" si="28"/>
        <v>-16799.499999999942</v>
      </c>
      <c r="E35" s="198">
        <f t="shared" si="30"/>
        <v>-699.97916666666424</v>
      </c>
      <c r="F35" s="216">
        <f t="shared" si="29"/>
        <v>1</v>
      </c>
      <c r="G35" s="217">
        <v>0</v>
      </c>
      <c r="H35" s="217">
        <v>0</v>
      </c>
      <c r="I35" s="217">
        <v>0</v>
      </c>
      <c r="J35" s="184"/>
      <c r="K35" s="217">
        <v>0</v>
      </c>
      <c r="L35" s="94"/>
      <c r="M35" s="85">
        <f t="shared" si="31"/>
        <v>0</v>
      </c>
      <c r="N35" s="36">
        <f t="shared" si="32"/>
        <v>0</v>
      </c>
      <c r="O35" s="36">
        <f t="shared" si="27"/>
        <v>0</v>
      </c>
      <c r="P35" s="27">
        <f t="shared" si="14"/>
        <v>0</v>
      </c>
      <c r="Q35" s="36">
        <f>G35+I34-G34</f>
        <v>0</v>
      </c>
      <c r="R35" s="36">
        <f t="shared" si="22"/>
        <v>0</v>
      </c>
      <c r="S35" s="36">
        <f t="shared" si="23"/>
        <v>0</v>
      </c>
      <c r="T35" s="27">
        <f t="shared" si="15"/>
        <v>0</v>
      </c>
      <c r="U35" s="36">
        <f t="shared" si="24"/>
        <v>0</v>
      </c>
      <c r="V35" s="36">
        <f t="shared" si="25"/>
        <v>0</v>
      </c>
      <c r="W35" s="36">
        <f t="shared" si="26"/>
        <v>0</v>
      </c>
      <c r="X35" s="27">
        <f t="shared" si="13"/>
        <v>0</v>
      </c>
      <c r="AB35" s="38">
        <f t="shared" si="1"/>
        <v>-17172.233333333395</v>
      </c>
      <c r="AE35" s="38">
        <f>E22</f>
        <v>-715.50972222222481</v>
      </c>
      <c r="AF35" s="38">
        <f>P23</f>
        <v>0</v>
      </c>
      <c r="AI35" s="25">
        <f>T23</f>
        <v>0</v>
      </c>
      <c r="AJ35" s="25">
        <f>X23</f>
        <v>0</v>
      </c>
    </row>
    <row r="36" spans="1:36" ht="12.75" x14ac:dyDescent="0.2">
      <c r="A36" s="26"/>
      <c r="B36" s="214">
        <v>42922</v>
      </c>
      <c r="C36" s="215">
        <v>0.45833333333333298</v>
      </c>
      <c r="D36" s="216">
        <f t="shared" ref="D36:D42" si="33">(B36+C36-(Inoculo_Fecha+Inoculo_Hora))*24</f>
        <v>-16775.499999999942</v>
      </c>
      <c r="E36" s="198">
        <f t="shared" ref="E36:E42" si="34">D36/24</f>
        <v>-698.97916666666424</v>
      </c>
      <c r="F36" s="216">
        <f t="shared" ref="F36:F42" si="35">E36-E35</f>
        <v>1</v>
      </c>
      <c r="G36" s="217">
        <v>0</v>
      </c>
      <c r="H36" s="217">
        <v>0</v>
      </c>
      <c r="I36" s="217">
        <v>0</v>
      </c>
      <c r="J36" s="184"/>
      <c r="K36" s="217">
        <v>0</v>
      </c>
      <c r="L36" s="94" t="s">
        <v>103</v>
      </c>
      <c r="M36" s="85">
        <f t="shared" ref="M36:M42" si="36">G36+H36+I35+K35-G35-H35</f>
        <v>0</v>
      </c>
      <c r="N36" s="36">
        <f t="shared" ref="N36:N42" si="37">M36+N35</f>
        <v>0</v>
      </c>
      <c r="O36" s="36">
        <f t="shared" ref="O36:O42" si="38">M36/F36</f>
        <v>0</v>
      </c>
      <c r="P36" s="27">
        <f t="shared" si="14"/>
        <v>0</v>
      </c>
      <c r="Q36" s="36">
        <f t="shared" si="21"/>
        <v>0</v>
      </c>
      <c r="R36" s="36">
        <f t="shared" si="22"/>
        <v>0</v>
      </c>
      <c r="S36" s="36">
        <f t="shared" si="23"/>
        <v>0</v>
      </c>
      <c r="T36" s="27">
        <f t="shared" si="15"/>
        <v>0</v>
      </c>
      <c r="U36" s="36">
        <f t="shared" si="24"/>
        <v>0</v>
      </c>
      <c r="V36" s="36">
        <f t="shared" si="25"/>
        <v>0</v>
      </c>
      <c r="W36" s="36">
        <f t="shared" si="26"/>
        <v>0</v>
      </c>
      <c r="X36" s="27">
        <f t="shared" si="13"/>
        <v>0</v>
      </c>
      <c r="AB36" s="38">
        <f t="shared" si="1"/>
        <v>-17135.499999999942</v>
      </c>
      <c r="AE36" s="38">
        <f>E23</f>
        <v>-713.97916666666424</v>
      </c>
      <c r="AF36" s="38">
        <f>P23</f>
        <v>0</v>
      </c>
      <c r="AI36" s="25">
        <f>T23</f>
        <v>0</v>
      </c>
      <c r="AJ36" s="25">
        <f>X23</f>
        <v>0</v>
      </c>
    </row>
    <row r="37" spans="1:36" ht="12.75" x14ac:dyDescent="0.2">
      <c r="A37" s="26"/>
      <c r="B37" s="214">
        <v>42923</v>
      </c>
      <c r="C37" s="215">
        <v>0.45833333333333298</v>
      </c>
      <c r="D37" s="216">
        <f t="shared" si="33"/>
        <v>-16751.499999999942</v>
      </c>
      <c r="E37" s="198">
        <f t="shared" si="34"/>
        <v>-697.97916666666424</v>
      </c>
      <c r="F37" s="216">
        <f t="shared" si="35"/>
        <v>1</v>
      </c>
      <c r="G37" s="217">
        <v>0</v>
      </c>
      <c r="H37" s="217">
        <v>0</v>
      </c>
      <c r="I37" s="217">
        <v>0</v>
      </c>
      <c r="J37" s="184"/>
      <c r="K37" s="217">
        <v>0</v>
      </c>
      <c r="L37" s="94"/>
      <c r="M37" s="85">
        <f t="shared" si="36"/>
        <v>0</v>
      </c>
      <c r="N37" s="36">
        <f t="shared" si="37"/>
        <v>0</v>
      </c>
      <c r="O37" s="36">
        <f t="shared" si="38"/>
        <v>0</v>
      </c>
      <c r="P37" s="27">
        <f t="shared" si="14"/>
        <v>0</v>
      </c>
      <c r="Q37" s="36">
        <f t="shared" si="21"/>
        <v>0</v>
      </c>
      <c r="R37" s="36">
        <f t="shared" si="22"/>
        <v>0</v>
      </c>
      <c r="S37" s="36">
        <f t="shared" si="23"/>
        <v>0</v>
      </c>
      <c r="T37" s="27">
        <f t="shared" si="15"/>
        <v>0</v>
      </c>
      <c r="U37" s="36">
        <f t="shared" si="24"/>
        <v>0</v>
      </c>
      <c r="V37" s="36">
        <f t="shared" si="25"/>
        <v>0</v>
      </c>
      <c r="W37" s="36">
        <f t="shared" si="26"/>
        <v>0</v>
      </c>
      <c r="X37" s="27">
        <f t="shared" si="13"/>
        <v>0</v>
      </c>
      <c r="AB37" s="38">
        <f t="shared" si="1"/>
        <v>-17135.499999999942</v>
      </c>
      <c r="AE37" s="38">
        <f>E23</f>
        <v>-713.97916666666424</v>
      </c>
      <c r="AF37" s="38">
        <f>P24</f>
        <v>0</v>
      </c>
      <c r="AI37" s="25">
        <f>T24</f>
        <v>0</v>
      </c>
      <c r="AJ37" s="25">
        <f>X24</f>
        <v>0</v>
      </c>
    </row>
    <row r="38" spans="1:36" ht="12.75" x14ac:dyDescent="0.2">
      <c r="B38" s="214">
        <v>42925</v>
      </c>
      <c r="C38" s="215">
        <v>0.45833333333333298</v>
      </c>
      <c r="D38" s="216">
        <f t="shared" si="33"/>
        <v>-16703.499999999942</v>
      </c>
      <c r="E38" s="198">
        <f t="shared" si="34"/>
        <v>-695.97916666666424</v>
      </c>
      <c r="F38" s="216">
        <f t="shared" si="35"/>
        <v>2</v>
      </c>
      <c r="G38" s="217">
        <v>0</v>
      </c>
      <c r="H38" s="217">
        <v>0</v>
      </c>
      <c r="I38" s="217">
        <v>0</v>
      </c>
      <c r="J38" s="184"/>
      <c r="K38" s="217">
        <v>0</v>
      </c>
      <c r="L38" s="94"/>
      <c r="M38" s="85">
        <f t="shared" si="36"/>
        <v>0</v>
      </c>
      <c r="N38" s="36">
        <f t="shared" si="37"/>
        <v>0</v>
      </c>
      <c r="O38" s="36">
        <f t="shared" si="38"/>
        <v>0</v>
      </c>
      <c r="P38" s="27">
        <f t="shared" si="14"/>
        <v>0</v>
      </c>
      <c r="Q38" s="36">
        <f t="shared" si="21"/>
        <v>0</v>
      </c>
      <c r="R38" s="36">
        <f t="shared" si="22"/>
        <v>0</v>
      </c>
      <c r="S38" s="36">
        <f t="shared" si="23"/>
        <v>0</v>
      </c>
      <c r="T38" s="27">
        <f t="shared" si="15"/>
        <v>0</v>
      </c>
      <c r="U38" s="36">
        <f t="shared" si="24"/>
        <v>0</v>
      </c>
      <c r="V38" s="36">
        <f t="shared" si="25"/>
        <v>0</v>
      </c>
      <c r="W38" s="36">
        <f t="shared" si="26"/>
        <v>0</v>
      </c>
      <c r="X38" s="27">
        <f t="shared" si="13"/>
        <v>0</v>
      </c>
      <c r="AB38" s="38">
        <f t="shared" si="1"/>
        <v>-17111.499999999942</v>
      </c>
      <c r="AE38" s="38">
        <f>E24</f>
        <v>-712.97916666666424</v>
      </c>
      <c r="AF38" s="38">
        <f>P24</f>
        <v>0</v>
      </c>
      <c r="AI38" s="25">
        <f>T24</f>
        <v>0</v>
      </c>
      <c r="AJ38" s="25">
        <f>X24</f>
        <v>0</v>
      </c>
    </row>
    <row r="39" spans="1:36" ht="12.75" x14ac:dyDescent="0.2">
      <c r="B39" s="214">
        <v>42926</v>
      </c>
      <c r="C39" s="215">
        <v>0.375</v>
      </c>
      <c r="D39" s="216">
        <f t="shared" si="33"/>
        <v>-16681.5</v>
      </c>
      <c r="E39" s="198">
        <f t="shared" si="34"/>
        <v>-695.0625</v>
      </c>
      <c r="F39" s="216">
        <f t="shared" si="35"/>
        <v>0.91666666666424135</v>
      </c>
      <c r="G39" s="217">
        <v>0</v>
      </c>
      <c r="H39" s="217">
        <v>0</v>
      </c>
      <c r="I39" s="217">
        <v>0</v>
      </c>
      <c r="J39" s="184"/>
      <c r="K39" s="217">
        <v>0</v>
      </c>
      <c r="L39" s="94"/>
      <c r="M39" s="85">
        <f t="shared" si="36"/>
        <v>0</v>
      </c>
      <c r="N39" s="36">
        <f t="shared" si="37"/>
        <v>0</v>
      </c>
      <c r="O39" s="36">
        <f t="shared" si="38"/>
        <v>0</v>
      </c>
      <c r="P39" s="27">
        <f t="shared" si="14"/>
        <v>0</v>
      </c>
      <c r="Q39" s="36">
        <f t="shared" si="21"/>
        <v>0</v>
      </c>
      <c r="R39" s="36">
        <f t="shared" si="22"/>
        <v>0</v>
      </c>
      <c r="S39" s="36">
        <f t="shared" si="23"/>
        <v>0</v>
      </c>
      <c r="T39" s="27">
        <f t="shared" si="15"/>
        <v>0</v>
      </c>
      <c r="U39" s="36">
        <f t="shared" si="24"/>
        <v>0</v>
      </c>
      <c r="V39" s="36">
        <f t="shared" si="25"/>
        <v>0</v>
      </c>
      <c r="W39" s="36">
        <f t="shared" si="26"/>
        <v>0</v>
      </c>
      <c r="X39" s="27">
        <f t="shared" si="13"/>
        <v>0</v>
      </c>
      <c r="AB39" s="38">
        <f t="shared" si="1"/>
        <v>-17111.499999999942</v>
      </c>
      <c r="AE39" s="38">
        <f>E24</f>
        <v>-712.97916666666424</v>
      </c>
      <c r="AF39" s="38">
        <f>P25</f>
        <v>0</v>
      </c>
      <c r="AI39" s="25">
        <f>T25</f>
        <v>0</v>
      </c>
      <c r="AJ39" s="25">
        <f>X25</f>
        <v>0</v>
      </c>
    </row>
    <row r="40" spans="1:36" ht="12.75" x14ac:dyDescent="0.2">
      <c r="B40" s="214">
        <v>42928</v>
      </c>
      <c r="C40" s="215">
        <v>0.45833333333333298</v>
      </c>
      <c r="D40" s="216">
        <f t="shared" si="33"/>
        <v>-16631.499999999942</v>
      </c>
      <c r="E40" s="198">
        <f t="shared" si="34"/>
        <v>-692.97916666666424</v>
      </c>
      <c r="F40" s="216">
        <f t="shared" si="35"/>
        <v>2.0833333333357587</v>
      </c>
      <c r="G40" s="217">
        <v>0</v>
      </c>
      <c r="H40" s="217">
        <v>0</v>
      </c>
      <c r="I40" s="217">
        <v>0</v>
      </c>
      <c r="J40" s="184"/>
      <c r="K40" s="217">
        <v>0</v>
      </c>
      <c r="L40" s="94"/>
      <c r="M40" s="85">
        <f t="shared" si="36"/>
        <v>0</v>
      </c>
      <c r="N40" s="36">
        <f t="shared" si="37"/>
        <v>0</v>
      </c>
      <c r="O40" s="36">
        <f t="shared" si="38"/>
        <v>0</v>
      </c>
      <c r="P40" s="27">
        <f t="shared" si="14"/>
        <v>0</v>
      </c>
      <c r="Q40" s="36">
        <f>G40+I39-G39</f>
        <v>0</v>
      </c>
      <c r="R40" s="36">
        <f>Q40+R39</f>
        <v>0</v>
      </c>
      <c r="S40" s="36">
        <f>Q40/F40</f>
        <v>0</v>
      </c>
      <c r="T40" s="27">
        <f t="shared" si="15"/>
        <v>0</v>
      </c>
      <c r="U40" s="36">
        <f>H40+K39-H39</f>
        <v>0</v>
      </c>
      <c r="V40" s="36">
        <f>U40+V39</f>
        <v>0</v>
      </c>
      <c r="W40" s="36">
        <f>U40/F40</f>
        <v>0</v>
      </c>
      <c r="X40" s="27">
        <f t="shared" si="13"/>
        <v>0</v>
      </c>
      <c r="AB40" s="38">
        <f t="shared" si="1"/>
        <v>-17087.499999999942</v>
      </c>
      <c r="AE40" s="38">
        <f>E25</f>
        <v>-711.97916666666424</v>
      </c>
      <c r="AF40" s="38">
        <f>P25</f>
        <v>0</v>
      </c>
      <c r="AI40" s="25">
        <f>T25</f>
        <v>0</v>
      </c>
      <c r="AJ40" s="25">
        <f>X25</f>
        <v>0</v>
      </c>
    </row>
    <row r="41" spans="1:36" ht="12.75" x14ac:dyDescent="0.2">
      <c r="B41" s="214">
        <v>42929</v>
      </c>
      <c r="C41" s="215">
        <v>0.75</v>
      </c>
      <c r="D41" s="216">
        <f t="shared" si="33"/>
        <v>-16600.5</v>
      </c>
      <c r="E41" s="198">
        <f t="shared" si="34"/>
        <v>-691.6875</v>
      </c>
      <c r="F41" s="216">
        <f t="shared" si="35"/>
        <v>1.2916666666642413</v>
      </c>
      <c r="G41" s="217">
        <v>0</v>
      </c>
      <c r="H41" s="217">
        <v>0</v>
      </c>
      <c r="I41" s="217">
        <v>0</v>
      </c>
      <c r="J41" s="184"/>
      <c r="K41" s="217">
        <v>0</v>
      </c>
      <c r="L41" s="94"/>
      <c r="M41" s="85">
        <f t="shared" si="36"/>
        <v>0</v>
      </c>
      <c r="N41" s="36">
        <f t="shared" si="37"/>
        <v>0</v>
      </c>
      <c r="O41" s="36">
        <f t="shared" si="38"/>
        <v>0</v>
      </c>
      <c r="P41" s="27">
        <f t="shared" si="14"/>
        <v>0</v>
      </c>
      <c r="Q41" s="36">
        <f>G41+I40-G40</f>
        <v>0</v>
      </c>
      <c r="R41" s="36">
        <f>Q41+R40</f>
        <v>0</v>
      </c>
      <c r="S41" s="36">
        <f>Q41/F41</f>
        <v>0</v>
      </c>
      <c r="T41" s="27">
        <f t="shared" si="15"/>
        <v>0</v>
      </c>
      <c r="U41" s="36">
        <f>H41+K40-H40</f>
        <v>0</v>
      </c>
      <c r="V41" s="36">
        <f>U41+V40</f>
        <v>0</v>
      </c>
      <c r="W41" s="36">
        <f>U41/F41</f>
        <v>0</v>
      </c>
      <c r="X41" s="27">
        <f t="shared" si="13"/>
        <v>0</v>
      </c>
      <c r="AB41" s="38">
        <f t="shared" si="1"/>
        <v>-17087.499999999942</v>
      </c>
      <c r="AE41" s="38">
        <f>E25</f>
        <v>-711.97916666666424</v>
      </c>
      <c r="AF41" s="38">
        <f>P26</f>
        <v>0</v>
      </c>
      <c r="AI41" s="25">
        <f>T26</f>
        <v>0</v>
      </c>
      <c r="AJ41" s="25">
        <f>X26</f>
        <v>0</v>
      </c>
    </row>
    <row r="42" spans="1:36" ht="12.75" x14ac:dyDescent="0.2">
      <c r="B42" s="214">
        <v>42933</v>
      </c>
      <c r="C42" s="215">
        <v>0.45833333333333298</v>
      </c>
      <c r="D42" s="216">
        <f t="shared" si="33"/>
        <v>-16511.499999999942</v>
      </c>
      <c r="E42" s="198">
        <f t="shared" si="34"/>
        <v>-687.97916666666424</v>
      </c>
      <c r="F42" s="216">
        <f t="shared" si="35"/>
        <v>3.7083333333357587</v>
      </c>
      <c r="G42" s="217">
        <v>0</v>
      </c>
      <c r="H42" s="217">
        <v>0</v>
      </c>
      <c r="I42" s="217">
        <v>0</v>
      </c>
      <c r="J42" s="184"/>
      <c r="K42" s="217">
        <v>0</v>
      </c>
      <c r="L42" s="94"/>
      <c r="M42" s="85">
        <f t="shared" si="36"/>
        <v>0</v>
      </c>
      <c r="N42" s="36">
        <f t="shared" si="37"/>
        <v>0</v>
      </c>
      <c r="O42" s="36">
        <f t="shared" si="38"/>
        <v>0</v>
      </c>
      <c r="P42" s="27">
        <f t="shared" si="14"/>
        <v>0</v>
      </c>
      <c r="Q42" s="36">
        <f>G42+I41-G41</f>
        <v>0</v>
      </c>
      <c r="R42" s="36">
        <f>Q42+R41</f>
        <v>0</v>
      </c>
      <c r="S42" s="36">
        <f>Q42/F42</f>
        <v>0</v>
      </c>
      <c r="T42" s="27">
        <f t="shared" si="15"/>
        <v>0</v>
      </c>
      <c r="U42" s="36">
        <f>H42+K41-H41</f>
        <v>0</v>
      </c>
      <c r="V42" s="36">
        <f>U42+V41</f>
        <v>0</v>
      </c>
      <c r="W42" s="36">
        <f>U42/F42</f>
        <v>0</v>
      </c>
      <c r="X42" s="27">
        <f t="shared" si="13"/>
        <v>0</v>
      </c>
      <c r="AB42" s="38">
        <f t="shared" si="1"/>
        <v>-17063.499999999942</v>
      </c>
      <c r="AE42" s="38">
        <f>E26</f>
        <v>-710.97916666666424</v>
      </c>
      <c r="AF42" s="38">
        <f>P26</f>
        <v>0</v>
      </c>
      <c r="AI42" s="25">
        <f>T26</f>
        <v>0</v>
      </c>
      <c r="AJ42" s="25">
        <f>X26</f>
        <v>0</v>
      </c>
    </row>
    <row r="43" spans="1:36" ht="12.75" x14ac:dyDescent="0.2">
      <c r="B43" s="214">
        <v>41564</v>
      </c>
      <c r="C43" s="215">
        <v>0.45833333333333298</v>
      </c>
      <c r="D43" s="216">
        <f t="shared" ref="D43:D62" si="39">(B43+C43-(Inoculo_Fecha+Inoculo_Hora))*24</f>
        <v>-49367.499999999942</v>
      </c>
      <c r="E43" s="198">
        <f t="shared" ref="E43:E62" si="40">D43/24</f>
        <v>-2056.9791666666642</v>
      </c>
      <c r="F43" s="216">
        <f t="shared" ref="F43:F62" si="41">E43-E42</f>
        <v>-1369</v>
      </c>
      <c r="G43" s="217">
        <v>0</v>
      </c>
      <c r="H43" s="217">
        <v>0</v>
      </c>
      <c r="I43" s="217">
        <v>0</v>
      </c>
      <c r="J43" s="184"/>
      <c r="K43" s="217">
        <v>0</v>
      </c>
      <c r="L43" s="184"/>
      <c r="M43" s="85">
        <f t="shared" ref="M43:M62" si="42">G43+H43+I42+K42-G42-H42</f>
        <v>0</v>
      </c>
      <c r="N43" s="36">
        <f t="shared" ref="N43:N62" si="43">M43+N42</f>
        <v>0</v>
      </c>
      <c r="O43" s="36">
        <f t="shared" ref="O43:O62" si="44">M43/F43</f>
        <v>0</v>
      </c>
      <c r="P43" s="27">
        <f t="shared" si="14"/>
        <v>0</v>
      </c>
      <c r="Q43" s="36">
        <f t="shared" ref="Q43:Q62" si="45">G43+I42-G42</f>
        <v>0</v>
      </c>
      <c r="R43" s="36">
        <f t="shared" ref="R43:R62" si="46">Q43+R42</f>
        <v>0</v>
      </c>
      <c r="S43" s="36">
        <f t="shared" ref="S43:S62" si="47">Q43/F43</f>
        <v>0</v>
      </c>
      <c r="T43" s="27">
        <f t="shared" si="15"/>
        <v>0</v>
      </c>
      <c r="U43" s="36">
        <f t="shared" ref="U43:U62" si="48">H43+K42-H42</f>
        <v>0</v>
      </c>
      <c r="V43" s="36">
        <f t="shared" ref="V43:V62" si="49">U43+V42</f>
        <v>0</v>
      </c>
      <c r="W43" s="36">
        <f t="shared" ref="W43:W62" si="50">U43/F43</f>
        <v>0</v>
      </c>
      <c r="X43" s="27">
        <f t="shared" si="13"/>
        <v>0</v>
      </c>
      <c r="AB43" s="38">
        <f t="shared" si="1"/>
        <v>-17063.499999999942</v>
      </c>
      <c r="AE43" s="38">
        <f>E26</f>
        <v>-710.97916666666424</v>
      </c>
      <c r="AF43" s="38">
        <f>P27</f>
        <v>0</v>
      </c>
      <c r="AI43" s="25">
        <f>T27</f>
        <v>0</v>
      </c>
      <c r="AJ43" s="25">
        <f>X27</f>
        <v>0</v>
      </c>
    </row>
    <row r="44" spans="1:36" ht="12.75" x14ac:dyDescent="0.2">
      <c r="B44" s="214">
        <v>41565</v>
      </c>
      <c r="C44" s="215">
        <v>0.45833333333333298</v>
      </c>
      <c r="D44" s="216">
        <f t="shared" si="39"/>
        <v>-49343.499999999942</v>
      </c>
      <c r="E44" s="198">
        <f t="shared" si="40"/>
        <v>-2055.9791666666642</v>
      </c>
      <c r="F44" s="216">
        <f t="shared" si="41"/>
        <v>1</v>
      </c>
      <c r="G44" s="217">
        <v>0</v>
      </c>
      <c r="H44" s="217">
        <v>0</v>
      </c>
      <c r="I44" s="217">
        <v>0</v>
      </c>
      <c r="J44" s="184"/>
      <c r="K44" s="217">
        <v>0</v>
      </c>
      <c r="L44" s="184"/>
      <c r="M44" s="85">
        <f t="shared" si="42"/>
        <v>0</v>
      </c>
      <c r="N44" s="36">
        <f t="shared" si="43"/>
        <v>0</v>
      </c>
      <c r="O44" s="36">
        <f t="shared" si="44"/>
        <v>0</v>
      </c>
      <c r="P44" s="27">
        <f t="shared" si="14"/>
        <v>0</v>
      </c>
      <c r="Q44" s="36">
        <f t="shared" si="45"/>
        <v>0</v>
      </c>
      <c r="R44" s="36">
        <f t="shared" si="46"/>
        <v>0</v>
      </c>
      <c r="S44" s="36">
        <f t="shared" si="47"/>
        <v>0</v>
      </c>
      <c r="T44" s="27">
        <f t="shared" si="15"/>
        <v>0</v>
      </c>
      <c r="U44" s="36">
        <f t="shared" si="48"/>
        <v>0</v>
      </c>
      <c r="V44" s="36">
        <f t="shared" si="49"/>
        <v>0</v>
      </c>
      <c r="W44" s="36">
        <f t="shared" si="50"/>
        <v>0</v>
      </c>
      <c r="X44" s="27">
        <f t="shared" si="13"/>
        <v>0</v>
      </c>
      <c r="AB44" s="38">
        <f t="shared" si="1"/>
        <v>-17015.499999999942</v>
      </c>
      <c r="AE44" s="38">
        <f>E27</f>
        <v>-708.97916666666424</v>
      </c>
      <c r="AF44" s="38">
        <f>P27</f>
        <v>0</v>
      </c>
      <c r="AI44" s="25">
        <f>T27</f>
        <v>0</v>
      </c>
      <c r="AJ44" s="25">
        <f>X27</f>
        <v>0</v>
      </c>
    </row>
    <row r="45" spans="1:36" ht="12.75" x14ac:dyDescent="0.2">
      <c r="B45" s="214">
        <v>41566</v>
      </c>
      <c r="C45" s="215">
        <v>0.45833333333333298</v>
      </c>
      <c r="D45" s="216">
        <f t="shared" si="39"/>
        <v>-49319.499999999942</v>
      </c>
      <c r="E45" s="198">
        <f t="shared" si="40"/>
        <v>-2054.9791666666642</v>
      </c>
      <c r="F45" s="216">
        <f t="shared" si="41"/>
        <v>1</v>
      </c>
      <c r="G45" s="217">
        <v>0</v>
      </c>
      <c r="H45" s="217">
        <v>0</v>
      </c>
      <c r="I45" s="217">
        <v>0</v>
      </c>
      <c r="J45" s="184"/>
      <c r="K45" s="217">
        <v>0</v>
      </c>
      <c r="L45" s="184"/>
      <c r="M45" s="85">
        <f t="shared" si="42"/>
        <v>0</v>
      </c>
      <c r="N45" s="36">
        <f t="shared" si="43"/>
        <v>0</v>
      </c>
      <c r="O45" s="36">
        <f t="shared" si="44"/>
        <v>0</v>
      </c>
      <c r="P45" s="27">
        <f t="shared" si="14"/>
        <v>0</v>
      </c>
      <c r="Q45" s="36">
        <f t="shared" si="45"/>
        <v>0</v>
      </c>
      <c r="R45" s="36">
        <f t="shared" si="46"/>
        <v>0</v>
      </c>
      <c r="S45" s="36">
        <f t="shared" si="47"/>
        <v>0</v>
      </c>
      <c r="T45" s="27">
        <f t="shared" si="15"/>
        <v>0</v>
      </c>
      <c r="U45" s="36">
        <f t="shared" si="48"/>
        <v>0</v>
      </c>
      <c r="V45" s="36">
        <f t="shared" si="49"/>
        <v>0</v>
      </c>
      <c r="W45" s="36">
        <f t="shared" si="50"/>
        <v>0</v>
      </c>
      <c r="X45" s="27">
        <f t="shared" si="13"/>
        <v>0</v>
      </c>
      <c r="AB45" s="38">
        <f t="shared" si="1"/>
        <v>-17015.499999999942</v>
      </c>
      <c r="AE45" s="38">
        <f>E27</f>
        <v>-708.97916666666424</v>
      </c>
      <c r="AF45" s="38">
        <f>P28</f>
        <v>0</v>
      </c>
      <c r="AI45" s="25">
        <f>T28</f>
        <v>0</v>
      </c>
      <c r="AJ45" s="25">
        <f>X28</f>
        <v>0</v>
      </c>
    </row>
    <row r="46" spans="1:36" ht="12.75" x14ac:dyDescent="0.2">
      <c r="B46" s="214">
        <v>41567</v>
      </c>
      <c r="C46" s="215">
        <v>0.45833333333333298</v>
      </c>
      <c r="D46" s="216">
        <f t="shared" si="39"/>
        <v>-49295.499999999942</v>
      </c>
      <c r="E46" s="198">
        <f t="shared" si="40"/>
        <v>-2053.9791666666642</v>
      </c>
      <c r="F46" s="216">
        <f t="shared" si="41"/>
        <v>1</v>
      </c>
      <c r="G46" s="217">
        <v>0</v>
      </c>
      <c r="H46" s="217">
        <v>0</v>
      </c>
      <c r="I46" s="217">
        <v>0</v>
      </c>
      <c r="J46" s="184"/>
      <c r="K46" s="217">
        <v>0</v>
      </c>
      <c r="L46" s="184"/>
      <c r="M46" s="85">
        <f t="shared" si="42"/>
        <v>0</v>
      </c>
      <c r="N46" s="36">
        <f t="shared" si="43"/>
        <v>0</v>
      </c>
      <c r="O46" s="36">
        <f t="shared" si="44"/>
        <v>0</v>
      </c>
      <c r="P46" s="27">
        <f t="shared" si="14"/>
        <v>0</v>
      </c>
      <c r="Q46" s="36">
        <f t="shared" si="45"/>
        <v>0</v>
      </c>
      <c r="R46" s="36">
        <f t="shared" si="46"/>
        <v>0</v>
      </c>
      <c r="S46" s="36">
        <f t="shared" si="47"/>
        <v>0</v>
      </c>
      <c r="T46" s="27">
        <f t="shared" si="15"/>
        <v>0</v>
      </c>
      <c r="U46" s="36">
        <f t="shared" si="48"/>
        <v>0</v>
      </c>
      <c r="V46" s="36">
        <f t="shared" si="49"/>
        <v>0</v>
      </c>
      <c r="W46" s="36">
        <f t="shared" si="50"/>
        <v>0</v>
      </c>
      <c r="X46" s="27">
        <f t="shared" si="13"/>
        <v>0</v>
      </c>
      <c r="AB46" s="38">
        <f t="shared" si="1"/>
        <v>-16991.499999999942</v>
      </c>
      <c r="AE46" s="38">
        <f>E28</f>
        <v>-707.97916666666424</v>
      </c>
      <c r="AF46" s="38">
        <f>P28</f>
        <v>0</v>
      </c>
      <c r="AI46" s="25">
        <f>T28</f>
        <v>0</v>
      </c>
      <c r="AJ46" s="25">
        <f>X28</f>
        <v>0</v>
      </c>
    </row>
    <row r="47" spans="1:36" ht="12.75" x14ac:dyDescent="0.2">
      <c r="B47" s="214">
        <v>41568</v>
      </c>
      <c r="C47" s="215">
        <v>0.45833333333333298</v>
      </c>
      <c r="D47" s="216">
        <f t="shared" si="39"/>
        <v>-49271.499999999942</v>
      </c>
      <c r="E47" s="198">
        <f t="shared" si="40"/>
        <v>-2052.9791666666642</v>
      </c>
      <c r="F47" s="216">
        <f t="shared" si="41"/>
        <v>1</v>
      </c>
      <c r="G47" s="217">
        <v>0</v>
      </c>
      <c r="H47" s="217">
        <v>0</v>
      </c>
      <c r="I47" s="217">
        <v>0</v>
      </c>
      <c r="J47" s="184"/>
      <c r="K47" s="217">
        <v>0</v>
      </c>
      <c r="L47" s="184"/>
      <c r="M47" s="85">
        <f t="shared" si="42"/>
        <v>0</v>
      </c>
      <c r="N47" s="36">
        <f t="shared" si="43"/>
        <v>0</v>
      </c>
      <c r="O47" s="36">
        <f t="shared" si="44"/>
        <v>0</v>
      </c>
      <c r="P47" s="27">
        <f t="shared" si="14"/>
        <v>0</v>
      </c>
      <c r="Q47" s="36">
        <f t="shared" si="45"/>
        <v>0</v>
      </c>
      <c r="R47" s="36">
        <f t="shared" si="46"/>
        <v>0</v>
      </c>
      <c r="S47" s="36">
        <f t="shared" si="47"/>
        <v>0</v>
      </c>
      <c r="T47" s="27">
        <f t="shared" si="15"/>
        <v>0</v>
      </c>
      <c r="U47" s="36">
        <f t="shared" si="48"/>
        <v>0</v>
      </c>
      <c r="V47" s="36">
        <f t="shared" si="49"/>
        <v>0</v>
      </c>
      <c r="W47" s="36">
        <f t="shared" si="50"/>
        <v>0</v>
      </c>
      <c r="X47" s="27">
        <f t="shared" si="13"/>
        <v>0</v>
      </c>
      <c r="AB47" s="38">
        <f t="shared" si="1"/>
        <v>-16991.499999999942</v>
      </c>
      <c r="AE47" s="38">
        <f>E28</f>
        <v>-707.97916666666424</v>
      </c>
      <c r="AF47" s="38">
        <f>P29</f>
        <v>0</v>
      </c>
      <c r="AI47" s="25">
        <f>T29</f>
        <v>0</v>
      </c>
      <c r="AJ47" s="25">
        <f>X29</f>
        <v>0</v>
      </c>
    </row>
    <row r="48" spans="1:36" ht="12.75" x14ac:dyDescent="0.2">
      <c r="B48" s="214">
        <v>41569</v>
      </c>
      <c r="C48" s="215">
        <v>0.45833333333333298</v>
      </c>
      <c r="D48" s="216">
        <f t="shared" si="39"/>
        <v>-49247.499999999942</v>
      </c>
      <c r="E48" s="198">
        <f t="shared" si="40"/>
        <v>-2051.9791666666642</v>
      </c>
      <c r="F48" s="216">
        <f t="shared" si="41"/>
        <v>1</v>
      </c>
      <c r="G48" s="217">
        <v>0</v>
      </c>
      <c r="H48" s="217">
        <v>0</v>
      </c>
      <c r="I48" s="217">
        <v>0</v>
      </c>
      <c r="J48" s="184"/>
      <c r="K48" s="217">
        <v>0</v>
      </c>
      <c r="L48" s="184"/>
      <c r="M48" s="85">
        <f t="shared" si="42"/>
        <v>0</v>
      </c>
      <c r="N48" s="36">
        <f t="shared" si="43"/>
        <v>0</v>
      </c>
      <c r="O48" s="36">
        <f t="shared" si="44"/>
        <v>0</v>
      </c>
      <c r="P48" s="27">
        <f t="shared" si="14"/>
        <v>0</v>
      </c>
      <c r="Q48" s="36">
        <f t="shared" si="45"/>
        <v>0</v>
      </c>
      <c r="R48" s="36">
        <f t="shared" si="46"/>
        <v>0</v>
      </c>
      <c r="S48" s="36">
        <f t="shared" si="47"/>
        <v>0</v>
      </c>
      <c r="T48" s="27">
        <f t="shared" si="15"/>
        <v>0</v>
      </c>
      <c r="U48" s="36">
        <f t="shared" si="48"/>
        <v>0</v>
      </c>
      <c r="V48" s="36">
        <f t="shared" si="49"/>
        <v>0</v>
      </c>
      <c r="W48" s="36">
        <f t="shared" si="50"/>
        <v>0</v>
      </c>
      <c r="X48" s="27">
        <f t="shared" si="13"/>
        <v>0</v>
      </c>
      <c r="AB48" s="38">
        <f t="shared" si="1"/>
        <v>-16943.499999999942</v>
      </c>
      <c r="AE48" s="38">
        <f>E29</f>
        <v>-705.97916666666424</v>
      </c>
      <c r="AF48" s="38">
        <f>P29</f>
        <v>0</v>
      </c>
      <c r="AI48" s="25">
        <f>T29</f>
        <v>0</v>
      </c>
      <c r="AJ48" s="25">
        <f>X29</f>
        <v>0</v>
      </c>
    </row>
    <row r="49" spans="2:36" ht="12.75" x14ac:dyDescent="0.2">
      <c r="B49" s="214">
        <v>41570</v>
      </c>
      <c r="C49" s="215">
        <v>0.45833333333333298</v>
      </c>
      <c r="D49" s="216">
        <f t="shared" si="39"/>
        <v>-49223.499999999942</v>
      </c>
      <c r="E49" s="198">
        <f t="shared" si="40"/>
        <v>-2050.9791666666642</v>
      </c>
      <c r="F49" s="216">
        <f t="shared" si="41"/>
        <v>1</v>
      </c>
      <c r="G49" s="217">
        <v>0</v>
      </c>
      <c r="H49" s="217">
        <v>0</v>
      </c>
      <c r="I49" s="217">
        <v>0</v>
      </c>
      <c r="J49" s="184"/>
      <c r="K49" s="217">
        <v>0</v>
      </c>
      <c r="L49" s="184"/>
      <c r="M49" s="85">
        <f t="shared" si="42"/>
        <v>0</v>
      </c>
      <c r="N49" s="36">
        <f t="shared" si="43"/>
        <v>0</v>
      </c>
      <c r="O49" s="36">
        <f t="shared" si="44"/>
        <v>0</v>
      </c>
      <c r="P49" s="27">
        <f t="shared" si="14"/>
        <v>0</v>
      </c>
      <c r="Q49" s="36">
        <f t="shared" si="45"/>
        <v>0</v>
      </c>
      <c r="R49" s="36">
        <f t="shared" si="46"/>
        <v>0</v>
      </c>
      <c r="S49" s="36">
        <f t="shared" si="47"/>
        <v>0</v>
      </c>
      <c r="T49" s="27">
        <f t="shared" si="15"/>
        <v>0</v>
      </c>
      <c r="U49" s="36">
        <f t="shared" si="48"/>
        <v>0</v>
      </c>
      <c r="V49" s="36">
        <f t="shared" si="49"/>
        <v>0</v>
      </c>
      <c r="W49" s="36">
        <f t="shared" si="50"/>
        <v>0</v>
      </c>
      <c r="X49" s="27">
        <f t="shared" si="13"/>
        <v>0</v>
      </c>
      <c r="AB49" s="38">
        <f t="shared" si="1"/>
        <v>-16943.499999999942</v>
      </c>
      <c r="AE49" s="38">
        <f>E29</f>
        <v>-705.97916666666424</v>
      </c>
      <c r="AF49" s="38">
        <f>P30</f>
        <v>0</v>
      </c>
      <c r="AI49" s="25">
        <f>T30</f>
        <v>0</v>
      </c>
      <c r="AJ49" s="25">
        <f>X30</f>
        <v>0</v>
      </c>
    </row>
    <row r="50" spans="2:36" ht="12.75" x14ac:dyDescent="0.2">
      <c r="B50" s="214">
        <v>41571</v>
      </c>
      <c r="C50" s="215">
        <v>0.45833333333333298</v>
      </c>
      <c r="D50" s="216">
        <f t="shared" si="39"/>
        <v>-49199.499999999942</v>
      </c>
      <c r="E50" s="198">
        <f t="shared" si="40"/>
        <v>-2049.9791666666642</v>
      </c>
      <c r="F50" s="216">
        <f t="shared" si="41"/>
        <v>1</v>
      </c>
      <c r="G50" s="217">
        <v>0</v>
      </c>
      <c r="H50" s="217">
        <v>0</v>
      </c>
      <c r="I50" s="217">
        <v>0</v>
      </c>
      <c r="J50" s="184"/>
      <c r="K50" s="217">
        <v>0</v>
      </c>
      <c r="L50" s="184"/>
      <c r="M50" s="85">
        <f t="shared" si="42"/>
        <v>0</v>
      </c>
      <c r="N50" s="36">
        <f t="shared" si="43"/>
        <v>0</v>
      </c>
      <c r="O50" s="36">
        <f t="shared" si="44"/>
        <v>0</v>
      </c>
      <c r="P50" s="27">
        <f t="shared" si="14"/>
        <v>0</v>
      </c>
      <c r="Q50" s="36">
        <f t="shared" si="45"/>
        <v>0</v>
      </c>
      <c r="R50" s="36">
        <f t="shared" si="46"/>
        <v>0</v>
      </c>
      <c r="S50" s="36">
        <f t="shared" si="47"/>
        <v>0</v>
      </c>
      <c r="T50" s="27">
        <f t="shared" si="15"/>
        <v>0</v>
      </c>
      <c r="U50" s="36">
        <f t="shared" si="48"/>
        <v>0</v>
      </c>
      <c r="V50" s="36">
        <f t="shared" si="49"/>
        <v>0</v>
      </c>
      <c r="W50" s="36">
        <f t="shared" si="50"/>
        <v>0</v>
      </c>
      <c r="X50" s="27">
        <f t="shared" si="13"/>
        <v>0</v>
      </c>
      <c r="AB50" s="38">
        <f t="shared" si="1"/>
        <v>-16919.499999999942</v>
      </c>
      <c r="AE50" s="38">
        <f>E30</f>
        <v>-704.97916666666424</v>
      </c>
      <c r="AF50" s="38">
        <f>P30</f>
        <v>0</v>
      </c>
      <c r="AI50" s="25">
        <f>T30</f>
        <v>0</v>
      </c>
      <c r="AJ50" s="25">
        <f>X30</f>
        <v>0</v>
      </c>
    </row>
    <row r="51" spans="2:36" ht="12.75" x14ac:dyDescent="0.2">
      <c r="B51" s="214">
        <v>41572</v>
      </c>
      <c r="C51" s="215">
        <v>0.45833333333333298</v>
      </c>
      <c r="D51" s="216">
        <f t="shared" si="39"/>
        <v>-49175.499999999942</v>
      </c>
      <c r="E51" s="198">
        <f t="shared" si="40"/>
        <v>-2048.9791666666642</v>
      </c>
      <c r="F51" s="216">
        <f t="shared" si="41"/>
        <v>1</v>
      </c>
      <c r="G51" s="217">
        <v>0</v>
      </c>
      <c r="H51" s="217">
        <v>0</v>
      </c>
      <c r="I51" s="217">
        <v>0</v>
      </c>
      <c r="J51" s="184"/>
      <c r="K51" s="217">
        <v>0</v>
      </c>
      <c r="L51" s="184"/>
      <c r="M51" s="85">
        <f t="shared" si="42"/>
        <v>0</v>
      </c>
      <c r="N51" s="36">
        <f t="shared" si="43"/>
        <v>0</v>
      </c>
      <c r="O51" s="36">
        <f t="shared" si="44"/>
        <v>0</v>
      </c>
      <c r="P51" s="27">
        <f t="shared" si="14"/>
        <v>0</v>
      </c>
      <c r="Q51" s="36">
        <f t="shared" si="45"/>
        <v>0</v>
      </c>
      <c r="R51" s="36">
        <f t="shared" si="46"/>
        <v>0</v>
      </c>
      <c r="S51" s="36">
        <f t="shared" si="47"/>
        <v>0</v>
      </c>
      <c r="T51" s="27">
        <f t="shared" si="15"/>
        <v>0</v>
      </c>
      <c r="U51" s="36">
        <f t="shared" si="48"/>
        <v>0</v>
      </c>
      <c r="V51" s="36">
        <f t="shared" si="49"/>
        <v>0</v>
      </c>
      <c r="W51" s="36">
        <f t="shared" si="50"/>
        <v>0</v>
      </c>
      <c r="X51" s="27">
        <f t="shared" si="13"/>
        <v>0</v>
      </c>
      <c r="AB51" s="38">
        <f t="shared" si="1"/>
        <v>-16919.499999999942</v>
      </c>
      <c r="AE51" s="38">
        <f>E30</f>
        <v>-704.97916666666424</v>
      </c>
      <c r="AF51" s="38">
        <f>P31</f>
        <v>0</v>
      </c>
      <c r="AI51" s="25">
        <f>T31</f>
        <v>0</v>
      </c>
      <c r="AJ51" s="25">
        <f>X31</f>
        <v>0</v>
      </c>
    </row>
    <row r="52" spans="2:36" ht="12.75" x14ac:dyDescent="0.2">
      <c r="B52" s="214">
        <v>41573</v>
      </c>
      <c r="C52" s="215">
        <v>0.45833333333333298</v>
      </c>
      <c r="D52" s="216">
        <f t="shared" si="39"/>
        <v>-49151.499999999942</v>
      </c>
      <c r="E52" s="198">
        <f t="shared" si="40"/>
        <v>-2047.9791666666642</v>
      </c>
      <c r="F52" s="216">
        <f t="shared" si="41"/>
        <v>1</v>
      </c>
      <c r="G52" s="217">
        <v>0</v>
      </c>
      <c r="H52" s="217">
        <v>0</v>
      </c>
      <c r="I52" s="217">
        <v>0</v>
      </c>
      <c r="J52" s="184"/>
      <c r="K52" s="217">
        <v>0</v>
      </c>
      <c r="L52" s="184"/>
      <c r="M52" s="85">
        <f t="shared" si="42"/>
        <v>0</v>
      </c>
      <c r="N52" s="36">
        <f t="shared" si="43"/>
        <v>0</v>
      </c>
      <c r="O52" s="36">
        <f t="shared" si="44"/>
        <v>0</v>
      </c>
      <c r="P52" s="27">
        <f t="shared" si="14"/>
        <v>0</v>
      </c>
      <c r="Q52" s="36">
        <f t="shared" si="45"/>
        <v>0</v>
      </c>
      <c r="R52" s="36">
        <f t="shared" si="46"/>
        <v>0</v>
      </c>
      <c r="S52" s="36">
        <f t="shared" si="47"/>
        <v>0</v>
      </c>
      <c r="T52" s="27">
        <f t="shared" si="15"/>
        <v>0</v>
      </c>
      <c r="U52" s="36">
        <f t="shared" si="48"/>
        <v>0</v>
      </c>
      <c r="V52" s="36">
        <f t="shared" si="49"/>
        <v>0</v>
      </c>
      <c r="W52" s="36">
        <f t="shared" si="50"/>
        <v>0</v>
      </c>
      <c r="X52" s="27">
        <f t="shared" si="13"/>
        <v>0</v>
      </c>
      <c r="AB52" s="38">
        <f t="shared" si="1"/>
        <v>-16895.499999999942</v>
      </c>
      <c r="AE52" s="38">
        <f>E31</f>
        <v>-703.97916666666424</v>
      </c>
      <c r="AF52" s="38">
        <f>P31</f>
        <v>0</v>
      </c>
      <c r="AI52" s="25">
        <f>T31</f>
        <v>0</v>
      </c>
      <c r="AJ52" s="25">
        <f>X31</f>
        <v>0</v>
      </c>
    </row>
    <row r="53" spans="2:36" ht="12.75" x14ac:dyDescent="0.2">
      <c r="B53" s="214">
        <v>41574</v>
      </c>
      <c r="C53" s="215">
        <v>0.45833333333333298</v>
      </c>
      <c r="D53" s="216">
        <f t="shared" si="39"/>
        <v>-49127.499999999942</v>
      </c>
      <c r="E53" s="198">
        <f t="shared" si="40"/>
        <v>-2046.9791666666642</v>
      </c>
      <c r="F53" s="216">
        <f t="shared" si="41"/>
        <v>1</v>
      </c>
      <c r="G53" s="217">
        <v>0</v>
      </c>
      <c r="H53" s="217">
        <v>0</v>
      </c>
      <c r="I53" s="217">
        <v>0</v>
      </c>
      <c r="J53" s="184"/>
      <c r="K53" s="217">
        <v>0</v>
      </c>
      <c r="L53" s="184"/>
      <c r="M53" s="85">
        <f t="shared" si="42"/>
        <v>0</v>
      </c>
      <c r="N53" s="36">
        <f t="shared" si="43"/>
        <v>0</v>
      </c>
      <c r="O53" s="36">
        <f t="shared" si="44"/>
        <v>0</v>
      </c>
      <c r="P53" s="27">
        <f t="shared" si="14"/>
        <v>0</v>
      </c>
      <c r="Q53" s="36">
        <f t="shared" si="45"/>
        <v>0</v>
      </c>
      <c r="R53" s="36">
        <f t="shared" si="46"/>
        <v>0</v>
      </c>
      <c r="S53" s="36">
        <f t="shared" si="47"/>
        <v>0</v>
      </c>
      <c r="T53" s="27">
        <f t="shared" si="15"/>
        <v>0</v>
      </c>
      <c r="U53" s="36">
        <f t="shared" si="48"/>
        <v>0</v>
      </c>
      <c r="V53" s="36">
        <f t="shared" si="49"/>
        <v>0</v>
      </c>
      <c r="W53" s="36">
        <f t="shared" si="50"/>
        <v>0</v>
      </c>
      <c r="X53" s="27">
        <f t="shared" si="13"/>
        <v>0</v>
      </c>
      <c r="AB53" s="38">
        <f t="shared" si="1"/>
        <v>-16895.499999999942</v>
      </c>
      <c r="AE53" s="38">
        <f>E31</f>
        <v>-703.97916666666424</v>
      </c>
      <c r="AF53" s="38">
        <f>P32</f>
        <v>0</v>
      </c>
      <c r="AI53" s="25">
        <f>T32</f>
        <v>0</v>
      </c>
      <c r="AJ53" s="25">
        <f>X32</f>
        <v>0</v>
      </c>
    </row>
    <row r="54" spans="2:36" ht="12.75" x14ac:dyDescent="0.2">
      <c r="B54" s="214">
        <v>41575</v>
      </c>
      <c r="C54" s="215">
        <v>0.45833333333333298</v>
      </c>
      <c r="D54" s="216">
        <f t="shared" si="39"/>
        <v>-49103.499999999942</v>
      </c>
      <c r="E54" s="198">
        <f t="shared" si="40"/>
        <v>-2045.9791666666642</v>
      </c>
      <c r="F54" s="216">
        <f t="shared" si="41"/>
        <v>1</v>
      </c>
      <c r="G54" s="217">
        <v>0</v>
      </c>
      <c r="H54" s="217">
        <v>0</v>
      </c>
      <c r="I54" s="217">
        <v>0</v>
      </c>
      <c r="J54" s="184"/>
      <c r="K54" s="217">
        <v>0</v>
      </c>
      <c r="L54" s="184"/>
      <c r="M54" s="85">
        <f t="shared" si="42"/>
        <v>0</v>
      </c>
      <c r="N54" s="36">
        <f t="shared" si="43"/>
        <v>0</v>
      </c>
      <c r="O54" s="36">
        <f t="shared" si="44"/>
        <v>0</v>
      </c>
      <c r="P54" s="27">
        <f t="shared" si="14"/>
        <v>0</v>
      </c>
      <c r="Q54" s="36">
        <f t="shared" si="45"/>
        <v>0</v>
      </c>
      <c r="R54" s="36">
        <f t="shared" si="46"/>
        <v>0</v>
      </c>
      <c r="S54" s="36">
        <f t="shared" si="47"/>
        <v>0</v>
      </c>
      <c r="T54" s="27">
        <f t="shared" si="15"/>
        <v>0</v>
      </c>
      <c r="U54" s="36">
        <f t="shared" si="48"/>
        <v>0</v>
      </c>
      <c r="V54" s="36">
        <f t="shared" si="49"/>
        <v>0</v>
      </c>
      <c r="W54" s="36">
        <f t="shared" si="50"/>
        <v>0</v>
      </c>
      <c r="X54" s="27">
        <f t="shared" si="13"/>
        <v>0</v>
      </c>
      <c r="AB54" s="38">
        <f t="shared" si="1"/>
        <v>-16871.499999999942</v>
      </c>
      <c r="AE54" s="38">
        <f>E32</f>
        <v>-702.97916666666424</v>
      </c>
      <c r="AF54" s="38">
        <f>P32</f>
        <v>0</v>
      </c>
      <c r="AI54" s="25">
        <f>T32</f>
        <v>0</v>
      </c>
      <c r="AJ54" s="25">
        <f>X32</f>
        <v>0</v>
      </c>
    </row>
    <row r="55" spans="2:36" ht="12.75" x14ac:dyDescent="0.2">
      <c r="B55" s="214">
        <v>41576</v>
      </c>
      <c r="C55" s="215">
        <v>0.45833333333333298</v>
      </c>
      <c r="D55" s="216">
        <f t="shared" si="39"/>
        <v>-49079.499999999942</v>
      </c>
      <c r="E55" s="198">
        <f t="shared" si="40"/>
        <v>-2044.9791666666642</v>
      </c>
      <c r="F55" s="216">
        <f t="shared" si="41"/>
        <v>1</v>
      </c>
      <c r="G55" s="217">
        <v>0</v>
      </c>
      <c r="H55" s="217">
        <v>0</v>
      </c>
      <c r="I55" s="217">
        <v>0</v>
      </c>
      <c r="J55" s="184"/>
      <c r="K55" s="217">
        <v>0</v>
      </c>
      <c r="L55" s="184"/>
      <c r="M55" s="85">
        <f t="shared" si="42"/>
        <v>0</v>
      </c>
      <c r="N55" s="36">
        <f t="shared" si="43"/>
        <v>0</v>
      </c>
      <c r="O55" s="36">
        <f t="shared" si="44"/>
        <v>0</v>
      </c>
      <c r="P55" s="27">
        <f t="shared" si="14"/>
        <v>0</v>
      </c>
      <c r="Q55" s="36">
        <f t="shared" si="45"/>
        <v>0</v>
      </c>
      <c r="R55" s="36">
        <f t="shared" si="46"/>
        <v>0</v>
      </c>
      <c r="S55" s="36">
        <f t="shared" si="47"/>
        <v>0</v>
      </c>
      <c r="T55" s="27">
        <f t="shared" si="15"/>
        <v>0</v>
      </c>
      <c r="U55" s="36">
        <f t="shared" si="48"/>
        <v>0</v>
      </c>
      <c r="V55" s="36">
        <f t="shared" si="49"/>
        <v>0</v>
      </c>
      <c r="W55" s="36">
        <f t="shared" si="50"/>
        <v>0</v>
      </c>
      <c r="X55" s="27">
        <f t="shared" si="13"/>
        <v>0</v>
      </c>
      <c r="AB55" s="38">
        <f t="shared" si="1"/>
        <v>-16871.499999999942</v>
      </c>
      <c r="AE55" s="38">
        <f>E32</f>
        <v>-702.97916666666424</v>
      </c>
      <c r="AF55" s="38">
        <f>P33</f>
        <v>0</v>
      </c>
      <c r="AI55" s="25">
        <f>T33</f>
        <v>0</v>
      </c>
      <c r="AJ55" s="25">
        <f>X33</f>
        <v>0</v>
      </c>
    </row>
    <row r="56" spans="2:36" ht="12.75" x14ac:dyDescent="0.2">
      <c r="B56" s="214">
        <v>41577</v>
      </c>
      <c r="C56" s="215">
        <v>0.45833333333333298</v>
      </c>
      <c r="D56" s="216">
        <f t="shared" si="39"/>
        <v>-49055.499999999942</v>
      </c>
      <c r="E56" s="198">
        <f t="shared" si="40"/>
        <v>-2043.9791666666642</v>
      </c>
      <c r="F56" s="216">
        <f t="shared" si="41"/>
        <v>1</v>
      </c>
      <c r="G56" s="217">
        <v>0</v>
      </c>
      <c r="H56" s="217">
        <v>0</v>
      </c>
      <c r="I56" s="217">
        <v>0</v>
      </c>
      <c r="J56" s="184"/>
      <c r="K56" s="217">
        <v>0</v>
      </c>
      <c r="L56" s="184"/>
      <c r="M56" s="85">
        <f t="shared" si="42"/>
        <v>0</v>
      </c>
      <c r="N56" s="36">
        <f t="shared" si="43"/>
        <v>0</v>
      </c>
      <c r="O56" s="36">
        <f t="shared" si="44"/>
        <v>0</v>
      </c>
      <c r="P56" s="27">
        <f t="shared" si="14"/>
        <v>0</v>
      </c>
      <c r="Q56" s="36">
        <f t="shared" si="45"/>
        <v>0</v>
      </c>
      <c r="R56" s="36">
        <f t="shared" si="46"/>
        <v>0</v>
      </c>
      <c r="S56" s="36">
        <f t="shared" si="47"/>
        <v>0</v>
      </c>
      <c r="T56" s="27">
        <f t="shared" si="15"/>
        <v>0</v>
      </c>
      <c r="U56" s="36">
        <f t="shared" si="48"/>
        <v>0</v>
      </c>
      <c r="V56" s="36">
        <f t="shared" si="49"/>
        <v>0</v>
      </c>
      <c r="W56" s="36">
        <f t="shared" si="50"/>
        <v>0</v>
      </c>
      <c r="X56" s="27">
        <f t="shared" si="13"/>
        <v>0</v>
      </c>
      <c r="AB56" s="38">
        <f t="shared" si="1"/>
        <v>-16847.499999999942</v>
      </c>
      <c r="AE56" s="38">
        <f>E33</f>
        <v>-701.97916666666424</v>
      </c>
      <c r="AF56" s="38">
        <f>P33</f>
        <v>0</v>
      </c>
      <c r="AI56" s="25">
        <f>T33</f>
        <v>0</v>
      </c>
      <c r="AJ56" s="25">
        <f>X33</f>
        <v>0</v>
      </c>
    </row>
    <row r="57" spans="2:36" ht="12.75" x14ac:dyDescent="0.2">
      <c r="B57" s="214">
        <v>41578</v>
      </c>
      <c r="C57" s="215">
        <v>0.45833333333333298</v>
      </c>
      <c r="D57" s="216">
        <f t="shared" si="39"/>
        <v>-49031.499999999942</v>
      </c>
      <c r="E57" s="198">
        <f t="shared" si="40"/>
        <v>-2042.9791666666642</v>
      </c>
      <c r="F57" s="216">
        <f t="shared" si="41"/>
        <v>1</v>
      </c>
      <c r="G57" s="217">
        <v>0</v>
      </c>
      <c r="H57" s="217">
        <v>0</v>
      </c>
      <c r="I57" s="217">
        <v>0</v>
      </c>
      <c r="J57" s="184"/>
      <c r="K57" s="217">
        <v>0</v>
      </c>
      <c r="L57" s="184"/>
      <c r="M57" s="85">
        <f t="shared" si="42"/>
        <v>0</v>
      </c>
      <c r="N57" s="36">
        <f t="shared" si="43"/>
        <v>0</v>
      </c>
      <c r="O57" s="36">
        <f t="shared" si="44"/>
        <v>0</v>
      </c>
      <c r="P57" s="27">
        <f t="shared" si="14"/>
        <v>0</v>
      </c>
      <c r="Q57" s="36">
        <f t="shared" si="45"/>
        <v>0</v>
      </c>
      <c r="R57" s="36">
        <f t="shared" si="46"/>
        <v>0</v>
      </c>
      <c r="S57" s="36">
        <f t="shared" si="47"/>
        <v>0</v>
      </c>
      <c r="T57" s="27">
        <f t="shared" si="15"/>
        <v>0</v>
      </c>
      <c r="U57" s="36">
        <f t="shared" si="48"/>
        <v>0</v>
      </c>
      <c r="V57" s="36">
        <f t="shared" si="49"/>
        <v>0</v>
      </c>
      <c r="W57" s="36">
        <f t="shared" si="50"/>
        <v>0</v>
      </c>
      <c r="X57" s="27">
        <f t="shared" si="13"/>
        <v>0</v>
      </c>
      <c r="AB57" s="38">
        <f t="shared" si="1"/>
        <v>-16847.499999999942</v>
      </c>
      <c r="AE57" s="38">
        <f>E33</f>
        <v>-701.97916666666424</v>
      </c>
      <c r="AF57" s="38">
        <f>P34</f>
        <v>0</v>
      </c>
      <c r="AI57" s="25">
        <f>T34</f>
        <v>0</v>
      </c>
      <c r="AJ57" s="25">
        <f>X34</f>
        <v>0</v>
      </c>
    </row>
    <row r="58" spans="2:36" ht="12.75" x14ac:dyDescent="0.2">
      <c r="B58" s="214">
        <v>41579</v>
      </c>
      <c r="C58" s="215">
        <v>0.45833333333333298</v>
      </c>
      <c r="D58" s="216">
        <f t="shared" si="39"/>
        <v>-49007.499999999942</v>
      </c>
      <c r="E58" s="198">
        <f t="shared" si="40"/>
        <v>-2041.9791666666642</v>
      </c>
      <c r="F58" s="216">
        <f t="shared" si="41"/>
        <v>1</v>
      </c>
      <c r="G58" s="217">
        <v>0</v>
      </c>
      <c r="H58" s="217">
        <v>0</v>
      </c>
      <c r="I58" s="217">
        <v>0</v>
      </c>
      <c r="J58" s="184"/>
      <c r="K58" s="217">
        <v>0</v>
      </c>
      <c r="L58" s="184"/>
      <c r="M58" s="85">
        <f t="shared" si="42"/>
        <v>0</v>
      </c>
      <c r="N58" s="36">
        <f t="shared" si="43"/>
        <v>0</v>
      </c>
      <c r="O58" s="36">
        <f t="shared" si="44"/>
        <v>0</v>
      </c>
      <c r="P58" s="27">
        <f t="shared" si="14"/>
        <v>0</v>
      </c>
      <c r="Q58" s="36">
        <f t="shared" si="45"/>
        <v>0</v>
      </c>
      <c r="R58" s="36">
        <f t="shared" si="46"/>
        <v>0</v>
      </c>
      <c r="S58" s="36">
        <f t="shared" si="47"/>
        <v>0</v>
      </c>
      <c r="T58" s="27">
        <f t="shared" si="15"/>
        <v>0</v>
      </c>
      <c r="U58" s="36">
        <f t="shared" si="48"/>
        <v>0</v>
      </c>
      <c r="V58" s="36">
        <f t="shared" si="49"/>
        <v>0</v>
      </c>
      <c r="W58" s="36">
        <f t="shared" si="50"/>
        <v>0</v>
      </c>
      <c r="X58" s="27">
        <f t="shared" si="13"/>
        <v>0</v>
      </c>
      <c r="AB58" s="38">
        <f t="shared" si="1"/>
        <v>-16823.499999999942</v>
      </c>
      <c r="AE58" s="38">
        <f>E34</f>
        <v>-700.97916666666424</v>
      </c>
      <c r="AF58" s="38">
        <f>P34</f>
        <v>0</v>
      </c>
      <c r="AI58" s="25">
        <f>T34</f>
        <v>0</v>
      </c>
      <c r="AJ58" s="25">
        <f>X34</f>
        <v>0</v>
      </c>
    </row>
    <row r="59" spans="2:36" ht="12.75" x14ac:dyDescent="0.2">
      <c r="B59" s="214">
        <v>41580</v>
      </c>
      <c r="C59" s="215">
        <v>0.45833333333333298</v>
      </c>
      <c r="D59" s="216">
        <f t="shared" si="39"/>
        <v>-48983.499999999942</v>
      </c>
      <c r="E59" s="198">
        <f t="shared" si="40"/>
        <v>-2040.9791666666642</v>
      </c>
      <c r="F59" s="216">
        <f t="shared" si="41"/>
        <v>1</v>
      </c>
      <c r="G59" s="217">
        <v>0</v>
      </c>
      <c r="H59" s="217">
        <v>0</v>
      </c>
      <c r="I59" s="217">
        <v>0</v>
      </c>
      <c r="J59" s="184"/>
      <c r="K59" s="217">
        <v>0</v>
      </c>
      <c r="L59" s="184"/>
      <c r="M59" s="85">
        <f t="shared" si="42"/>
        <v>0</v>
      </c>
      <c r="N59" s="36">
        <f t="shared" si="43"/>
        <v>0</v>
      </c>
      <c r="O59" s="36">
        <f t="shared" si="44"/>
        <v>0</v>
      </c>
      <c r="P59" s="27">
        <f t="shared" si="14"/>
        <v>0</v>
      </c>
      <c r="Q59" s="36">
        <f t="shared" si="45"/>
        <v>0</v>
      </c>
      <c r="R59" s="36">
        <f t="shared" si="46"/>
        <v>0</v>
      </c>
      <c r="S59" s="36">
        <f t="shared" si="47"/>
        <v>0</v>
      </c>
      <c r="T59" s="27">
        <f t="shared" si="15"/>
        <v>0</v>
      </c>
      <c r="U59" s="36">
        <f t="shared" si="48"/>
        <v>0</v>
      </c>
      <c r="V59" s="36">
        <f t="shared" si="49"/>
        <v>0</v>
      </c>
      <c r="W59" s="36">
        <f t="shared" si="50"/>
        <v>0</v>
      </c>
      <c r="X59" s="27">
        <f t="shared" si="13"/>
        <v>0</v>
      </c>
      <c r="AB59" s="38">
        <f t="shared" si="1"/>
        <v>-16823.499999999942</v>
      </c>
      <c r="AE59" s="38">
        <f>E34</f>
        <v>-700.97916666666424</v>
      </c>
      <c r="AF59" s="38">
        <f>P35</f>
        <v>0</v>
      </c>
      <c r="AI59" s="25">
        <f>T35</f>
        <v>0</v>
      </c>
      <c r="AJ59" s="25">
        <f>X35</f>
        <v>0</v>
      </c>
    </row>
    <row r="60" spans="2:36" ht="12.75" x14ac:dyDescent="0.2">
      <c r="B60" s="214">
        <v>41581</v>
      </c>
      <c r="C60" s="215">
        <v>0.45833333333333298</v>
      </c>
      <c r="D60" s="216">
        <f t="shared" si="39"/>
        <v>-48959.499999999942</v>
      </c>
      <c r="E60" s="198">
        <f t="shared" si="40"/>
        <v>-2039.9791666666642</v>
      </c>
      <c r="F60" s="216">
        <f t="shared" si="41"/>
        <v>1</v>
      </c>
      <c r="G60" s="217">
        <v>0</v>
      </c>
      <c r="H60" s="217">
        <v>0</v>
      </c>
      <c r="I60" s="217">
        <v>0</v>
      </c>
      <c r="J60" s="184"/>
      <c r="K60" s="217">
        <v>0</v>
      </c>
      <c r="L60" s="184"/>
      <c r="M60" s="85">
        <f t="shared" si="42"/>
        <v>0</v>
      </c>
      <c r="N60" s="36">
        <f t="shared" si="43"/>
        <v>0</v>
      </c>
      <c r="O60" s="36">
        <f t="shared" si="44"/>
        <v>0</v>
      </c>
      <c r="P60" s="27">
        <f t="shared" si="14"/>
        <v>0</v>
      </c>
      <c r="Q60" s="36">
        <f t="shared" si="45"/>
        <v>0</v>
      </c>
      <c r="R60" s="36">
        <f t="shared" si="46"/>
        <v>0</v>
      </c>
      <c r="S60" s="36">
        <f t="shared" si="47"/>
        <v>0</v>
      </c>
      <c r="T60" s="27">
        <f t="shared" si="15"/>
        <v>0</v>
      </c>
      <c r="U60" s="36">
        <f t="shared" si="48"/>
        <v>0</v>
      </c>
      <c r="V60" s="36">
        <f t="shared" si="49"/>
        <v>0</v>
      </c>
      <c r="W60" s="36">
        <f t="shared" si="50"/>
        <v>0</v>
      </c>
      <c r="X60" s="27">
        <f t="shared" si="13"/>
        <v>0</v>
      </c>
      <c r="AB60" s="38">
        <f t="shared" si="1"/>
        <v>-16799.499999999942</v>
      </c>
      <c r="AE60" s="38">
        <f>E35</f>
        <v>-699.97916666666424</v>
      </c>
      <c r="AF60" s="38">
        <f>P35</f>
        <v>0</v>
      </c>
      <c r="AI60" s="25">
        <f>T35</f>
        <v>0</v>
      </c>
      <c r="AJ60" s="25">
        <f>X35</f>
        <v>0</v>
      </c>
    </row>
    <row r="61" spans="2:36" ht="12.75" x14ac:dyDescent="0.2">
      <c r="B61" s="214">
        <v>41582</v>
      </c>
      <c r="C61" s="215">
        <v>0.45833333333333298</v>
      </c>
      <c r="D61" s="216">
        <f t="shared" si="39"/>
        <v>-48935.499999999942</v>
      </c>
      <c r="E61" s="198">
        <f t="shared" si="40"/>
        <v>-2038.9791666666642</v>
      </c>
      <c r="F61" s="216">
        <f t="shared" si="41"/>
        <v>1</v>
      </c>
      <c r="G61" s="217">
        <v>0</v>
      </c>
      <c r="H61" s="217">
        <v>0</v>
      </c>
      <c r="I61" s="217">
        <v>0</v>
      </c>
      <c r="J61" s="184"/>
      <c r="K61" s="217">
        <v>0</v>
      </c>
      <c r="L61" s="184"/>
      <c r="M61" s="85">
        <f t="shared" si="42"/>
        <v>0</v>
      </c>
      <c r="N61" s="36">
        <f t="shared" si="43"/>
        <v>0</v>
      </c>
      <c r="O61" s="36">
        <f t="shared" si="44"/>
        <v>0</v>
      </c>
      <c r="P61" s="27">
        <f t="shared" si="14"/>
        <v>0</v>
      </c>
      <c r="Q61" s="36">
        <f t="shared" si="45"/>
        <v>0</v>
      </c>
      <c r="R61" s="36">
        <f t="shared" si="46"/>
        <v>0</v>
      </c>
      <c r="S61" s="36">
        <f t="shared" si="47"/>
        <v>0</v>
      </c>
      <c r="T61" s="27">
        <f t="shared" si="15"/>
        <v>0</v>
      </c>
      <c r="U61" s="36">
        <f t="shared" si="48"/>
        <v>0</v>
      </c>
      <c r="V61" s="36">
        <f t="shared" si="49"/>
        <v>0</v>
      </c>
      <c r="W61" s="36">
        <f t="shared" si="50"/>
        <v>0</v>
      </c>
      <c r="X61" s="27">
        <f t="shared" si="13"/>
        <v>0</v>
      </c>
      <c r="AB61" s="38">
        <f t="shared" si="1"/>
        <v>-16799.499999999942</v>
      </c>
      <c r="AE61" s="38">
        <f>E35</f>
        <v>-699.97916666666424</v>
      </c>
      <c r="AF61" s="38">
        <f>P36</f>
        <v>0</v>
      </c>
      <c r="AI61" s="25">
        <f>T36</f>
        <v>0</v>
      </c>
      <c r="AJ61" s="25">
        <f>X36</f>
        <v>0</v>
      </c>
    </row>
    <row r="62" spans="2:36" ht="12.75" x14ac:dyDescent="0.2">
      <c r="B62" s="214">
        <v>41583</v>
      </c>
      <c r="C62" s="215">
        <v>0.45833333333333298</v>
      </c>
      <c r="D62" s="216">
        <f t="shared" si="39"/>
        <v>-48911.499999999942</v>
      </c>
      <c r="E62" s="198">
        <f t="shared" si="40"/>
        <v>-2037.9791666666642</v>
      </c>
      <c r="F62" s="216">
        <f t="shared" si="41"/>
        <v>1</v>
      </c>
      <c r="G62" s="217">
        <v>0</v>
      </c>
      <c r="H62" s="217">
        <v>0</v>
      </c>
      <c r="I62" s="217">
        <v>0</v>
      </c>
      <c r="J62" s="184"/>
      <c r="K62" s="217">
        <v>0</v>
      </c>
      <c r="L62" s="184"/>
      <c r="M62" s="85">
        <f t="shared" si="42"/>
        <v>0</v>
      </c>
      <c r="N62" s="36">
        <f t="shared" si="43"/>
        <v>0</v>
      </c>
      <c r="O62" s="36">
        <f t="shared" si="44"/>
        <v>0</v>
      </c>
      <c r="P62" s="27">
        <f t="shared" si="14"/>
        <v>0</v>
      </c>
      <c r="Q62" s="36">
        <f t="shared" si="45"/>
        <v>0</v>
      </c>
      <c r="R62" s="36">
        <f t="shared" si="46"/>
        <v>0</v>
      </c>
      <c r="S62" s="36">
        <f t="shared" si="47"/>
        <v>0</v>
      </c>
      <c r="T62" s="27">
        <f t="shared" si="15"/>
        <v>0</v>
      </c>
      <c r="U62" s="36">
        <f t="shared" si="48"/>
        <v>0</v>
      </c>
      <c r="V62" s="36">
        <f t="shared" si="49"/>
        <v>0</v>
      </c>
      <c r="W62" s="36">
        <f t="shared" si="50"/>
        <v>0</v>
      </c>
      <c r="X62" s="27">
        <f t="shared" si="13"/>
        <v>0</v>
      </c>
      <c r="AB62" s="38">
        <f t="shared" si="1"/>
        <v>-16775.499999999942</v>
      </c>
      <c r="AE62" s="38">
        <f>E36</f>
        <v>-698.97916666666424</v>
      </c>
      <c r="AF62" s="38">
        <f>P36</f>
        <v>0</v>
      </c>
      <c r="AI62" s="25">
        <f>T36</f>
        <v>0</v>
      </c>
      <c r="AJ62" s="25">
        <f>X36</f>
        <v>0</v>
      </c>
    </row>
    <row r="63" spans="2:36" ht="14.25" customHeight="1" x14ac:dyDescent="0.2">
      <c r="B63" s="214"/>
      <c r="C63" s="215"/>
      <c r="D63" s="216"/>
      <c r="E63" s="198"/>
      <c r="F63" s="216"/>
      <c r="G63" s="217"/>
      <c r="H63" s="217"/>
      <c r="I63" s="217"/>
      <c r="K63" s="193"/>
      <c r="L63" s="184"/>
      <c r="M63" s="218"/>
      <c r="N63" s="219"/>
      <c r="O63" s="219"/>
      <c r="P63" s="198"/>
      <c r="Q63" s="36"/>
      <c r="R63" s="36"/>
      <c r="S63" s="36"/>
      <c r="T63" s="27"/>
      <c r="U63" s="36"/>
      <c r="V63" s="36"/>
      <c r="W63" s="36"/>
      <c r="X63" s="27"/>
      <c r="AB63" s="38">
        <f t="shared" si="1"/>
        <v>-16775.499999999942</v>
      </c>
      <c r="AE63" s="38">
        <f>E36</f>
        <v>-698.97916666666424</v>
      </c>
      <c r="AF63" s="38">
        <f>P37</f>
        <v>0</v>
      </c>
      <c r="AI63" s="25">
        <f>T37</f>
        <v>0</v>
      </c>
      <c r="AJ63" s="25">
        <f>X37</f>
        <v>0</v>
      </c>
    </row>
    <row r="64" spans="2:36" ht="12.75" x14ac:dyDescent="0.2">
      <c r="B64" s="214"/>
      <c r="C64" s="215"/>
      <c r="D64" s="216"/>
      <c r="E64" s="198"/>
      <c r="F64" s="216"/>
      <c r="G64" s="217"/>
      <c r="H64" s="217"/>
      <c r="I64" s="217"/>
      <c r="K64" s="193"/>
      <c r="L64" s="184"/>
      <c r="M64" s="218"/>
      <c r="N64" s="219"/>
      <c r="O64" s="219"/>
      <c r="P64" s="198"/>
      <c r="Q64" s="36"/>
      <c r="R64" s="36"/>
      <c r="S64" s="36"/>
      <c r="T64" s="27"/>
      <c r="U64" s="36"/>
      <c r="V64" s="36"/>
      <c r="W64" s="36"/>
      <c r="X64" s="27"/>
      <c r="AB64" s="38">
        <f t="shared" si="1"/>
        <v>-16751.499999999942</v>
      </c>
      <c r="AE64" s="38">
        <f>E37</f>
        <v>-697.97916666666424</v>
      </c>
      <c r="AF64" s="38">
        <f>P37</f>
        <v>0</v>
      </c>
      <c r="AI64" s="25">
        <f>T37</f>
        <v>0</v>
      </c>
      <c r="AJ64" s="25">
        <f>X37</f>
        <v>0</v>
      </c>
    </row>
    <row r="65" spans="2:36" ht="12.75" x14ac:dyDescent="0.2">
      <c r="B65" s="214"/>
      <c r="C65" s="215"/>
      <c r="D65" s="216"/>
      <c r="E65" s="198"/>
      <c r="F65" s="216"/>
      <c r="G65" s="217"/>
      <c r="H65" s="217"/>
      <c r="I65" s="217"/>
      <c r="K65" s="193"/>
      <c r="L65" s="184"/>
      <c r="M65" s="218"/>
      <c r="N65" s="219"/>
      <c r="O65" s="219"/>
      <c r="P65" s="198"/>
      <c r="Q65" s="36"/>
      <c r="R65" s="36"/>
      <c r="S65" s="36"/>
      <c r="T65" s="27"/>
      <c r="U65" s="36"/>
      <c r="V65" s="36"/>
      <c r="W65" s="36"/>
      <c r="X65" s="27"/>
      <c r="AB65" s="38">
        <f t="shared" si="1"/>
        <v>-16751.499999999942</v>
      </c>
      <c r="AE65" s="38">
        <f>E37</f>
        <v>-697.97916666666424</v>
      </c>
      <c r="AF65" s="38">
        <f>P38</f>
        <v>0</v>
      </c>
      <c r="AI65" s="25">
        <f>T38</f>
        <v>0</v>
      </c>
      <c r="AJ65" s="25">
        <f>X38</f>
        <v>0</v>
      </c>
    </row>
    <row r="66" spans="2:36" ht="12.75" x14ac:dyDescent="0.2">
      <c r="B66" s="214"/>
      <c r="C66" s="215"/>
      <c r="D66" s="216"/>
      <c r="E66" s="198"/>
      <c r="F66" s="216"/>
      <c r="G66" s="217"/>
      <c r="H66" s="217"/>
      <c r="I66" s="217"/>
      <c r="K66" s="193"/>
      <c r="L66" s="184"/>
      <c r="M66" s="218"/>
      <c r="N66" s="219"/>
      <c r="O66" s="219"/>
      <c r="P66" s="198"/>
      <c r="Q66" s="36"/>
      <c r="R66" s="36"/>
      <c r="S66" s="36"/>
      <c r="T66" s="27"/>
      <c r="U66" s="36"/>
      <c r="V66" s="36"/>
      <c r="W66" s="36"/>
      <c r="X66" s="27"/>
      <c r="AB66" s="38">
        <f t="shared" si="1"/>
        <v>-16703.499999999942</v>
      </c>
      <c r="AE66" s="38">
        <f>E38</f>
        <v>-695.97916666666424</v>
      </c>
      <c r="AF66" s="38">
        <f>P38</f>
        <v>0</v>
      </c>
      <c r="AI66" s="25">
        <f>T38</f>
        <v>0</v>
      </c>
      <c r="AJ66" s="25">
        <f>X38</f>
        <v>0</v>
      </c>
    </row>
    <row r="67" spans="2:36" ht="12.75" x14ac:dyDescent="0.2">
      <c r="B67" s="214"/>
      <c r="C67" s="215"/>
      <c r="D67" s="216"/>
      <c r="E67" s="198"/>
      <c r="F67" s="216"/>
      <c r="G67" s="217"/>
      <c r="H67" s="217"/>
      <c r="I67" s="217"/>
      <c r="K67" s="193"/>
      <c r="L67" s="184"/>
      <c r="M67" s="218"/>
      <c r="N67" s="219"/>
      <c r="O67" s="219"/>
      <c r="P67" s="198"/>
      <c r="Q67" s="36"/>
      <c r="R67" s="36"/>
      <c r="S67" s="36"/>
      <c r="T67" s="27"/>
      <c r="U67" s="36"/>
      <c r="V67" s="36"/>
      <c r="W67" s="36"/>
      <c r="X67" s="27"/>
      <c r="AB67" s="38">
        <f t="shared" si="1"/>
        <v>-16703.499999999942</v>
      </c>
      <c r="AE67" s="38">
        <f>E38</f>
        <v>-695.97916666666424</v>
      </c>
      <c r="AF67" s="38">
        <f>P39</f>
        <v>0</v>
      </c>
      <c r="AI67" s="25">
        <f>T39</f>
        <v>0</v>
      </c>
      <c r="AJ67" s="25">
        <f>X39</f>
        <v>0</v>
      </c>
    </row>
    <row r="68" spans="2:36" ht="12.75" x14ac:dyDescent="0.2">
      <c r="B68" s="214"/>
      <c r="C68" s="215"/>
      <c r="D68" s="216"/>
      <c r="E68" s="198"/>
      <c r="F68" s="216"/>
      <c r="G68" s="217"/>
      <c r="H68" s="217"/>
      <c r="I68" s="217"/>
      <c r="K68" s="193"/>
      <c r="L68" s="184"/>
      <c r="M68" s="218"/>
      <c r="N68" s="219"/>
      <c r="O68" s="219"/>
      <c r="P68" s="198"/>
      <c r="Q68" s="36"/>
      <c r="R68" s="36"/>
      <c r="S68" s="36"/>
      <c r="T68" s="27"/>
      <c r="U68" s="36"/>
      <c r="V68" s="36"/>
      <c r="W68" s="36"/>
      <c r="X68" s="27"/>
      <c r="AB68" s="38">
        <f t="shared" si="1"/>
        <v>-16681.5</v>
      </c>
      <c r="AE68" s="38">
        <f>E39</f>
        <v>-695.0625</v>
      </c>
      <c r="AF68" s="38">
        <f>P39</f>
        <v>0</v>
      </c>
      <c r="AI68" s="25">
        <f>T39</f>
        <v>0</v>
      </c>
      <c r="AJ68" s="25">
        <f>X39</f>
        <v>0</v>
      </c>
    </row>
    <row r="69" spans="2:36" ht="12.75" x14ac:dyDescent="0.2">
      <c r="B69" s="214"/>
      <c r="C69" s="215"/>
      <c r="D69" s="216"/>
      <c r="E69" s="198"/>
      <c r="F69" s="216"/>
      <c r="G69" s="217"/>
      <c r="H69" s="217"/>
      <c r="I69" s="217"/>
      <c r="K69" s="193"/>
      <c r="L69" s="184"/>
      <c r="M69" s="218"/>
      <c r="N69" s="219"/>
      <c r="O69" s="219"/>
      <c r="P69" s="198"/>
      <c r="Q69" s="36"/>
      <c r="R69" s="36"/>
      <c r="S69" s="36"/>
      <c r="T69" s="27"/>
      <c r="U69" s="36"/>
      <c r="V69" s="36"/>
      <c r="W69" s="36"/>
      <c r="X69" s="27"/>
      <c r="AB69" s="38">
        <f t="shared" si="1"/>
        <v>-16681.5</v>
      </c>
      <c r="AE69" s="38">
        <f>E39</f>
        <v>-695.0625</v>
      </c>
      <c r="AF69" s="38">
        <f>P40</f>
        <v>0</v>
      </c>
      <c r="AI69" s="25">
        <f>T40</f>
        <v>0</v>
      </c>
      <c r="AJ69" s="25">
        <f>X40</f>
        <v>0</v>
      </c>
    </row>
    <row r="70" spans="2:36" ht="12.75" x14ac:dyDescent="0.2">
      <c r="B70" s="214"/>
      <c r="C70" s="215"/>
      <c r="D70" s="216"/>
      <c r="E70" s="198"/>
      <c r="F70" s="216"/>
      <c r="G70" s="217"/>
      <c r="H70" s="217"/>
      <c r="I70" s="217"/>
      <c r="K70" s="193"/>
      <c r="L70" s="184"/>
      <c r="M70" s="218"/>
      <c r="N70" s="219"/>
      <c r="O70" s="219"/>
      <c r="P70" s="198"/>
      <c r="Q70" s="36"/>
      <c r="R70" s="36"/>
      <c r="S70" s="36"/>
      <c r="T70" s="27"/>
      <c r="U70" s="36"/>
      <c r="V70" s="36"/>
      <c r="W70" s="36"/>
      <c r="X70" s="27"/>
      <c r="AB70" s="38">
        <f t="shared" si="1"/>
        <v>-16631.499999999942</v>
      </c>
      <c r="AE70" s="38">
        <f>E40</f>
        <v>-692.97916666666424</v>
      </c>
      <c r="AF70" s="38">
        <f>P40</f>
        <v>0</v>
      </c>
      <c r="AI70" s="25">
        <f>T40</f>
        <v>0</v>
      </c>
      <c r="AJ70" s="25">
        <f>X40</f>
        <v>0</v>
      </c>
    </row>
    <row r="71" spans="2:36" ht="12.75" x14ac:dyDescent="0.2">
      <c r="B71" s="214"/>
      <c r="C71" s="215"/>
      <c r="D71" s="216"/>
      <c r="E71" s="198"/>
      <c r="F71" s="216"/>
      <c r="G71" s="217"/>
      <c r="H71" s="217"/>
      <c r="I71" s="217"/>
      <c r="K71" s="193"/>
      <c r="L71" s="184"/>
      <c r="M71" s="218"/>
      <c r="N71" s="219"/>
      <c r="O71" s="219"/>
      <c r="P71" s="198"/>
      <c r="Q71" s="36"/>
      <c r="R71" s="36"/>
      <c r="S71" s="36"/>
      <c r="T71" s="27"/>
      <c r="U71" s="36"/>
      <c r="V71" s="36"/>
      <c r="W71" s="36"/>
      <c r="X71" s="27"/>
      <c r="AB71" s="38">
        <f t="shared" si="1"/>
        <v>-16631.499999999942</v>
      </c>
      <c r="AE71" s="38">
        <f>E40</f>
        <v>-692.97916666666424</v>
      </c>
      <c r="AF71" s="38">
        <f>P41</f>
        <v>0</v>
      </c>
      <c r="AI71" s="25">
        <f>T41</f>
        <v>0</v>
      </c>
      <c r="AJ71" s="25">
        <f>X41</f>
        <v>0</v>
      </c>
    </row>
    <row r="72" spans="2:36" ht="12.75" x14ac:dyDescent="0.2">
      <c r="B72" s="214"/>
      <c r="C72" s="215"/>
      <c r="D72" s="216"/>
      <c r="E72" s="198"/>
      <c r="F72" s="216"/>
      <c r="G72" s="217"/>
      <c r="H72" s="217"/>
      <c r="I72" s="217"/>
      <c r="K72" s="193"/>
      <c r="L72" s="184"/>
      <c r="M72" s="218"/>
      <c r="N72" s="219"/>
      <c r="O72" s="219"/>
      <c r="P72" s="198"/>
      <c r="Q72" s="36"/>
      <c r="R72" s="36"/>
      <c r="S72" s="36"/>
      <c r="T72" s="27"/>
      <c r="U72" s="36"/>
      <c r="V72" s="36"/>
      <c r="W72" s="36"/>
      <c r="X72" s="27"/>
      <c r="AB72" s="38">
        <f t="shared" si="1"/>
        <v>-16600.5</v>
      </c>
      <c r="AE72" s="38">
        <f>E41</f>
        <v>-691.6875</v>
      </c>
      <c r="AF72" s="38">
        <f>P41</f>
        <v>0</v>
      </c>
      <c r="AI72" s="25">
        <f>T41</f>
        <v>0</v>
      </c>
      <c r="AJ72" s="25">
        <f>X41</f>
        <v>0</v>
      </c>
    </row>
    <row r="73" spans="2:36" ht="12.75" x14ac:dyDescent="0.2">
      <c r="B73" s="214"/>
      <c r="C73" s="215"/>
      <c r="D73" s="216"/>
      <c r="E73" s="198"/>
      <c r="F73" s="216"/>
      <c r="G73" s="217"/>
      <c r="H73" s="217"/>
      <c r="I73" s="217"/>
      <c r="K73" s="193"/>
      <c r="L73" s="184"/>
      <c r="M73" s="218"/>
      <c r="N73" s="219"/>
      <c r="O73" s="219"/>
      <c r="P73" s="198"/>
      <c r="Q73" s="36"/>
      <c r="R73" s="36"/>
      <c r="S73" s="36"/>
      <c r="T73" s="27"/>
      <c r="U73" s="36"/>
      <c r="V73" s="36"/>
      <c r="W73" s="36"/>
      <c r="X73" s="27"/>
      <c r="AB73" s="38">
        <f t="shared" ref="AB73:AB136" si="51">AE73*24</f>
        <v>-16600.5</v>
      </c>
      <c r="AE73" s="38">
        <f>E41</f>
        <v>-691.6875</v>
      </c>
      <c r="AF73" s="38">
        <f>P42</f>
        <v>0</v>
      </c>
      <c r="AI73" s="25">
        <f>T42</f>
        <v>0</v>
      </c>
      <c r="AJ73" s="25">
        <f>X42</f>
        <v>0</v>
      </c>
    </row>
    <row r="74" spans="2:36" ht="12.75" x14ac:dyDescent="0.2">
      <c r="B74" s="214"/>
      <c r="C74" s="215"/>
      <c r="D74" s="216"/>
      <c r="E74" s="198"/>
      <c r="F74" s="216"/>
      <c r="G74" s="217"/>
      <c r="H74" s="217"/>
      <c r="I74" s="217"/>
      <c r="K74" s="193"/>
      <c r="L74" s="184"/>
      <c r="M74" s="218"/>
      <c r="N74" s="219"/>
      <c r="O74" s="219"/>
      <c r="P74" s="198"/>
      <c r="Q74" s="36"/>
      <c r="R74" s="36"/>
      <c r="S74" s="36"/>
      <c r="T74" s="27"/>
      <c r="U74" s="36"/>
      <c r="V74" s="36"/>
      <c r="W74" s="36"/>
      <c r="X74" s="27"/>
      <c r="AB74" s="38">
        <f t="shared" si="51"/>
        <v>-16511.499999999942</v>
      </c>
      <c r="AE74" s="38">
        <f>E42</f>
        <v>-687.97916666666424</v>
      </c>
      <c r="AF74" s="38">
        <f>P42</f>
        <v>0</v>
      </c>
      <c r="AI74" s="25">
        <f>T42</f>
        <v>0</v>
      </c>
      <c r="AJ74" s="25">
        <f>X42</f>
        <v>0</v>
      </c>
    </row>
    <row r="75" spans="2:36" ht="12.75" x14ac:dyDescent="0.2">
      <c r="B75" s="214"/>
      <c r="C75" s="215"/>
      <c r="D75" s="216"/>
      <c r="E75" s="198"/>
      <c r="F75" s="216"/>
      <c r="G75" s="217"/>
      <c r="H75" s="217"/>
      <c r="I75" s="217"/>
      <c r="K75" s="193"/>
      <c r="L75" s="184"/>
      <c r="M75" s="218"/>
      <c r="N75" s="219"/>
      <c r="O75" s="219"/>
      <c r="P75" s="198"/>
      <c r="Q75" s="36"/>
      <c r="R75" s="36"/>
      <c r="S75" s="36"/>
      <c r="T75" s="27"/>
      <c r="U75" s="36"/>
      <c r="V75" s="36"/>
      <c r="W75" s="36"/>
      <c r="X75" s="27"/>
      <c r="AB75" s="38">
        <f t="shared" si="51"/>
        <v>-16511.499999999942</v>
      </c>
      <c r="AE75" s="38">
        <f>E42</f>
        <v>-687.97916666666424</v>
      </c>
      <c r="AF75" s="38">
        <f>P43</f>
        <v>0</v>
      </c>
      <c r="AI75" s="25">
        <f>T43</f>
        <v>0</v>
      </c>
      <c r="AJ75" s="25">
        <f>X43</f>
        <v>0</v>
      </c>
    </row>
    <row r="76" spans="2:36" ht="12.75" x14ac:dyDescent="0.2">
      <c r="B76" s="214"/>
      <c r="C76" s="215"/>
      <c r="D76" s="216"/>
      <c r="E76" s="198"/>
      <c r="F76" s="216"/>
      <c r="G76" s="217"/>
      <c r="H76" s="217"/>
      <c r="I76" s="217"/>
      <c r="K76" s="193"/>
      <c r="L76" s="184"/>
      <c r="M76" s="218"/>
      <c r="N76" s="219"/>
      <c r="O76" s="219"/>
      <c r="P76" s="198"/>
      <c r="Q76" s="36"/>
      <c r="R76" s="36"/>
      <c r="S76" s="36"/>
      <c r="T76" s="27"/>
      <c r="U76" s="36"/>
      <c r="V76" s="36"/>
      <c r="W76" s="36"/>
      <c r="X76" s="27"/>
      <c r="AB76" s="38">
        <f t="shared" si="51"/>
        <v>-49367.499999999942</v>
      </c>
      <c r="AE76" s="38">
        <f>E43</f>
        <v>-2056.9791666666642</v>
      </c>
      <c r="AF76" s="38">
        <f>P43</f>
        <v>0</v>
      </c>
      <c r="AI76" s="25">
        <f>T43</f>
        <v>0</v>
      </c>
      <c r="AJ76" s="25">
        <f>X43</f>
        <v>0</v>
      </c>
    </row>
    <row r="77" spans="2:36" ht="12.75" x14ac:dyDescent="0.2">
      <c r="B77" s="214"/>
      <c r="C77" s="215"/>
      <c r="D77" s="216"/>
      <c r="E77" s="198"/>
      <c r="F77" s="216"/>
      <c r="G77" s="217"/>
      <c r="H77" s="217"/>
      <c r="I77" s="217"/>
      <c r="K77" s="193"/>
      <c r="L77" s="184"/>
      <c r="M77" s="218"/>
      <c r="N77" s="219"/>
      <c r="O77" s="219"/>
      <c r="P77" s="198"/>
      <c r="Q77" s="36"/>
      <c r="R77" s="36"/>
      <c r="S77" s="36"/>
      <c r="T77" s="27"/>
      <c r="U77" s="36"/>
      <c r="V77" s="36"/>
      <c r="W77" s="36"/>
      <c r="X77" s="27"/>
      <c r="AB77" s="38">
        <f t="shared" si="51"/>
        <v>-49367.499999999942</v>
      </c>
      <c r="AE77" s="38">
        <f>E43</f>
        <v>-2056.9791666666642</v>
      </c>
      <c r="AF77" s="38">
        <f>P44</f>
        <v>0</v>
      </c>
      <c r="AI77" s="25">
        <f>T44</f>
        <v>0</v>
      </c>
      <c r="AJ77" s="25">
        <f>X44</f>
        <v>0</v>
      </c>
    </row>
    <row r="78" spans="2:36" ht="12.75" x14ac:dyDescent="0.2">
      <c r="B78" s="214"/>
      <c r="C78" s="215"/>
      <c r="D78" s="216"/>
      <c r="E78" s="198"/>
      <c r="F78" s="216"/>
      <c r="G78" s="217"/>
      <c r="H78" s="217"/>
      <c r="I78" s="217"/>
      <c r="K78" s="193"/>
      <c r="L78" s="184"/>
      <c r="M78" s="218"/>
      <c r="N78" s="219"/>
      <c r="O78" s="219"/>
      <c r="P78" s="198"/>
      <c r="Q78" s="36"/>
      <c r="R78" s="36"/>
      <c r="S78" s="36"/>
      <c r="T78" s="27"/>
      <c r="U78" s="36"/>
      <c r="V78" s="36"/>
      <c r="W78" s="36"/>
      <c r="X78" s="27"/>
      <c r="AB78" s="38">
        <f t="shared" si="51"/>
        <v>-49343.499999999942</v>
      </c>
      <c r="AE78" s="38">
        <f>E44</f>
        <v>-2055.9791666666642</v>
      </c>
      <c r="AF78" s="38">
        <f>P44</f>
        <v>0</v>
      </c>
      <c r="AI78" s="25">
        <f>T44</f>
        <v>0</v>
      </c>
      <c r="AJ78" s="25">
        <f>X44</f>
        <v>0</v>
      </c>
    </row>
    <row r="79" spans="2:36" ht="12.75" x14ac:dyDescent="0.2">
      <c r="B79" s="214"/>
      <c r="C79" s="215"/>
      <c r="D79" s="216"/>
      <c r="E79" s="198"/>
      <c r="F79" s="216"/>
      <c r="G79" s="217"/>
      <c r="H79" s="217"/>
      <c r="I79" s="217"/>
      <c r="K79" s="193"/>
      <c r="L79" s="184"/>
      <c r="M79" s="218"/>
      <c r="N79" s="219"/>
      <c r="O79" s="219"/>
      <c r="P79" s="198"/>
      <c r="Q79" s="36"/>
      <c r="R79" s="36"/>
      <c r="S79" s="36"/>
      <c r="T79" s="27"/>
      <c r="U79" s="36"/>
      <c r="V79" s="36"/>
      <c r="W79" s="36"/>
      <c r="X79" s="27"/>
      <c r="AB79" s="38">
        <f t="shared" si="51"/>
        <v>-49343.499999999942</v>
      </c>
      <c r="AE79" s="38">
        <f>E44</f>
        <v>-2055.9791666666642</v>
      </c>
      <c r="AF79" s="38">
        <f>P45</f>
        <v>0</v>
      </c>
      <c r="AI79" s="25">
        <f>T45</f>
        <v>0</v>
      </c>
      <c r="AJ79" s="25">
        <f>X45</f>
        <v>0</v>
      </c>
    </row>
    <row r="80" spans="2:36" ht="12.75" x14ac:dyDescent="0.2">
      <c r="B80" s="214"/>
      <c r="C80" s="215"/>
      <c r="D80" s="216"/>
      <c r="E80" s="198"/>
      <c r="F80" s="216"/>
      <c r="G80" s="217"/>
      <c r="H80" s="217"/>
      <c r="I80" s="217"/>
      <c r="K80" s="193"/>
      <c r="L80" s="184"/>
      <c r="M80" s="218"/>
      <c r="N80" s="219"/>
      <c r="O80" s="219"/>
      <c r="P80" s="198"/>
      <c r="Q80" s="36"/>
      <c r="R80" s="36"/>
      <c r="S80" s="36"/>
      <c r="T80" s="27"/>
      <c r="U80" s="36"/>
      <c r="V80" s="36"/>
      <c r="W80" s="36"/>
      <c r="X80" s="27"/>
      <c r="AB80" s="38">
        <f t="shared" si="51"/>
        <v>-49319.499999999942</v>
      </c>
      <c r="AE80" s="38">
        <f>E45</f>
        <v>-2054.9791666666642</v>
      </c>
      <c r="AF80" s="38">
        <f>P45</f>
        <v>0</v>
      </c>
      <c r="AI80" s="25">
        <f>T45</f>
        <v>0</v>
      </c>
      <c r="AJ80" s="25">
        <f>X45</f>
        <v>0</v>
      </c>
    </row>
    <row r="81" spans="2:36" ht="12.75" x14ac:dyDescent="0.2">
      <c r="B81" s="214"/>
      <c r="C81" s="215"/>
      <c r="D81" s="216"/>
      <c r="E81" s="198"/>
      <c r="F81" s="216"/>
      <c r="G81" s="217"/>
      <c r="H81" s="217"/>
      <c r="I81" s="217"/>
      <c r="K81" s="193"/>
      <c r="L81" s="184"/>
      <c r="M81" s="218"/>
      <c r="N81" s="219"/>
      <c r="O81" s="219"/>
      <c r="P81" s="198"/>
      <c r="Q81" s="36"/>
      <c r="R81" s="36"/>
      <c r="S81" s="36"/>
      <c r="T81" s="27"/>
      <c r="U81" s="36"/>
      <c r="V81" s="36"/>
      <c r="W81" s="36"/>
      <c r="X81" s="27"/>
      <c r="AB81" s="38">
        <f t="shared" si="51"/>
        <v>-49319.499999999942</v>
      </c>
      <c r="AE81" s="38">
        <f>E45</f>
        <v>-2054.9791666666642</v>
      </c>
      <c r="AF81" s="38">
        <f>P46</f>
        <v>0</v>
      </c>
      <c r="AI81" s="25">
        <f>T46</f>
        <v>0</v>
      </c>
      <c r="AJ81" s="25">
        <f>X46</f>
        <v>0</v>
      </c>
    </row>
    <row r="82" spans="2:36" ht="12.75" x14ac:dyDescent="0.2">
      <c r="B82" s="214"/>
      <c r="C82" s="215"/>
      <c r="D82" s="216"/>
      <c r="E82" s="198"/>
      <c r="F82" s="216"/>
      <c r="G82" s="217"/>
      <c r="H82" s="217"/>
      <c r="I82" s="217"/>
      <c r="K82" s="193"/>
      <c r="L82" s="184"/>
      <c r="M82" s="218"/>
      <c r="N82" s="219"/>
      <c r="O82" s="219"/>
      <c r="P82" s="198"/>
      <c r="Q82" s="36"/>
      <c r="R82" s="36"/>
      <c r="S82" s="36"/>
      <c r="T82" s="27"/>
      <c r="U82" s="36"/>
      <c r="V82" s="36"/>
      <c r="W82" s="36"/>
      <c r="X82" s="27"/>
      <c r="AB82" s="38">
        <f t="shared" si="51"/>
        <v>-49295.499999999942</v>
      </c>
      <c r="AE82" s="38">
        <f>E46</f>
        <v>-2053.9791666666642</v>
      </c>
      <c r="AF82" s="38">
        <f>P46</f>
        <v>0</v>
      </c>
      <c r="AI82" s="25">
        <f>T46</f>
        <v>0</v>
      </c>
      <c r="AJ82" s="25">
        <f>X46</f>
        <v>0</v>
      </c>
    </row>
    <row r="83" spans="2:36" ht="12.75" x14ac:dyDescent="0.2">
      <c r="B83" s="214"/>
      <c r="C83" s="215"/>
      <c r="D83" s="216"/>
      <c r="E83" s="198"/>
      <c r="F83" s="216"/>
      <c r="G83" s="217"/>
      <c r="H83" s="217"/>
      <c r="I83" s="217"/>
      <c r="K83" s="193"/>
      <c r="L83" s="184"/>
      <c r="M83" s="218"/>
      <c r="N83" s="219"/>
      <c r="O83" s="219"/>
      <c r="P83" s="198"/>
      <c r="Q83" s="36"/>
      <c r="R83" s="36"/>
      <c r="S83" s="36"/>
      <c r="T83" s="27"/>
      <c r="U83" s="36"/>
      <c r="V83" s="36"/>
      <c r="W83" s="36"/>
      <c r="X83" s="27"/>
      <c r="AB83" s="38">
        <f t="shared" si="51"/>
        <v>-49295.499999999942</v>
      </c>
      <c r="AE83" s="38">
        <f>E46</f>
        <v>-2053.9791666666642</v>
      </c>
      <c r="AF83" s="38">
        <f>P47</f>
        <v>0</v>
      </c>
      <c r="AI83" s="25">
        <f>T47</f>
        <v>0</v>
      </c>
      <c r="AJ83" s="25">
        <f>X47</f>
        <v>0</v>
      </c>
    </row>
    <row r="84" spans="2:36" ht="12.75" x14ac:dyDescent="0.2">
      <c r="B84" s="214"/>
      <c r="C84" s="215"/>
      <c r="D84" s="216"/>
      <c r="E84" s="198"/>
      <c r="F84" s="216"/>
      <c r="G84" s="217"/>
      <c r="H84" s="217"/>
      <c r="I84" s="217"/>
      <c r="K84" s="193"/>
      <c r="L84" s="184"/>
      <c r="M84" s="218"/>
      <c r="N84" s="219"/>
      <c r="O84" s="219"/>
      <c r="P84" s="198"/>
      <c r="Q84" s="36"/>
      <c r="R84" s="36"/>
      <c r="S84" s="36"/>
      <c r="T84" s="27"/>
      <c r="U84" s="36"/>
      <c r="V84" s="36"/>
      <c r="W84" s="36"/>
      <c r="X84" s="27"/>
      <c r="AB84" s="38">
        <f t="shared" si="51"/>
        <v>-49271.499999999942</v>
      </c>
      <c r="AE84" s="38">
        <f>E47</f>
        <v>-2052.9791666666642</v>
      </c>
      <c r="AF84" s="38">
        <f>P47</f>
        <v>0</v>
      </c>
      <c r="AI84" s="25">
        <f>T47</f>
        <v>0</v>
      </c>
      <c r="AJ84" s="25">
        <f>X47</f>
        <v>0</v>
      </c>
    </row>
    <row r="85" spans="2:36" ht="12.75" x14ac:dyDescent="0.2">
      <c r="B85" s="214"/>
      <c r="C85" s="215"/>
      <c r="D85" s="216"/>
      <c r="E85" s="198"/>
      <c r="F85" s="216"/>
      <c r="G85" s="217"/>
      <c r="H85" s="217"/>
      <c r="I85" s="217"/>
      <c r="K85" s="193"/>
      <c r="L85" s="184"/>
      <c r="M85" s="218"/>
      <c r="N85" s="219"/>
      <c r="O85" s="219"/>
      <c r="P85" s="198"/>
      <c r="Q85" s="36"/>
      <c r="R85" s="36"/>
      <c r="S85" s="36"/>
      <c r="T85" s="27"/>
      <c r="U85" s="36"/>
      <c r="V85" s="36"/>
      <c r="W85" s="36"/>
      <c r="X85" s="27"/>
      <c r="AB85" s="38">
        <f t="shared" si="51"/>
        <v>-49271.499999999942</v>
      </c>
      <c r="AE85" s="38">
        <f>E47</f>
        <v>-2052.9791666666642</v>
      </c>
      <c r="AF85" s="38">
        <f>P48</f>
        <v>0</v>
      </c>
      <c r="AI85" s="25">
        <f>T48</f>
        <v>0</v>
      </c>
      <c r="AJ85" s="25">
        <f>X48</f>
        <v>0</v>
      </c>
    </row>
    <row r="86" spans="2:36" ht="12.75" x14ac:dyDescent="0.2">
      <c r="B86" s="214"/>
      <c r="C86" s="215"/>
      <c r="D86" s="216"/>
      <c r="E86" s="198"/>
      <c r="F86" s="216"/>
      <c r="G86" s="217"/>
      <c r="H86" s="217"/>
      <c r="I86" s="217"/>
      <c r="K86" s="193"/>
      <c r="L86" s="184"/>
      <c r="M86" s="218"/>
      <c r="N86" s="219"/>
      <c r="O86" s="219"/>
      <c r="P86" s="198"/>
      <c r="Q86" s="36"/>
      <c r="R86" s="36"/>
      <c r="S86" s="36"/>
      <c r="T86" s="27"/>
      <c r="U86" s="36"/>
      <c r="V86" s="36"/>
      <c r="W86" s="36"/>
      <c r="X86" s="27"/>
      <c r="AB86" s="38">
        <f t="shared" si="51"/>
        <v>-49247.499999999942</v>
      </c>
      <c r="AE86" s="38">
        <f>E48</f>
        <v>-2051.9791666666642</v>
      </c>
      <c r="AF86" s="38">
        <f>P48</f>
        <v>0</v>
      </c>
      <c r="AI86" s="25">
        <f>T48</f>
        <v>0</v>
      </c>
      <c r="AJ86" s="25">
        <f>X48</f>
        <v>0</v>
      </c>
    </row>
    <row r="87" spans="2:36" ht="12.75" x14ac:dyDescent="0.2">
      <c r="B87" s="214"/>
      <c r="C87" s="215"/>
      <c r="D87" s="216"/>
      <c r="E87" s="198"/>
      <c r="F87" s="216"/>
      <c r="G87" s="217"/>
      <c r="H87" s="217"/>
      <c r="I87" s="217"/>
      <c r="K87" s="193"/>
      <c r="L87" s="184"/>
      <c r="M87" s="218"/>
      <c r="N87" s="219"/>
      <c r="O87" s="219"/>
      <c r="P87" s="198"/>
      <c r="Q87" s="36"/>
      <c r="R87" s="36"/>
      <c r="S87" s="36"/>
      <c r="T87" s="27"/>
      <c r="U87" s="36"/>
      <c r="V87" s="36"/>
      <c r="W87" s="36"/>
      <c r="X87" s="27"/>
      <c r="AB87" s="38">
        <f t="shared" si="51"/>
        <v>-49247.499999999942</v>
      </c>
      <c r="AE87" s="38">
        <f>E48</f>
        <v>-2051.9791666666642</v>
      </c>
      <c r="AF87" s="38">
        <f>P49</f>
        <v>0</v>
      </c>
      <c r="AI87" s="25">
        <f>T49</f>
        <v>0</v>
      </c>
      <c r="AJ87" s="25">
        <f>X49</f>
        <v>0</v>
      </c>
    </row>
    <row r="88" spans="2:36" ht="12.75" x14ac:dyDescent="0.2">
      <c r="B88" s="214"/>
      <c r="C88" s="215"/>
      <c r="D88" s="216"/>
      <c r="E88" s="198"/>
      <c r="F88" s="216"/>
      <c r="G88" s="217"/>
      <c r="H88" s="217"/>
      <c r="I88" s="217"/>
      <c r="K88" s="193"/>
      <c r="L88" s="184"/>
      <c r="M88" s="218"/>
      <c r="N88" s="219"/>
      <c r="O88" s="219"/>
      <c r="P88" s="198"/>
      <c r="Q88" s="36"/>
      <c r="R88" s="36"/>
      <c r="S88" s="36"/>
      <c r="T88" s="27"/>
      <c r="U88" s="36"/>
      <c r="V88" s="36"/>
      <c r="W88" s="36"/>
      <c r="X88" s="27"/>
      <c r="AB88" s="38">
        <f t="shared" si="51"/>
        <v>-49223.499999999942</v>
      </c>
      <c r="AE88" s="38">
        <f>E49</f>
        <v>-2050.9791666666642</v>
      </c>
      <c r="AF88" s="38">
        <f>P49</f>
        <v>0</v>
      </c>
      <c r="AI88" s="25">
        <f>T49</f>
        <v>0</v>
      </c>
      <c r="AJ88" s="25">
        <f>X49</f>
        <v>0</v>
      </c>
    </row>
    <row r="89" spans="2:36" ht="12.75" x14ac:dyDescent="0.2">
      <c r="B89" s="214"/>
      <c r="C89" s="215"/>
      <c r="D89" s="216"/>
      <c r="E89" s="198"/>
      <c r="F89" s="216"/>
      <c r="G89" s="217"/>
      <c r="H89" s="217"/>
      <c r="I89" s="217"/>
      <c r="K89" s="193"/>
      <c r="L89" s="184"/>
      <c r="M89" s="218"/>
      <c r="N89" s="219"/>
      <c r="O89" s="219"/>
      <c r="P89" s="198"/>
      <c r="Q89" s="36"/>
      <c r="R89" s="36"/>
      <c r="S89" s="36"/>
      <c r="T89" s="27"/>
      <c r="U89" s="36"/>
      <c r="V89" s="36"/>
      <c r="W89" s="36"/>
      <c r="X89" s="27"/>
      <c r="AB89" s="38">
        <f t="shared" si="51"/>
        <v>-49223.499999999942</v>
      </c>
      <c r="AE89" s="38">
        <f>E49</f>
        <v>-2050.9791666666642</v>
      </c>
      <c r="AF89" s="38">
        <f>P50</f>
        <v>0</v>
      </c>
      <c r="AI89" s="25">
        <f>T50</f>
        <v>0</v>
      </c>
      <c r="AJ89" s="25">
        <f>X50</f>
        <v>0</v>
      </c>
    </row>
    <row r="90" spans="2:36" ht="12.75" x14ac:dyDescent="0.2">
      <c r="B90" s="82"/>
      <c r="C90" s="60"/>
      <c r="D90" s="83"/>
      <c r="E90" s="27"/>
      <c r="F90" s="83"/>
      <c r="G90" s="42"/>
      <c r="H90" s="87"/>
      <c r="I90" s="42"/>
      <c r="K90" s="38"/>
      <c r="L90" s="38"/>
      <c r="M90" s="85"/>
      <c r="N90" s="36"/>
      <c r="O90" s="36"/>
      <c r="P90" s="27"/>
      <c r="Q90" s="36"/>
      <c r="R90" s="36"/>
      <c r="S90" s="36"/>
      <c r="T90" s="27"/>
      <c r="U90" s="36"/>
      <c r="V90" s="36"/>
      <c r="W90" s="36"/>
      <c r="X90" s="27"/>
      <c r="AB90" s="38">
        <f t="shared" si="51"/>
        <v>-49199.499999999942</v>
      </c>
      <c r="AE90" s="38">
        <f>E50</f>
        <v>-2049.9791666666642</v>
      </c>
      <c r="AF90" s="38">
        <f>P50</f>
        <v>0</v>
      </c>
      <c r="AI90" s="25">
        <f>T50</f>
        <v>0</v>
      </c>
      <c r="AJ90" s="25">
        <f>X50</f>
        <v>0</v>
      </c>
    </row>
    <row r="91" spans="2:36" ht="12.75" x14ac:dyDescent="0.2">
      <c r="B91" s="82"/>
      <c r="C91" s="81"/>
      <c r="D91" s="83"/>
      <c r="E91" s="27"/>
      <c r="F91" s="83"/>
      <c r="G91" s="42"/>
      <c r="H91" s="87"/>
      <c r="I91" s="42"/>
      <c r="K91" s="38"/>
      <c r="L91" s="38"/>
      <c r="M91" s="85"/>
      <c r="N91" s="36"/>
      <c r="O91" s="36"/>
      <c r="P91" s="27"/>
      <c r="Q91" s="36"/>
      <c r="R91" s="36"/>
      <c r="S91" s="36"/>
      <c r="T91" s="27"/>
      <c r="U91" s="36"/>
      <c r="V91" s="36"/>
      <c r="W91" s="36"/>
      <c r="X91" s="27"/>
      <c r="AB91" s="38">
        <f t="shared" si="51"/>
        <v>-49199.499999999942</v>
      </c>
      <c r="AE91" s="38">
        <f>E50</f>
        <v>-2049.9791666666642</v>
      </c>
      <c r="AF91" s="38">
        <f>P51</f>
        <v>0</v>
      </c>
      <c r="AI91" s="25">
        <f>T51</f>
        <v>0</v>
      </c>
      <c r="AJ91" s="25">
        <f>X51</f>
        <v>0</v>
      </c>
    </row>
    <row r="92" spans="2:36" ht="12.75" x14ac:dyDescent="0.2">
      <c r="B92" s="82"/>
      <c r="C92" s="81"/>
      <c r="D92" s="83"/>
      <c r="E92" s="27"/>
      <c r="F92" s="83"/>
      <c r="G92" s="42"/>
      <c r="H92" s="87"/>
      <c r="I92" s="42"/>
      <c r="J92" s="94"/>
      <c r="K92" s="38"/>
      <c r="M92" s="85"/>
      <c r="N92" s="36"/>
      <c r="O92" s="36"/>
      <c r="P92" s="27"/>
      <c r="Q92" s="36"/>
      <c r="R92" s="36"/>
      <c r="S92" s="36"/>
      <c r="T92" s="27"/>
      <c r="U92" s="36"/>
      <c r="V92" s="36"/>
      <c r="W92" s="36"/>
      <c r="X92" s="27"/>
      <c r="AB92" s="38">
        <f t="shared" si="51"/>
        <v>-49175.499999999942</v>
      </c>
      <c r="AE92" s="38">
        <f>E51</f>
        <v>-2048.9791666666642</v>
      </c>
      <c r="AF92" s="38">
        <f>P51</f>
        <v>0</v>
      </c>
      <c r="AI92" s="25">
        <f>T51</f>
        <v>0</v>
      </c>
      <c r="AJ92" s="25">
        <f>X51</f>
        <v>0</v>
      </c>
    </row>
    <row r="93" spans="2:36" ht="12.75" x14ac:dyDescent="0.2">
      <c r="B93" s="82"/>
      <c r="C93" s="60"/>
      <c r="D93" s="83"/>
      <c r="E93" s="27"/>
      <c r="F93" s="83"/>
      <c r="G93" s="42"/>
      <c r="H93" s="87"/>
      <c r="I93" s="42"/>
      <c r="J93" s="94"/>
      <c r="K93" s="38"/>
      <c r="L93" s="38"/>
      <c r="M93" s="85"/>
      <c r="N93" s="36"/>
      <c r="O93" s="36"/>
      <c r="P93" s="27"/>
      <c r="Q93" s="36"/>
      <c r="R93" s="36"/>
      <c r="S93" s="36"/>
      <c r="T93" s="27"/>
      <c r="U93" s="36"/>
      <c r="V93" s="36"/>
      <c r="W93" s="36"/>
      <c r="X93" s="27"/>
      <c r="AB93" s="38">
        <f t="shared" si="51"/>
        <v>-49175.499999999942</v>
      </c>
      <c r="AE93" s="38">
        <f>E51</f>
        <v>-2048.9791666666642</v>
      </c>
      <c r="AF93" s="38">
        <f>P52</f>
        <v>0</v>
      </c>
      <c r="AI93" s="25">
        <f>T52</f>
        <v>0</v>
      </c>
      <c r="AJ93" s="25">
        <f>X52</f>
        <v>0</v>
      </c>
    </row>
    <row r="94" spans="2:36" ht="12.75" x14ac:dyDescent="0.2">
      <c r="B94" s="82"/>
      <c r="C94" s="81"/>
      <c r="D94" s="83"/>
      <c r="E94" s="27"/>
      <c r="F94" s="83"/>
      <c r="G94" s="42"/>
      <c r="H94" s="87"/>
      <c r="I94" s="42"/>
      <c r="J94" s="94"/>
      <c r="K94" s="38"/>
      <c r="L94" s="38"/>
      <c r="M94" s="85"/>
      <c r="N94" s="36"/>
      <c r="O94" s="36"/>
      <c r="P94" s="27"/>
      <c r="Q94" s="36"/>
      <c r="R94" s="36"/>
      <c r="S94" s="36"/>
      <c r="T94" s="27"/>
      <c r="U94" s="36"/>
      <c r="V94" s="36"/>
      <c r="W94" s="36"/>
      <c r="X94" s="27"/>
      <c r="AB94" s="38">
        <f t="shared" si="51"/>
        <v>-49151.499999999942</v>
      </c>
      <c r="AE94" s="38">
        <f>E52</f>
        <v>-2047.9791666666642</v>
      </c>
      <c r="AF94" s="38">
        <f>P52</f>
        <v>0</v>
      </c>
      <c r="AI94" s="25">
        <f>T52</f>
        <v>0</v>
      </c>
      <c r="AJ94" s="25">
        <f>X52</f>
        <v>0</v>
      </c>
    </row>
    <row r="95" spans="2:36" ht="12.75" x14ac:dyDescent="0.2">
      <c r="B95" s="82"/>
      <c r="C95" s="81"/>
      <c r="D95" s="83"/>
      <c r="E95" s="27"/>
      <c r="F95" s="83"/>
      <c r="G95" s="42"/>
      <c r="H95" s="87"/>
      <c r="I95" s="42"/>
      <c r="J95" s="94"/>
      <c r="K95" s="38"/>
      <c r="L95" s="38"/>
      <c r="M95" s="85"/>
      <c r="N95" s="36"/>
      <c r="O95" s="36"/>
      <c r="P95" s="27"/>
      <c r="Q95" s="36"/>
      <c r="R95" s="36"/>
      <c r="S95" s="36"/>
      <c r="T95" s="27"/>
      <c r="U95" s="36"/>
      <c r="V95" s="36"/>
      <c r="W95" s="36"/>
      <c r="X95" s="27"/>
      <c r="AB95" s="38">
        <f t="shared" si="51"/>
        <v>-49151.499999999942</v>
      </c>
      <c r="AE95" s="38">
        <f>E52</f>
        <v>-2047.9791666666642</v>
      </c>
      <c r="AF95" s="38">
        <f>P53</f>
        <v>0</v>
      </c>
      <c r="AI95" s="25">
        <f>T53</f>
        <v>0</v>
      </c>
      <c r="AJ95" s="25">
        <f>X53</f>
        <v>0</v>
      </c>
    </row>
    <row r="96" spans="2:36" ht="12.75" x14ac:dyDescent="0.2">
      <c r="B96" s="82"/>
      <c r="C96" s="60"/>
      <c r="D96" s="83"/>
      <c r="E96" s="27"/>
      <c r="F96" s="83"/>
      <c r="G96" s="42"/>
      <c r="H96" s="87"/>
      <c r="I96" s="42"/>
      <c r="J96" s="94"/>
      <c r="K96" s="38"/>
      <c r="L96" s="38"/>
      <c r="M96" s="85"/>
      <c r="N96" s="36"/>
      <c r="O96" s="36"/>
      <c r="P96" s="27"/>
      <c r="Q96" s="36"/>
      <c r="R96" s="36"/>
      <c r="S96" s="36"/>
      <c r="T96" s="27"/>
      <c r="U96" s="36"/>
      <c r="V96" s="36"/>
      <c r="W96" s="36"/>
      <c r="X96" s="27"/>
      <c r="AB96" s="38">
        <f t="shared" si="51"/>
        <v>-49127.499999999942</v>
      </c>
      <c r="AE96" s="38">
        <f>E53</f>
        <v>-2046.9791666666642</v>
      </c>
      <c r="AF96" s="38">
        <f>P53</f>
        <v>0</v>
      </c>
      <c r="AI96" s="25">
        <f>T53</f>
        <v>0</v>
      </c>
      <c r="AJ96" s="25">
        <f>X53</f>
        <v>0</v>
      </c>
    </row>
    <row r="97" spans="2:108" ht="12.75" x14ac:dyDescent="0.2">
      <c r="B97" s="82"/>
      <c r="C97" s="81"/>
      <c r="D97" s="83"/>
      <c r="E97" s="27"/>
      <c r="F97" s="83"/>
      <c r="G97" s="42"/>
      <c r="H97" s="87"/>
      <c r="I97" s="42"/>
      <c r="J97" s="94"/>
      <c r="K97" s="38"/>
      <c r="L97" s="38"/>
      <c r="M97" s="85"/>
      <c r="N97" s="36"/>
      <c r="O97" s="36"/>
      <c r="P97" s="27"/>
      <c r="Q97" s="36"/>
      <c r="R97" s="36"/>
      <c r="S97" s="36"/>
      <c r="T97" s="27"/>
      <c r="U97" s="36"/>
      <c r="V97" s="36"/>
      <c r="W97" s="36"/>
      <c r="X97" s="27"/>
      <c r="AB97" s="38">
        <f t="shared" si="51"/>
        <v>-49127.499999999942</v>
      </c>
      <c r="AE97" s="38">
        <f>E53</f>
        <v>-2046.9791666666642</v>
      </c>
      <c r="AF97" s="38">
        <f>P54</f>
        <v>0</v>
      </c>
      <c r="AI97" s="25">
        <f>T54</f>
        <v>0</v>
      </c>
      <c r="AJ97" s="25">
        <f>X54</f>
        <v>0</v>
      </c>
    </row>
    <row r="98" spans="2:108" ht="12.75" x14ac:dyDescent="0.2">
      <c r="B98" s="82"/>
      <c r="C98" s="81"/>
      <c r="D98" s="83"/>
      <c r="E98" s="27"/>
      <c r="F98" s="83"/>
      <c r="G98" s="42"/>
      <c r="H98" s="87"/>
      <c r="I98" s="42"/>
      <c r="J98" s="94"/>
      <c r="K98" s="38"/>
      <c r="L98" s="38"/>
      <c r="M98" s="85"/>
      <c r="N98" s="36"/>
      <c r="O98" s="37"/>
      <c r="P98" s="37"/>
      <c r="Q98" s="37"/>
      <c r="R98" s="37"/>
      <c r="S98" s="37"/>
      <c r="T98" s="37"/>
      <c r="U98" s="37"/>
      <c r="V98" s="37"/>
      <c r="W98" s="37"/>
      <c r="X98" s="37"/>
      <c r="AB98" s="38">
        <f t="shared" si="51"/>
        <v>-49103.499999999942</v>
      </c>
      <c r="AE98" s="38">
        <f>E54</f>
        <v>-2045.9791666666642</v>
      </c>
      <c r="AF98" s="38">
        <f>P54</f>
        <v>0</v>
      </c>
      <c r="AI98" s="25">
        <f>T54</f>
        <v>0</v>
      </c>
      <c r="AJ98" s="25">
        <f>X54</f>
        <v>0</v>
      </c>
    </row>
    <row r="99" spans="2:108" ht="12.75" x14ac:dyDescent="0.2">
      <c r="B99" s="82"/>
      <c r="C99" s="81"/>
      <c r="D99" s="83"/>
      <c r="E99" s="27"/>
      <c r="F99" s="83"/>
      <c r="G99" s="42"/>
      <c r="H99" s="87"/>
      <c r="I99" s="42"/>
      <c r="J99" s="94"/>
      <c r="K99" s="38"/>
      <c r="L99" s="38"/>
      <c r="M99" s="85"/>
      <c r="N99" s="36"/>
      <c r="AB99" s="38">
        <f t="shared" si="51"/>
        <v>-49103.499999999942</v>
      </c>
      <c r="AE99" s="38">
        <f>E54</f>
        <v>-2045.9791666666642</v>
      </c>
      <c r="AF99" s="38">
        <f>P55</f>
        <v>0</v>
      </c>
      <c r="AI99" s="25">
        <f>T55</f>
        <v>0</v>
      </c>
      <c r="AJ99" s="25">
        <f>X55</f>
        <v>0</v>
      </c>
    </row>
    <row r="100" spans="2:108" ht="12.75" x14ac:dyDescent="0.2">
      <c r="B100" s="82"/>
      <c r="C100" s="81"/>
      <c r="D100" s="83"/>
      <c r="E100" s="27"/>
      <c r="F100" s="83"/>
      <c r="G100" s="42"/>
      <c r="H100" s="87"/>
      <c r="I100" s="42"/>
      <c r="J100" s="94"/>
      <c r="K100" s="38"/>
      <c r="L100" s="38"/>
      <c r="M100" s="85"/>
      <c r="N100" s="36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AB100" s="38">
        <f t="shared" si="51"/>
        <v>-49079.499999999942</v>
      </c>
      <c r="AE100" s="38">
        <f>E55</f>
        <v>-2044.9791666666642</v>
      </c>
      <c r="AF100" s="38">
        <f>P55</f>
        <v>0</v>
      </c>
      <c r="AI100" s="25">
        <f>T55</f>
        <v>0</v>
      </c>
      <c r="AJ100" s="25">
        <f>X55</f>
        <v>0</v>
      </c>
    </row>
    <row r="101" spans="2:108" ht="12.75" x14ac:dyDescent="0.2">
      <c r="B101" s="82"/>
      <c r="C101" s="81"/>
      <c r="D101" s="83"/>
      <c r="E101" s="27"/>
      <c r="F101" s="83"/>
      <c r="G101" s="42"/>
      <c r="H101" s="87"/>
      <c r="I101" s="42"/>
      <c r="J101" s="94"/>
      <c r="K101" s="38"/>
      <c r="L101" s="38"/>
      <c r="M101" s="85"/>
      <c r="N101" s="36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AB101" s="38">
        <f t="shared" si="51"/>
        <v>-49079.499999999942</v>
      </c>
      <c r="AE101" s="38">
        <f>E55</f>
        <v>-2044.9791666666642</v>
      </c>
      <c r="AF101" s="38">
        <f>P56</f>
        <v>0</v>
      </c>
      <c r="AI101" s="25">
        <f>T56</f>
        <v>0</v>
      </c>
      <c r="AJ101" s="25">
        <f>X56</f>
        <v>0</v>
      </c>
    </row>
    <row r="102" spans="2:108" ht="12.75" x14ac:dyDescent="0.2">
      <c r="B102" s="82"/>
      <c r="C102" s="81"/>
      <c r="D102" s="83"/>
      <c r="E102" s="27"/>
      <c r="F102" s="83"/>
      <c r="G102" s="42"/>
      <c r="H102" s="87"/>
      <c r="I102" s="42"/>
      <c r="J102" s="94"/>
      <c r="K102" s="38"/>
      <c r="L102" s="38"/>
      <c r="M102" s="85"/>
      <c r="N102" s="36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AB102" s="38">
        <f t="shared" si="51"/>
        <v>-49055.499999999942</v>
      </c>
      <c r="AE102" s="38">
        <f>E56</f>
        <v>-2043.9791666666642</v>
      </c>
      <c r="AF102" s="38">
        <f>P56</f>
        <v>0</v>
      </c>
      <c r="AI102" s="25">
        <f>T56</f>
        <v>0</v>
      </c>
      <c r="AJ102" s="25">
        <f>X56</f>
        <v>0</v>
      </c>
    </row>
    <row r="103" spans="2:108" ht="12.75" x14ac:dyDescent="0.2">
      <c r="B103" s="82"/>
      <c r="C103" s="81"/>
      <c r="D103" s="83"/>
      <c r="E103" s="27"/>
      <c r="F103" s="83"/>
      <c r="G103" s="42"/>
      <c r="H103" s="87"/>
      <c r="I103" s="42"/>
      <c r="J103" s="184"/>
      <c r="K103" s="38"/>
      <c r="L103" s="38"/>
      <c r="M103" s="85"/>
      <c r="N103" s="36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AB103" s="38">
        <f t="shared" si="51"/>
        <v>-49055.499999999942</v>
      </c>
      <c r="AE103" s="38">
        <f>E56</f>
        <v>-2043.9791666666642</v>
      </c>
      <c r="AF103" s="38">
        <f>P57</f>
        <v>0</v>
      </c>
      <c r="AI103" s="25">
        <f>T57</f>
        <v>0</v>
      </c>
      <c r="AJ103" s="25">
        <f>X57</f>
        <v>0</v>
      </c>
    </row>
    <row r="104" spans="2:108" ht="12.75" x14ac:dyDescent="0.2">
      <c r="B104" s="82"/>
      <c r="C104" s="81"/>
      <c r="D104" s="83"/>
      <c r="E104" s="27"/>
      <c r="F104" s="83"/>
      <c r="G104" s="42"/>
      <c r="H104" s="87"/>
      <c r="I104" s="42"/>
      <c r="J104" s="38"/>
      <c r="K104" s="38"/>
      <c r="L104" s="38"/>
      <c r="M104" s="85"/>
      <c r="N104" s="36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AB104" s="38">
        <f t="shared" si="51"/>
        <v>-49031.499999999942</v>
      </c>
      <c r="AE104" s="38">
        <f>E57</f>
        <v>-2042.9791666666642</v>
      </c>
      <c r="AF104" s="38">
        <f>P57</f>
        <v>0</v>
      </c>
      <c r="AI104" s="25">
        <f>T57</f>
        <v>0</v>
      </c>
      <c r="AJ104" s="25">
        <f>X57</f>
        <v>0</v>
      </c>
    </row>
    <row r="105" spans="2:108" ht="12.75" x14ac:dyDescent="0.2">
      <c r="B105" s="82"/>
      <c r="C105" s="81"/>
      <c r="D105" s="83"/>
      <c r="E105" s="27"/>
      <c r="F105" s="83"/>
      <c r="G105" s="42"/>
      <c r="H105" s="87"/>
      <c r="I105" s="42"/>
      <c r="J105" s="38"/>
      <c r="K105" s="38"/>
      <c r="L105" s="38"/>
      <c r="M105" s="85"/>
      <c r="N105" s="36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AB105" s="38">
        <f t="shared" si="51"/>
        <v>-49031.499999999942</v>
      </c>
      <c r="AE105" s="38">
        <f>E57</f>
        <v>-2042.9791666666642</v>
      </c>
      <c r="AF105" s="38">
        <f>P58</f>
        <v>0</v>
      </c>
      <c r="AI105" s="25">
        <f>T58</f>
        <v>0</v>
      </c>
      <c r="AJ105" s="25">
        <f>X58</f>
        <v>0</v>
      </c>
      <c r="BV105"/>
    </row>
    <row r="106" spans="2:108" ht="12.75" x14ac:dyDescent="0.2">
      <c r="B106" s="82"/>
      <c r="C106" s="81"/>
      <c r="D106" s="83"/>
      <c r="E106" s="27"/>
      <c r="F106" s="83"/>
      <c r="G106" s="42"/>
      <c r="H106" s="87"/>
      <c r="I106" s="42"/>
      <c r="J106" s="38"/>
      <c r="K106" s="38"/>
      <c r="L106" s="38"/>
      <c r="M106" s="85"/>
      <c r="N106" s="36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AB106" s="38">
        <f t="shared" si="51"/>
        <v>-49007.499999999942</v>
      </c>
      <c r="AE106" s="38">
        <f>E58</f>
        <v>-2041.9791666666642</v>
      </c>
      <c r="AF106" s="38">
        <f>P58</f>
        <v>0</v>
      </c>
      <c r="AI106" s="25">
        <f>T58</f>
        <v>0</v>
      </c>
      <c r="AJ106" s="25">
        <f>X58</f>
        <v>0</v>
      </c>
    </row>
    <row r="107" spans="2:108" ht="12.75" x14ac:dyDescent="0.2">
      <c r="B107" s="82"/>
      <c r="C107" s="81"/>
      <c r="D107" s="83"/>
      <c r="E107" s="27"/>
      <c r="F107" s="83"/>
      <c r="G107" s="42"/>
      <c r="H107" s="87"/>
      <c r="I107" s="42"/>
      <c r="J107" s="38"/>
      <c r="K107" s="38"/>
      <c r="L107" s="38"/>
      <c r="M107" s="85"/>
      <c r="N107" s="36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AB107" s="38">
        <f t="shared" si="51"/>
        <v>-49007.499999999942</v>
      </c>
      <c r="AC107"/>
      <c r="AD107"/>
      <c r="AE107" s="38">
        <f>E58</f>
        <v>-2041.9791666666642</v>
      </c>
      <c r="AF107" s="38">
        <f>P59</f>
        <v>0</v>
      </c>
      <c r="AI107" s="25">
        <f>T59</f>
        <v>0</v>
      </c>
      <c r="AJ107" s="25">
        <f>X59</f>
        <v>0</v>
      </c>
    </row>
    <row r="108" spans="2:108" ht="12.75" x14ac:dyDescent="0.2">
      <c r="B108" s="82"/>
      <c r="C108" s="81"/>
      <c r="D108" s="83"/>
      <c r="E108" s="27"/>
      <c r="F108" s="83"/>
      <c r="G108" s="42"/>
      <c r="H108" s="87"/>
      <c r="I108" s="42"/>
      <c r="J108" s="38"/>
      <c r="K108" s="38"/>
      <c r="L108" s="38"/>
      <c r="M108" s="85"/>
      <c r="N108" s="36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AB108" s="38">
        <f t="shared" si="51"/>
        <v>-48983.499999999942</v>
      </c>
      <c r="AC108"/>
      <c r="AD108"/>
      <c r="AE108" s="38">
        <f>E59</f>
        <v>-2040.9791666666642</v>
      </c>
      <c r="AF108" s="38">
        <f>P59</f>
        <v>0</v>
      </c>
      <c r="AI108" s="25">
        <f>T59</f>
        <v>0</v>
      </c>
      <c r="AJ108" s="25">
        <f>X59</f>
        <v>0</v>
      </c>
    </row>
    <row r="109" spans="2:108" ht="12.75" x14ac:dyDescent="0.2">
      <c r="B109" s="82"/>
      <c r="C109" s="81"/>
      <c r="D109" s="83"/>
      <c r="E109" s="27"/>
      <c r="F109" s="83"/>
      <c r="G109" s="42"/>
      <c r="H109" s="87"/>
      <c r="I109" s="42"/>
      <c r="J109" s="38"/>
      <c r="K109" s="38"/>
      <c r="L109" s="38"/>
      <c r="M109" s="85"/>
      <c r="N109" s="36"/>
      <c r="AB109" s="38">
        <f t="shared" si="51"/>
        <v>-48983.499999999942</v>
      </c>
      <c r="AC109"/>
      <c r="AD109"/>
      <c r="AE109" s="38">
        <f>E59</f>
        <v>-2040.9791666666642</v>
      </c>
      <c r="AF109" s="38">
        <f>P60</f>
        <v>0</v>
      </c>
      <c r="AI109" s="25">
        <f>T60</f>
        <v>0</v>
      </c>
      <c r="AJ109" s="25">
        <f>X60</f>
        <v>0</v>
      </c>
    </row>
    <row r="110" spans="2:108" ht="14.25" customHeight="1" x14ac:dyDescent="0.2">
      <c r="B110" s="82"/>
      <c r="C110" s="81"/>
      <c r="D110" s="83"/>
      <c r="E110" s="27"/>
      <c r="F110" s="83"/>
      <c r="G110" s="42"/>
      <c r="H110" s="87"/>
      <c r="I110" s="42"/>
      <c r="J110" s="38"/>
      <c r="K110" s="38"/>
      <c r="L110" s="38"/>
      <c r="M110" s="85"/>
      <c r="N110" s="36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AB110" s="38">
        <f t="shared" si="51"/>
        <v>-48959.499999999942</v>
      </c>
      <c r="AC110"/>
      <c r="AD110"/>
      <c r="AE110" s="38">
        <f>E60</f>
        <v>-2039.9791666666642</v>
      </c>
      <c r="AF110" s="38">
        <f>P60</f>
        <v>0</v>
      </c>
      <c r="AI110" s="25">
        <f>T60</f>
        <v>0</v>
      </c>
      <c r="AJ110" s="25">
        <f>X60</f>
        <v>0</v>
      </c>
    </row>
    <row r="111" spans="2:108" ht="12.75" x14ac:dyDescent="0.2">
      <c r="B111" s="82"/>
      <c r="C111" s="81"/>
      <c r="D111" s="83"/>
      <c r="E111" s="27"/>
      <c r="F111" s="83"/>
      <c r="G111" s="42"/>
      <c r="H111" s="87"/>
      <c r="I111" s="42"/>
      <c r="J111" s="38"/>
      <c r="K111" s="38"/>
      <c r="L111" s="38"/>
      <c r="M111" s="85"/>
      <c r="N111" s="36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/>
      <c r="Z111"/>
      <c r="AA111"/>
      <c r="AB111" s="38">
        <f t="shared" si="51"/>
        <v>-48959.499999999942</v>
      </c>
      <c r="AC111"/>
      <c r="AD111"/>
      <c r="AE111" s="38">
        <f>E60</f>
        <v>-2039.9791666666642</v>
      </c>
      <c r="AF111" s="38">
        <f>P61</f>
        <v>0</v>
      </c>
      <c r="AG111"/>
      <c r="AH111"/>
      <c r="AI111" s="25">
        <f>T61</f>
        <v>0</v>
      </c>
      <c r="AJ111" s="25">
        <f>X61</f>
        <v>0</v>
      </c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</row>
    <row r="112" spans="2:108" ht="12.75" x14ac:dyDescent="0.2">
      <c r="B112" s="82"/>
      <c r="C112" s="81"/>
      <c r="D112" s="83"/>
      <c r="E112" s="27"/>
      <c r="F112" s="83"/>
      <c r="G112" s="42"/>
      <c r="H112" s="87"/>
      <c r="I112" s="42"/>
      <c r="J112" s="38"/>
      <c r="K112" s="38"/>
      <c r="L112" s="38"/>
      <c r="M112" s="85"/>
      <c r="N112" s="36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/>
      <c r="Z112"/>
      <c r="AA112"/>
      <c r="AB112" s="38">
        <f t="shared" si="51"/>
        <v>-48935.499999999942</v>
      </c>
      <c r="AC112"/>
      <c r="AD112"/>
      <c r="AE112" s="38">
        <f>E61</f>
        <v>-2038.9791666666642</v>
      </c>
      <c r="AF112" s="38">
        <f>P61</f>
        <v>0</v>
      </c>
      <c r="AG112"/>
      <c r="AH112"/>
      <c r="AI112" s="25">
        <f>T61</f>
        <v>0</v>
      </c>
      <c r="AJ112" s="25">
        <f>X61</f>
        <v>0</v>
      </c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</row>
    <row r="113" spans="2:108" ht="12.75" x14ac:dyDescent="0.2">
      <c r="B113" s="82"/>
      <c r="C113" s="81"/>
      <c r="D113" s="83"/>
      <c r="E113" s="27"/>
      <c r="F113" s="83"/>
      <c r="G113" s="42"/>
      <c r="H113" s="87"/>
      <c r="I113" s="42"/>
      <c r="J113" s="38"/>
      <c r="K113" s="38"/>
      <c r="L113" s="38"/>
      <c r="M113" s="85"/>
      <c r="N113" s="36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/>
      <c r="Z113"/>
      <c r="AA113"/>
      <c r="AB113" s="38">
        <f t="shared" si="51"/>
        <v>-48935.499999999942</v>
      </c>
      <c r="AC113"/>
      <c r="AD113"/>
      <c r="AE113" s="38">
        <f>E61</f>
        <v>-2038.9791666666642</v>
      </c>
      <c r="AF113" s="38">
        <f>P62</f>
        <v>0</v>
      </c>
      <c r="AG113"/>
      <c r="AH113"/>
      <c r="AI113" s="25">
        <f>T62</f>
        <v>0</v>
      </c>
      <c r="AJ113" s="25">
        <f>X62</f>
        <v>0</v>
      </c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</row>
    <row r="114" spans="2:108" ht="12.75" x14ac:dyDescent="0.2">
      <c r="B114" s="82"/>
      <c r="C114" s="81"/>
      <c r="D114" s="83"/>
      <c r="E114" s="27"/>
      <c r="F114" s="83"/>
      <c r="G114" s="42"/>
      <c r="H114" s="87"/>
      <c r="I114" s="42"/>
      <c r="J114" s="38"/>
      <c r="K114" s="38"/>
      <c r="L114" s="38"/>
      <c r="M114" s="85"/>
      <c r="N114" s="36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/>
      <c r="Z114"/>
      <c r="AA114"/>
      <c r="AB114" s="38">
        <f t="shared" si="51"/>
        <v>-48911.499999999942</v>
      </c>
      <c r="AC114"/>
      <c r="AD114"/>
      <c r="AE114" s="38">
        <f>E62</f>
        <v>-2037.9791666666642</v>
      </c>
      <c r="AF114" s="38">
        <f>P62</f>
        <v>0</v>
      </c>
      <c r="AG114"/>
      <c r="AH114"/>
      <c r="AI114" s="25">
        <f>T62</f>
        <v>0</v>
      </c>
      <c r="AJ114" s="25">
        <f>X62</f>
        <v>0</v>
      </c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</row>
    <row r="115" spans="2:108" ht="12.75" x14ac:dyDescent="0.2">
      <c r="B115" s="82"/>
      <c r="C115" s="81"/>
      <c r="D115" s="83"/>
      <c r="E115" s="27"/>
      <c r="F115" s="83"/>
      <c r="G115" s="42"/>
      <c r="H115" s="87"/>
      <c r="I115" s="42"/>
      <c r="J115" s="38"/>
      <c r="K115" s="38"/>
      <c r="L115" s="38"/>
      <c r="M115" s="85"/>
      <c r="N115" s="36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/>
      <c r="Z115"/>
      <c r="AA115"/>
      <c r="AB115" s="38">
        <f t="shared" si="51"/>
        <v>-48911.499999999942</v>
      </c>
      <c r="AC115"/>
      <c r="AD115"/>
      <c r="AE115" s="38">
        <f>E62</f>
        <v>-2037.9791666666642</v>
      </c>
      <c r="AF115" s="38">
        <f>P63</f>
        <v>0</v>
      </c>
      <c r="AG115"/>
      <c r="AH115"/>
      <c r="AI115" s="25">
        <f>T63</f>
        <v>0</v>
      </c>
      <c r="AJ115" s="25">
        <f>X63</f>
        <v>0</v>
      </c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</row>
    <row r="116" spans="2:108" ht="12.75" x14ac:dyDescent="0.2">
      <c r="B116" s="82"/>
      <c r="C116" s="81"/>
      <c r="D116" s="83"/>
      <c r="E116" s="27"/>
      <c r="F116" s="83"/>
      <c r="G116" s="42"/>
      <c r="H116" s="87"/>
      <c r="I116" s="42"/>
      <c r="J116" s="38"/>
      <c r="K116" s="38"/>
      <c r="L116" s="38"/>
      <c r="M116" s="85"/>
      <c r="N116" s="36"/>
      <c r="Y116"/>
      <c r="Z116"/>
      <c r="AA116"/>
      <c r="AB116" s="38">
        <f t="shared" si="51"/>
        <v>0</v>
      </c>
      <c r="AC116"/>
      <c r="AD116"/>
      <c r="AE116" s="38">
        <f>E63</f>
        <v>0</v>
      </c>
      <c r="AF116" s="38">
        <f>P63</f>
        <v>0</v>
      </c>
      <c r="AG116"/>
      <c r="AH116"/>
      <c r="AI116" s="25">
        <f>T63</f>
        <v>0</v>
      </c>
      <c r="AJ116" s="25">
        <f>X63</f>
        <v>0</v>
      </c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</row>
    <row r="117" spans="2:108" ht="12.75" x14ac:dyDescent="0.2">
      <c r="B117" s="82"/>
      <c r="C117" s="81"/>
      <c r="D117" s="83"/>
      <c r="E117" s="27"/>
      <c r="F117" s="83"/>
      <c r="G117" s="42"/>
      <c r="H117" s="87"/>
      <c r="I117" s="42"/>
      <c r="J117" s="38"/>
      <c r="K117" s="38"/>
      <c r="L117" s="38"/>
      <c r="M117" s="85"/>
      <c r="N117" s="36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/>
      <c r="Z117"/>
      <c r="AA117"/>
      <c r="AB117" s="38">
        <f t="shared" si="51"/>
        <v>0</v>
      </c>
      <c r="AC117"/>
      <c r="AD117"/>
      <c r="AE117" s="38">
        <f>E63</f>
        <v>0</v>
      </c>
      <c r="AF117" s="38">
        <f>P64</f>
        <v>0</v>
      </c>
      <c r="AG117"/>
      <c r="AH117"/>
      <c r="AI117" s="25">
        <f>T64</f>
        <v>0</v>
      </c>
      <c r="AJ117" s="25">
        <f>X64</f>
        <v>0</v>
      </c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</row>
    <row r="118" spans="2:108" ht="12.75" x14ac:dyDescent="0.2">
      <c r="B118" s="82"/>
      <c r="C118" s="81"/>
      <c r="D118" s="83"/>
      <c r="E118" s="27"/>
      <c r="F118" s="83"/>
      <c r="G118" s="42"/>
      <c r="H118" s="87"/>
      <c r="I118" s="42"/>
      <c r="J118" s="38"/>
      <c r="K118" s="38"/>
      <c r="L118" s="38"/>
      <c r="M118" s="85"/>
      <c r="N118" s="36"/>
      <c r="Y118"/>
      <c r="Z118"/>
      <c r="AA118"/>
      <c r="AB118" s="38">
        <f t="shared" si="51"/>
        <v>0</v>
      </c>
      <c r="AC118"/>
      <c r="AD118"/>
      <c r="AE118" s="38">
        <f>E64</f>
        <v>0</v>
      </c>
      <c r="AF118" s="38">
        <f>P64</f>
        <v>0</v>
      </c>
      <c r="AG118"/>
      <c r="AH118"/>
      <c r="AI118" s="25">
        <f>T64</f>
        <v>0</v>
      </c>
      <c r="AJ118" s="25">
        <f>X64</f>
        <v>0</v>
      </c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</row>
    <row r="119" spans="2:108" ht="12.75" x14ac:dyDescent="0.2">
      <c r="B119" s="82"/>
      <c r="C119" s="81"/>
      <c r="D119" s="83"/>
      <c r="E119" s="27"/>
      <c r="F119" s="83"/>
      <c r="G119" s="42"/>
      <c r="H119" s="87"/>
      <c r="I119" s="42"/>
      <c r="J119" s="38"/>
      <c r="K119" s="38"/>
      <c r="L119" s="38"/>
      <c r="M119" s="85"/>
      <c r="N119" s="36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/>
      <c r="Z119"/>
      <c r="AA119"/>
      <c r="AB119" s="38">
        <f t="shared" si="51"/>
        <v>0</v>
      </c>
      <c r="AC119"/>
      <c r="AD119"/>
      <c r="AE119" s="38">
        <f>E64</f>
        <v>0</v>
      </c>
      <c r="AF119" s="38">
        <f>P65</f>
        <v>0</v>
      </c>
      <c r="AG119"/>
      <c r="AH119"/>
      <c r="AI119" s="25">
        <f>T65</f>
        <v>0</v>
      </c>
      <c r="AJ119" s="25">
        <f>X65</f>
        <v>0</v>
      </c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</row>
    <row r="120" spans="2:108" ht="12.75" x14ac:dyDescent="0.2">
      <c r="B120" s="82"/>
      <c r="C120" s="81"/>
      <c r="D120" s="83"/>
      <c r="E120" s="27"/>
      <c r="F120" s="83"/>
      <c r="G120" s="42"/>
      <c r="H120" s="87"/>
      <c r="I120" s="42"/>
      <c r="J120" s="38"/>
      <c r="K120" s="38"/>
      <c r="L120" s="38"/>
      <c r="M120" s="85"/>
      <c r="N120" s="36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/>
      <c r="Z120"/>
      <c r="AA120"/>
      <c r="AB120" s="38">
        <f t="shared" si="51"/>
        <v>0</v>
      </c>
      <c r="AC120"/>
      <c r="AD120"/>
      <c r="AE120" s="38">
        <f>E65</f>
        <v>0</v>
      </c>
      <c r="AF120" s="38">
        <f>P65</f>
        <v>0</v>
      </c>
      <c r="AG120"/>
      <c r="AH120"/>
      <c r="AI120" s="25">
        <f>T65</f>
        <v>0</v>
      </c>
      <c r="AJ120" s="25">
        <f>X65</f>
        <v>0</v>
      </c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</row>
    <row r="121" spans="2:108" ht="12.75" x14ac:dyDescent="0.2">
      <c r="B121" s="82"/>
      <c r="C121" s="81"/>
      <c r="D121" s="83"/>
      <c r="E121" s="27"/>
      <c r="F121" s="83"/>
      <c r="G121" s="42"/>
      <c r="H121" s="87"/>
      <c r="I121" s="42"/>
      <c r="J121" s="38"/>
      <c r="K121" s="38"/>
      <c r="L121" s="38"/>
      <c r="M121" s="85"/>
      <c r="N121" s="36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/>
      <c r="Z121"/>
      <c r="AA121"/>
      <c r="AB121" s="38">
        <f t="shared" si="51"/>
        <v>0</v>
      </c>
      <c r="AC121"/>
      <c r="AD121"/>
      <c r="AE121" s="38">
        <f>E65</f>
        <v>0</v>
      </c>
      <c r="AF121" s="38">
        <f>P66</f>
        <v>0</v>
      </c>
      <c r="AG121"/>
      <c r="AH121"/>
      <c r="AI121" s="25">
        <f>T66</f>
        <v>0</v>
      </c>
      <c r="AJ121" s="25">
        <f>X66</f>
        <v>0</v>
      </c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</row>
    <row r="122" spans="2:108" ht="12.75" x14ac:dyDescent="0.2">
      <c r="B122" s="82"/>
      <c r="C122" s="81"/>
      <c r="D122" s="83"/>
      <c r="E122" s="27"/>
      <c r="F122" s="83"/>
      <c r="G122" s="42"/>
      <c r="H122" s="87"/>
      <c r="I122" s="42"/>
      <c r="J122" s="38"/>
      <c r="K122" s="38"/>
      <c r="L122" s="38"/>
      <c r="M122" s="85"/>
      <c r="N122" s="36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/>
      <c r="Z122"/>
      <c r="AA122"/>
      <c r="AB122" s="38">
        <f t="shared" si="51"/>
        <v>0</v>
      </c>
      <c r="AC122"/>
      <c r="AD122"/>
      <c r="AE122" s="38">
        <f>E66</f>
        <v>0</v>
      </c>
      <c r="AF122" s="38">
        <f>P66</f>
        <v>0</v>
      </c>
      <c r="AG122"/>
      <c r="AH122"/>
      <c r="AI122" s="25">
        <f>T66</f>
        <v>0</v>
      </c>
      <c r="AJ122" s="25">
        <f>X66</f>
        <v>0</v>
      </c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</row>
    <row r="123" spans="2:108" ht="13.5" thickBot="1" x14ac:dyDescent="0.25">
      <c r="B123" s="82"/>
      <c r="C123" s="81"/>
      <c r="D123" s="83"/>
      <c r="E123" s="27"/>
      <c r="F123" s="83"/>
      <c r="G123" s="42"/>
      <c r="H123" s="87"/>
      <c r="I123" s="133"/>
      <c r="J123" s="38"/>
      <c r="K123" s="38"/>
      <c r="L123" s="38"/>
      <c r="M123" s="85"/>
      <c r="N123" s="36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/>
      <c r="Z123"/>
      <c r="AA123"/>
      <c r="AB123" s="38">
        <f t="shared" si="51"/>
        <v>0</v>
      </c>
      <c r="AC123"/>
      <c r="AD123"/>
      <c r="AE123" s="38">
        <f>E66</f>
        <v>0</v>
      </c>
      <c r="AF123" s="38">
        <f>P67</f>
        <v>0</v>
      </c>
      <c r="AG123"/>
      <c r="AH123"/>
      <c r="AI123" s="25">
        <f>T67</f>
        <v>0</v>
      </c>
      <c r="AJ123" s="25">
        <f>X67</f>
        <v>0</v>
      </c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</row>
    <row r="124" spans="2:108" ht="12.75" x14ac:dyDescent="0.2">
      <c r="B124" s="82"/>
      <c r="C124" s="81"/>
      <c r="D124" s="83"/>
      <c r="E124" s="27"/>
      <c r="F124" s="83"/>
      <c r="G124" s="42"/>
      <c r="H124" s="87"/>
      <c r="I124" s="38"/>
      <c r="J124" s="38"/>
      <c r="K124" s="38"/>
      <c r="L124" s="38"/>
      <c r="M124" s="85"/>
      <c r="N124" s="36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/>
      <c r="Z124"/>
      <c r="AA124"/>
      <c r="AB124" s="38">
        <f t="shared" si="51"/>
        <v>0</v>
      </c>
      <c r="AC124"/>
      <c r="AD124"/>
      <c r="AE124" s="38">
        <f>E67</f>
        <v>0</v>
      </c>
      <c r="AF124" s="38">
        <f>P67</f>
        <v>0</v>
      </c>
      <c r="AG124"/>
      <c r="AH124"/>
      <c r="AI124" s="25">
        <f>T67</f>
        <v>0</v>
      </c>
      <c r="AJ124" s="25">
        <f>X67</f>
        <v>0</v>
      </c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</row>
    <row r="125" spans="2:108" ht="12.75" x14ac:dyDescent="0.2">
      <c r="B125" s="82"/>
      <c r="C125" s="81"/>
      <c r="D125" s="83"/>
      <c r="E125" s="27"/>
      <c r="F125" s="83"/>
      <c r="G125" s="42"/>
      <c r="H125" s="87"/>
      <c r="I125" s="38"/>
      <c r="J125" s="38"/>
      <c r="K125" s="38"/>
      <c r="L125" s="38"/>
      <c r="M125" s="85"/>
      <c r="N125" s="36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/>
      <c r="Z125"/>
      <c r="AA125"/>
      <c r="AB125" s="38">
        <f t="shared" si="51"/>
        <v>0</v>
      </c>
      <c r="AC125"/>
      <c r="AD125"/>
      <c r="AE125" s="38">
        <f>E67</f>
        <v>0</v>
      </c>
      <c r="AF125" s="38">
        <f>P68</f>
        <v>0</v>
      </c>
      <c r="AG125"/>
      <c r="AH125"/>
      <c r="AI125" s="25">
        <f>T68</f>
        <v>0</v>
      </c>
      <c r="AJ125" s="25">
        <f>X68</f>
        <v>0</v>
      </c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</row>
    <row r="126" spans="2:108" ht="12.75" x14ac:dyDescent="0.2">
      <c r="B126" s="82"/>
      <c r="C126" s="81"/>
      <c r="D126" s="83"/>
      <c r="E126" s="27"/>
      <c r="F126" s="83"/>
      <c r="G126" s="42"/>
      <c r="H126" s="87"/>
      <c r="I126" s="38"/>
      <c r="J126" s="38"/>
      <c r="K126" s="38"/>
      <c r="L126" s="38"/>
      <c r="M126" s="85"/>
      <c r="N126" s="36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/>
      <c r="Z126"/>
      <c r="AA126"/>
      <c r="AB126" s="38">
        <f t="shared" si="51"/>
        <v>0</v>
      </c>
      <c r="AC126"/>
      <c r="AD126"/>
      <c r="AE126" s="38">
        <f>E68</f>
        <v>0</v>
      </c>
      <c r="AF126" s="38">
        <f>P68</f>
        <v>0</v>
      </c>
      <c r="AG126"/>
      <c r="AH126"/>
      <c r="AI126" s="25">
        <f>T68</f>
        <v>0</v>
      </c>
      <c r="AJ126" s="25">
        <f>X68</f>
        <v>0</v>
      </c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</row>
    <row r="127" spans="2:108" ht="12.75" x14ac:dyDescent="0.2">
      <c r="B127" s="82"/>
      <c r="C127" s="81"/>
      <c r="D127" s="83"/>
      <c r="E127" s="27"/>
      <c r="F127" s="83"/>
      <c r="G127" s="42"/>
      <c r="H127" s="87"/>
      <c r="I127" s="38"/>
      <c r="J127" s="38"/>
      <c r="K127" s="38"/>
      <c r="L127" s="38"/>
      <c r="M127" s="85"/>
      <c r="N127" s="36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/>
      <c r="Z127"/>
      <c r="AA127"/>
      <c r="AB127" s="38">
        <f t="shared" si="51"/>
        <v>0</v>
      </c>
      <c r="AC127"/>
      <c r="AD127"/>
      <c r="AE127" s="38">
        <f>E68</f>
        <v>0</v>
      </c>
      <c r="AF127" s="38">
        <f>P69</f>
        <v>0</v>
      </c>
      <c r="AG127"/>
      <c r="AH127"/>
      <c r="AI127" s="25">
        <f>T69</f>
        <v>0</v>
      </c>
      <c r="AJ127" s="25">
        <f>X69</f>
        <v>0</v>
      </c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</row>
    <row r="128" spans="2:108" ht="12.75" x14ac:dyDescent="0.2">
      <c r="B128" s="82"/>
      <c r="C128" s="81"/>
      <c r="D128" s="83"/>
      <c r="E128" s="27"/>
      <c r="F128" s="83"/>
      <c r="G128" s="42"/>
      <c r="H128" s="87"/>
      <c r="I128" s="38"/>
      <c r="J128" s="38"/>
      <c r="K128" s="38"/>
      <c r="L128" s="38"/>
      <c r="M128" s="85"/>
      <c r="N128" s="36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/>
      <c r="Z128"/>
      <c r="AA128"/>
      <c r="AB128" s="38">
        <f t="shared" si="51"/>
        <v>0</v>
      </c>
      <c r="AC128"/>
      <c r="AD128"/>
      <c r="AE128" s="38">
        <f>E69</f>
        <v>0</v>
      </c>
      <c r="AF128" s="38">
        <f>P69</f>
        <v>0</v>
      </c>
      <c r="AG128"/>
      <c r="AH128"/>
      <c r="AI128" s="25">
        <f>T69</f>
        <v>0</v>
      </c>
      <c r="AJ128" s="25">
        <f>X69</f>
        <v>0</v>
      </c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</row>
    <row r="129" spans="2:108" ht="12.75" x14ac:dyDescent="0.2">
      <c r="B129" s="82"/>
      <c r="C129" s="81"/>
      <c r="D129" s="83"/>
      <c r="E129" s="27"/>
      <c r="F129" s="83"/>
      <c r="G129" s="42"/>
      <c r="H129" s="87"/>
      <c r="I129" s="38"/>
      <c r="J129" s="38"/>
      <c r="K129" s="38"/>
      <c r="L129" s="38"/>
      <c r="M129" s="85"/>
      <c r="N129" s="36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/>
      <c r="Z129"/>
      <c r="AA129"/>
      <c r="AB129" s="38">
        <f t="shared" si="51"/>
        <v>0</v>
      </c>
      <c r="AC129"/>
      <c r="AD129"/>
      <c r="AE129" s="38">
        <f>E69</f>
        <v>0</v>
      </c>
      <c r="AF129" s="38">
        <f>P70</f>
        <v>0</v>
      </c>
      <c r="AG129"/>
      <c r="AH129"/>
      <c r="AI129" s="25">
        <f>T70</f>
        <v>0</v>
      </c>
      <c r="AJ129" s="25">
        <f>X70</f>
        <v>0</v>
      </c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</row>
    <row r="130" spans="2:108" ht="12.75" x14ac:dyDescent="0.2">
      <c r="B130" s="82"/>
      <c r="C130" s="81"/>
      <c r="D130" s="83"/>
      <c r="E130" s="27"/>
      <c r="F130" s="83"/>
      <c r="G130" s="42"/>
      <c r="H130" s="87"/>
      <c r="I130" s="38"/>
      <c r="J130" s="38"/>
      <c r="K130" s="38"/>
      <c r="L130" s="38"/>
      <c r="M130" s="85"/>
      <c r="N130" s="36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/>
      <c r="Z130"/>
      <c r="AA130"/>
      <c r="AB130" s="38">
        <f t="shared" si="51"/>
        <v>0</v>
      </c>
      <c r="AC130"/>
      <c r="AD130"/>
      <c r="AE130" s="38">
        <f>E70</f>
        <v>0</v>
      </c>
      <c r="AF130" s="38">
        <f>P70</f>
        <v>0</v>
      </c>
      <c r="AG130"/>
      <c r="AH130"/>
      <c r="AI130" s="25">
        <f>T70</f>
        <v>0</v>
      </c>
      <c r="AJ130" s="25">
        <f>X70</f>
        <v>0</v>
      </c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</row>
    <row r="131" spans="2:108" ht="12.75" x14ac:dyDescent="0.2">
      <c r="B131" s="82"/>
      <c r="C131" s="81"/>
      <c r="D131" s="83"/>
      <c r="E131" s="27"/>
      <c r="F131" s="83"/>
      <c r="G131" s="42"/>
      <c r="H131" s="87"/>
      <c r="I131" s="38"/>
      <c r="J131" s="38"/>
      <c r="K131" s="38"/>
      <c r="L131" s="38"/>
      <c r="M131" s="85"/>
      <c r="N131" s="36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/>
      <c r="Z131"/>
      <c r="AA131"/>
      <c r="AB131" s="38">
        <f t="shared" si="51"/>
        <v>0</v>
      </c>
      <c r="AC131"/>
      <c r="AD131"/>
      <c r="AE131" s="38">
        <f>E70</f>
        <v>0</v>
      </c>
      <c r="AF131" s="38">
        <f>P71</f>
        <v>0</v>
      </c>
      <c r="AG131"/>
      <c r="AH131"/>
      <c r="AI131" s="25">
        <f>T71</f>
        <v>0</v>
      </c>
      <c r="AJ131" s="25">
        <f>X71</f>
        <v>0</v>
      </c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</row>
    <row r="132" spans="2:108" ht="12.75" x14ac:dyDescent="0.2">
      <c r="B132" s="82"/>
      <c r="C132" s="81"/>
      <c r="D132" s="83"/>
      <c r="E132" s="27"/>
      <c r="F132" s="83"/>
      <c r="G132" s="42"/>
      <c r="H132" s="87"/>
      <c r="I132" s="38"/>
      <c r="J132" s="38"/>
      <c r="K132" s="38"/>
      <c r="L132" s="38"/>
      <c r="M132" s="85"/>
      <c r="N132" s="36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/>
      <c r="Z132"/>
      <c r="AA132"/>
      <c r="AB132" s="38">
        <f t="shared" si="51"/>
        <v>0</v>
      </c>
      <c r="AC132"/>
      <c r="AD132"/>
      <c r="AE132" s="38">
        <f>E71</f>
        <v>0</v>
      </c>
      <c r="AF132" s="38">
        <f>P71</f>
        <v>0</v>
      </c>
      <c r="AG132"/>
      <c r="AH132"/>
      <c r="AI132" s="25">
        <f>T71</f>
        <v>0</v>
      </c>
      <c r="AJ132" s="25">
        <f>X71</f>
        <v>0</v>
      </c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</row>
    <row r="133" spans="2:108" ht="12.75" x14ac:dyDescent="0.2">
      <c r="B133" s="82"/>
      <c r="C133" s="81"/>
      <c r="D133" s="83"/>
      <c r="E133" s="27"/>
      <c r="F133" s="83"/>
      <c r="G133" s="42"/>
      <c r="H133" s="87"/>
      <c r="I133" s="38"/>
      <c r="J133" s="38"/>
      <c r="K133" s="38"/>
      <c r="L133" s="38"/>
      <c r="M133" s="85"/>
      <c r="N133" s="36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/>
      <c r="Z133"/>
      <c r="AA133"/>
      <c r="AB133" s="38">
        <f t="shared" si="51"/>
        <v>0</v>
      </c>
      <c r="AC133"/>
      <c r="AD133"/>
      <c r="AE133" s="38">
        <f>E71</f>
        <v>0</v>
      </c>
      <c r="AF133" s="38">
        <f>P72</f>
        <v>0</v>
      </c>
      <c r="AG133"/>
      <c r="AH133"/>
      <c r="AI133" s="25">
        <f>T72</f>
        <v>0</v>
      </c>
      <c r="AJ133" s="25">
        <f>X72</f>
        <v>0</v>
      </c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</row>
    <row r="134" spans="2:108" ht="12.75" x14ac:dyDescent="0.2">
      <c r="B134" s="82"/>
      <c r="C134" s="81"/>
      <c r="D134" s="83"/>
      <c r="E134" s="27"/>
      <c r="F134" s="83"/>
      <c r="G134" s="42"/>
      <c r="H134" s="87"/>
      <c r="I134" s="38"/>
      <c r="J134" s="38"/>
      <c r="K134" s="38"/>
      <c r="L134" s="38"/>
      <c r="M134" s="85"/>
      <c r="N134" s="36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/>
      <c r="Z134"/>
      <c r="AA134"/>
      <c r="AB134" s="38">
        <f t="shared" si="51"/>
        <v>0</v>
      </c>
      <c r="AC134"/>
      <c r="AD134"/>
      <c r="AE134" s="38">
        <f>E72</f>
        <v>0</v>
      </c>
      <c r="AF134" s="38">
        <f>P72</f>
        <v>0</v>
      </c>
      <c r="AG134"/>
      <c r="AH134"/>
      <c r="AI134" s="25">
        <f>T72</f>
        <v>0</v>
      </c>
      <c r="AJ134" s="25">
        <f>X72</f>
        <v>0</v>
      </c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</row>
    <row r="135" spans="2:108" ht="12.75" x14ac:dyDescent="0.2">
      <c r="B135" s="82"/>
      <c r="C135" s="81"/>
      <c r="D135" s="83"/>
      <c r="E135" s="27"/>
      <c r="F135" s="83"/>
      <c r="G135" s="42"/>
      <c r="H135" s="87"/>
      <c r="I135" s="38"/>
      <c r="J135" s="38"/>
      <c r="K135" s="38"/>
      <c r="L135" s="38"/>
      <c r="M135" s="85"/>
      <c r="N135" s="36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/>
      <c r="Z135"/>
      <c r="AA135"/>
      <c r="AB135" s="38">
        <f t="shared" si="51"/>
        <v>0</v>
      </c>
      <c r="AC135"/>
      <c r="AD135"/>
      <c r="AE135" s="38">
        <f>E72</f>
        <v>0</v>
      </c>
      <c r="AF135" s="38">
        <f>P73</f>
        <v>0</v>
      </c>
      <c r="AG135"/>
      <c r="AH135"/>
      <c r="AI135" s="25">
        <f>T73</f>
        <v>0</v>
      </c>
      <c r="AJ135" s="25">
        <f>X73</f>
        <v>0</v>
      </c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</row>
    <row r="136" spans="2:108" ht="12.75" x14ac:dyDescent="0.2">
      <c r="B136" s="82"/>
      <c r="C136" s="81"/>
      <c r="D136" s="83"/>
      <c r="E136" s="27"/>
      <c r="F136" s="83"/>
      <c r="G136" s="42"/>
      <c r="H136" s="87"/>
      <c r="I136" s="38"/>
      <c r="J136" s="38"/>
      <c r="K136" s="38"/>
      <c r="L136" s="38"/>
      <c r="M136" s="85"/>
      <c r="N136" s="36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/>
      <c r="Z136"/>
      <c r="AA136"/>
      <c r="AB136" s="38">
        <f t="shared" si="51"/>
        <v>0</v>
      </c>
      <c r="AC136"/>
      <c r="AD136"/>
      <c r="AE136" s="38">
        <f>E73</f>
        <v>0</v>
      </c>
      <c r="AF136" s="38">
        <f>P73</f>
        <v>0</v>
      </c>
      <c r="AG136"/>
      <c r="AH136"/>
      <c r="AI136" s="25">
        <f>T73</f>
        <v>0</v>
      </c>
      <c r="AJ136" s="25">
        <f>X73</f>
        <v>0</v>
      </c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</row>
    <row r="137" spans="2:108" ht="12.75" x14ac:dyDescent="0.2">
      <c r="B137" s="82"/>
      <c r="C137" s="81"/>
      <c r="D137" s="83"/>
      <c r="E137" s="27"/>
      <c r="F137" s="83"/>
      <c r="G137" s="42"/>
      <c r="H137" s="87"/>
      <c r="I137" s="38"/>
      <c r="J137" s="38"/>
      <c r="K137" s="38"/>
      <c r="L137" s="38"/>
      <c r="M137" s="85"/>
      <c r="N137" s="36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/>
      <c r="Z137"/>
      <c r="AA137"/>
      <c r="AB137" s="38">
        <f t="shared" ref="AB137:AB200" si="52">AE137*24</f>
        <v>0</v>
      </c>
      <c r="AC137"/>
      <c r="AD137"/>
      <c r="AE137" s="38">
        <f>E73</f>
        <v>0</v>
      </c>
      <c r="AF137" s="38">
        <f>P74</f>
        <v>0</v>
      </c>
      <c r="AG137"/>
      <c r="AH137"/>
      <c r="AI137" s="25">
        <f>T74</f>
        <v>0</v>
      </c>
      <c r="AJ137" s="25">
        <f>X74</f>
        <v>0</v>
      </c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</row>
    <row r="138" spans="2:108" ht="12.75" x14ac:dyDescent="0.2">
      <c r="B138" s="82"/>
      <c r="C138" s="81"/>
      <c r="D138" s="83"/>
      <c r="E138" s="27"/>
      <c r="F138" s="83"/>
      <c r="G138" s="42"/>
      <c r="H138" s="87"/>
      <c r="I138" s="38"/>
      <c r="J138" s="38"/>
      <c r="K138" s="38"/>
      <c r="L138" s="38"/>
      <c r="M138" s="85"/>
      <c r="N138" s="36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/>
      <c r="Z138"/>
      <c r="AA138"/>
      <c r="AB138" s="38">
        <f t="shared" si="52"/>
        <v>0</v>
      </c>
      <c r="AC138"/>
      <c r="AD138"/>
      <c r="AE138" s="38">
        <f>E74</f>
        <v>0</v>
      </c>
      <c r="AF138" s="38">
        <f>P74</f>
        <v>0</v>
      </c>
      <c r="AG138"/>
      <c r="AH138"/>
      <c r="AI138" s="25">
        <f>T74</f>
        <v>0</v>
      </c>
      <c r="AJ138" s="25">
        <f>X74</f>
        <v>0</v>
      </c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</row>
    <row r="139" spans="2:108" ht="12.75" x14ac:dyDescent="0.2">
      <c r="B139" s="82"/>
      <c r="C139" s="81"/>
      <c r="D139" s="83"/>
      <c r="E139" s="27"/>
      <c r="F139" s="83"/>
      <c r="G139" s="42"/>
      <c r="H139" s="87"/>
      <c r="I139" s="38"/>
      <c r="J139" s="38"/>
      <c r="K139" s="38"/>
      <c r="L139" s="38"/>
      <c r="M139" s="85"/>
      <c r="N139" s="36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/>
      <c r="Z139"/>
      <c r="AA139"/>
      <c r="AB139" s="38">
        <f t="shared" si="52"/>
        <v>0</v>
      </c>
      <c r="AC139"/>
      <c r="AD139"/>
      <c r="AE139" s="38">
        <f>E74</f>
        <v>0</v>
      </c>
      <c r="AF139" s="38">
        <f>P75</f>
        <v>0</v>
      </c>
      <c r="AG139"/>
      <c r="AH139"/>
      <c r="AI139" s="25">
        <f>T75</f>
        <v>0</v>
      </c>
      <c r="AJ139" s="25">
        <f>X75</f>
        <v>0</v>
      </c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</row>
    <row r="140" spans="2:108" ht="12.75" x14ac:dyDescent="0.2">
      <c r="B140" s="82"/>
      <c r="C140" s="81"/>
      <c r="D140" s="83"/>
      <c r="E140" s="27"/>
      <c r="F140" s="83"/>
      <c r="G140" s="42"/>
      <c r="H140" s="87"/>
      <c r="I140" s="38"/>
      <c r="J140" s="38"/>
      <c r="K140" s="38"/>
      <c r="L140" s="38"/>
      <c r="M140" s="85"/>
      <c r="N140" s="36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/>
      <c r="Z140"/>
      <c r="AA140"/>
      <c r="AB140" s="38">
        <f t="shared" si="52"/>
        <v>0</v>
      </c>
      <c r="AC140"/>
      <c r="AD140"/>
      <c r="AE140" s="38">
        <f>E75</f>
        <v>0</v>
      </c>
      <c r="AF140" s="38">
        <f>P75</f>
        <v>0</v>
      </c>
      <c r="AG140"/>
      <c r="AH140"/>
      <c r="AI140" s="25">
        <f>T75</f>
        <v>0</v>
      </c>
      <c r="AJ140" s="25">
        <f>X75</f>
        <v>0</v>
      </c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</row>
    <row r="141" spans="2:108" ht="12.75" x14ac:dyDescent="0.2">
      <c r="L141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/>
      <c r="Z141"/>
      <c r="AA141"/>
      <c r="AB141" s="38">
        <f t="shared" si="52"/>
        <v>0</v>
      </c>
      <c r="AC141"/>
      <c r="AD141"/>
      <c r="AE141" s="38">
        <f>E75</f>
        <v>0</v>
      </c>
      <c r="AF141" s="38">
        <f>P76</f>
        <v>0</v>
      </c>
      <c r="AG141"/>
      <c r="AH141"/>
      <c r="AI141" s="25">
        <f>T76</f>
        <v>0</v>
      </c>
      <c r="AJ141" s="25">
        <f>X76</f>
        <v>0</v>
      </c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</row>
    <row r="142" spans="2:108" ht="12.75" x14ac:dyDescent="0.2">
      <c r="L142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/>
      <c r="Z142"/>
      <c r="AA142"/>
      <c r="AB142" s="38">
        <f t="shared" si="52"/>
        <v>0</v>
      </c>
      <c r="AC142"/>
      <c r="AD142"/>
      <c r="AE142" s="38">
        <f>E76</f>
        <v>0</v>
      </c>
      <c r="AF142" s="38">
        <f>P76</f>
        <v>0</v>
      </c>
      <c r="AG142"/>
      <c r="AH142"/>
      <c r="AI142" s="25">
        <f>T76</f>
        <v>0</v>
      </c>
      <c r="AJ142" s="25">
        <f>X76</f>
        <v>0</v>
      </c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</row>
    <row r="143" spans="2:108" ht="12.75" x14ac:dyDescent="0.2">
      <c r="L143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/>
      <c r="Z143"/>
      <c r="AA143"/>
      <c r="AB143" s="38">
        <f t="shared" si="52"/>
        <v>0</v>
      </c>
      <c r="AC143"/>
      <c r="AD143"/>
      <c r="AE143" s="38">
        <f>E76</f>
        <v>0</v>
      </c>
      <c r="AF143" s="38">
        <f>P77</f>
        <v>0</v>
      </c>
      <c r="AG143"/>
      <c r="AH143"/>
      <c r="AI143" s="25">
        <f>T77</f>
        <v>0</v>
      </c>
      <c r="AJ143" s="25">
        <f>X77</f>
        <v>0</v>
      </c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</row>
    <row r="144" spans="2:108" ht="12.75" x14ac:dyDescent="0.2">
      <c r="L144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/>
      <c r="Z144"/>
      <c r="AA144"/>
      <c r="AB144" s="38">
        <f t="shared" si="52"/>
        <v>0</v>
      </c>
      <c r="AC144"/>
      <c r="AD144"/>
      <c r="AE144" s="38">
        <f>E77</f>
        <v>0</v>
      </c>
      <c r="AF144" s="38">
        <f>P77</f>
        <v>0</v>
      </c>
      <c r="AG144"/>
      <c r="AH144"/>
      <c r="AI144" s="25">
        <f>T77</f>
        <v>0</v>
      </c>
      <c r="AJ144" s="25">
        <f>X77</f>
        <v>0</v>
      </c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</row>
    <row r="145" spans="7:108" ht="12.75" x14ac:dyDescent="0.2">
      <c r="G145" s="17"/>
      <c r="H145" s="17"/>
      <c r="L145" s="18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/>
      <c r="Z145"/>
      <c r="AA145"/>
      <c r="AB145" s="38">
        <f t="shared" si="52"/>
        <v>0</v>
      </c>
      <c r="AC145"/>
      <c r="AD145"/>
      <c r="AE145" s="38">
        <f>E77</f>
        <v>0</v>
      </c>
      <c r="AF145" s="38">
        <f>P78</f>
        <v>0</v>
      </c>
      <c r="AG145"/>
      <c r="AH145"/>
      <c r="AI145" s="25">
        <f>T78</f>
        <v>0</v>
      </c>
      <c r="AJ145" s="25">
        <f>X78</f>
        <v>0</v>
      </c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</row>
    <row r="146" spans="7:108" ht="12.75" x14ac:dyDescent="0.2">
      <c r="G146" s="17"/>
      <c r="H146" s="17"/>
      <c r="L146" s="18"/>
      <c r="Y146"/>
      <c r="Z146"/>
      <c r="AA146"/>
      <c r="AB146" s="38">
        <f t="shared" si="52"/>
        <v>0</v>
      </c>
      <c r="AE146" s="38">
        <f>E78</f>
        <v>0</v>
      </c>
      <c r="AF146" s="38">
        <f>P78</f>
        <v>0</v>
      </c>
      <c r="AG146"/>
      <c r="AH146"/>
      <c r="AI146" s="25">
        <f>T78</f>
        <v>0</v>
      </c>
      <c r="AJ146" s="25">
        <f>X78</f>
        <v>0</v>
      </c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</row>
    <row r="147" spans="7:108" ht="12.75" x14ac:dyDescent="0.2">
      <c r="L147"/>
      <c r="Y147"/>
      <c r="Z147"/>
      <c r="AA147"/>
      <c r="AB147" s="38">
        <f t="shared" si="52"/>
        <v>0</v>
      </c>
      <c r="AE147" s="38">
        <f>E78</f>
        <v>0</v>
      </c>
      <c r="AF147" s="38">
        <f>P79</f>
        <v>0</v>
      </c>
      <c r="AG147"/>
      <c r="AH147"/>
      <c r="AI147" s="25">
        <f>T79</f>
        <v>0</v>
      </c>
      <c r="AJ147" s="25">
        <f>X79</f>
        <v>0</v>
      </c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</row>
    <row r="148" spans="7:108" ht="12.75" x14ac:dyDescent="0.2">
      <c r="L148"/>
      <c r="Y148"/>
      <c r="Z148"/>
      <c r="AA148"/>
      <c r="AB148" s="38">
        <f t="shared" si="52"/>
        <v>0</v>
      </c>
      <c r="AE148" s="38">
        <f>E79</f>
        <v>0</v>
      </c>
      <c r="AF148" s="38">
        <f>P79</f>
        <v>0</v>
      </c>
      <c r="AG148"/>
      <c r="AH148"/>
      <c r="AI148" s="25">
        <f>T79</f>
        <v>0</v>
      </c>
      <c r="AJ148" s="25">
        <f>X79</f>
        <v>0</v>
      </c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</row>
    <row r="149" spans="7:108" ht="12.75" x14ac:dyDescent="0.2">
      <c r="L149"/>
      <c r="Y149"/>
      <c r="Z149"/>
      <c r="AA149"/>
      <c r="AB149" s="38">
        <f t="shared" si="52"/>
        <v>0</v>
      </c>
      <c r="AE149" s="38">
        <f>E79</f>
        <v>0</v>
      </c>
      <c r="AF149" s="38">
        <f>P80</f>
        <v>0</v>
      </c>
      <c r="AG149"/>
      <c r="AH149"/>
      <c r="AI149" s="25">
        <f>T80</f>
        <v>0</v>
      </c>
      <c r="AJ149" s="25">
        <f>X80</f>
        <v>0</v>
      </c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</row>
    <row r="150" spans="7:108" ht="12.75" x14ac:dyDescent="0.2">
      <c r="Y150"/>
      <c r="Z150"/>
      <c r="AA150"/>
      <c r="AB150" s="38">
        <f t="shared" si="52"/>
        <v>0</v>
      </c>
      <c r="AC150"/>
      <c r="AD150"/>
      <c r="AE150" s="38">
        <f>E80</f>
        <v>0</v>
      </c>
      <c r="AF150" s="38">
        <f>P80</f>
        <v>0</v>
      </c>
      <c r="AG150"/>
      <c r="AH150"/>
      <c r="AI150" s="25">
        <f>T80</f>
        <v>0</v>
      </c>
      <c r="AJ150" s="25">
        <f>X80</f>
        <v>0</v>
      </c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</row>
    <row r="151" spans="7:108" ht="12.75" x14ac:dyDescent="0.2">
      <c r="L151"/>
      <c r="Y151"/>
      <c r="Z151"/>
      <c r="AA151"/>
      <c r="AB151" s="38">
        <f t="shared" si="52"/>
        <v>0</v>
      </c>
      <c r="AC151"/>
      <c r="AD151"/>
      <c r="AE151" s="38">
        <f>E80</f>
        <v>0</v>
      </c>
      <c r="AF151" s="38">
        <f>P81</f>
        <v>0</v>
      </c>
      <c r="AG151"/>
      <c r="AH151"/>
      <c r="AI151" s="25">
        <f>T81</f>
        <v>0</v>
      </c>
      <c r="AJ151" s="25">
        <f>X81</f>
        <v>0</v>
      </c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</row>
    <row r="152" spans="7:108" ht="12.75" x14ac:dyDescent="0.2">
      <c r="L152"/>
      <c r="Y152"/>
      <c r="Z152"/>
      <c r="AA152"/>
      <c r="AB152" s="38">
        <f t="shared" si="52"/>
        <v>0</v>
      </c>
      <c r="AC152"/>
      <c r="AD152"/>
      <c r="AE152" s="38">
        <f>E81</f>
        <v>0</v>
      </c>
      <c r="AF152" s="38">
        <f>P81</f>
        <v>0</v>
      </c>
      <c r="AG152"/>
      <c r="AH152"/>
      <c r="AI152" s="25">
        <f>T81</f>
        <v>0</v>
      </c>
      <c r="AJ152" s="25">
        <f>X81</f>
        <v>0</v>
      </c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</row>
    <row r="153" spans="7:108" ht="12.75" x14ac:dyDescent="0.2">
      <c r="L153"/>
      <c r="Y153"/>
      <c r="Z153"/>
      <c r="AA153"/>
      <c r="AB153" s="38">
        <f t="shared" si="52"/>
        <v>0</v>
      </c>
      <c r="AC153"/>
      <c r="AD153"/>
      <c r="AE153" s="38">
        <f>E81</f>
        <v>0</v>
      </c>
      <c r="AF153" s="38">
        <f>P82</f>
        <v>0</v>
      </c>
      <c r="AG153"/>
      <c r="AH153"/>
      <c r="AI153" s="25">
        <f>T82</f>
        <v>0</v>
      </c>
      <c r="AJ153" s="25">
        <f>X82</f>
        <v>0</v>
      </c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</row>
    <row r="154" spans="7:108" ht="12.75" x14ac:dyDescent="0.2">
      <c r="L154"/>
      <c r="Y154"/>
      <c r="Z154"/>
      <c r="AA154"/>
      <c r="AB154" s="38">
        <f t="shared" si="52"/>
        <v>0</v>
      </c>
      <c r="AC154"/>
      <c r="AD154"/>
      <c r="AE154" s="38">
        <f>E82</f>
        <v>0</v>
      </c>
      <c r="AF154" s="38">
        <f>P82</f>
        <v>0</v>
      </c>
      <c r="AG154"/>
      <c r="AH154"/>
      <c r="AI154" s="25">
        <f>T82</f>
        <v>0</v>
      </c>
      <c r="AJ154" s="25">
        <f>X82</f>
        <v>0</v>
      </c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</row>
    <row r="155" spans="7:108" ht="12.75" x14ac:dyDescent="0.2">
      <c r="L155"/>
      <c r="Y155"/>
      <c r="Z155"/>
      <c r="AA155"/>
      <c r="AB155" s="38">
        <f t="shared" si="52"/>
        <v>0</v>
      </c>
      <c r="AC155"/>
      <c r="AD155"/>
      <c r="AE155" s="38">
        <f>E82</f>
        <v>0</v>
      </c>
      <c r="AF155" s="38">
        <f>P83</f>
        <v>0</v>
      </c>
      <c r="AG155"/>
      <c r="AH155"/>
      <c r="AI155" s="25">
        <f>T83</f>
        <v>0</v>
      </c>
      <c r="AJ155" s="25">
        <f>X83</f>
        <v>0</v>
      </c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</row>
    <row r="156" spans="7:108" ht="12.75" x14ac:dyDescent="0.2">
      <c r="L156"/>
      <c r="Y156"/>
      <c r="Z156"/>
      <c r="AA156"/>
      <c r="AB156" s="38">
        <f t="shared" si="52"/>
        <v>0</v>
      </c>
      <c r="AC156"/>
      <c r="AD156"/>
      <c r="AE156" s="38">
        <f>E83</f>
        <v>0</v>
      </c>
      <c r="AF156" s="38">
        <f>P83</f>
        <v>0</v>
      </c>
      <c r="AG156"/>
      <c r="AH156"/>
      <c r="AI156" s="25">
        <f>T83</f>
        <v>0</v>
      </c>
      <c r="AJ156" s="25">
        <f>X83</f>
        <v>0</v>
      </c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</row>
    <row r="157" spans="7:108" ht="12.75" x14ac:dyDescent="0.2">
      <c r="L157"/>
      <c r="Y157"/>
      <c r="Z157"/>
      <c r="AA157"/>
      <c r="AB157" s="38">
        <f t="shared" si="52"/>
        <v>0</v>
      </c>
      <c r="AC157"/>
      <c r="AD157"/>
      <c r="AE157" s="38">
        <f>E83</f>
        <v>0</v>
      </c>
      <c r="AF157" s="38">
        <f>P84</f>
        <v>0</v>
      </c>
      <c r="AG157"/>
      <c r="AH157"/>
      <c r="AI157" s="25">
        <f>T84</f>
        <v>0</v>
      </c>
      <c r="AJ157" s="25">
        <f>X84</f>
        <v>0</v>
      </c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</row>
    <row r="158" spans="7:108" ht="12.75" x14ac:dyDescent="0.2">
      <c r="AB158" s="38">
        <f t="shared" si="52"/>
        <v>0</v>
      </c>
      <c r="AE158" s="38">
        <f>E84</f>
        <v>0</v>
      </c>
      <c r="AF158" s="38">
        <f>P84</f>
        <v>0</v>
      </c>
      <c r="AI158" s="25">
        <f>T84</f>
        <v>0</v>
      </c>
      <c r="AJ158" s="25">
        <f>X84</f>
        <v>0</v>
      </c>
    </row>
    <row r="159" spans="7:108" ht="12.75" x14ac:dyDescent="0.2">
      <c r="AB159" s="38">
        <f t="shared" si="52"/>
        <v>0</v>
      </c>
      <c r="AE159" s="38">
        <f>E84</f>
        <v>0</v>
      </c>
      <c r="AF159" s="38">
        <f>P85</f>
        <v>0</v>
      </c>
      <c r="AI159" s="25">
        <f>T85</f>
        <v>0</v>
      </c>
      <c r="AJ159" s="25">
        <f>X85</f>
        <v>0</v>
      </c>
    </row>
    <row r="160" spans="7:108" ht="12.75" x14ac:dyDescent="0.2">
      <c r="AB160" s="38">
        <f t="shared" si="52"/>
        <v>0</v>
      </c>
      <c r="AE160" s="38">
        <f>E85</f>
        <v>0</v>
      </c>
      <c r="AF160" s="38">
        <f>P85</f>
        <v>0</v>
      </c>
      <c r="AI160" s="25">
        <f>T85</f>
        <v>0</v>
      </c>
      <c r="AJ160" s="25">
        <f>X85</f>
        <v>0</v>
      </c>
    </row>
    <row r="161" spans="28:36" ht="12.75" x14ac:dyDescent="0.2">
      <c r="AB161" s="38">
        <f t="shared" si="52"/>
        <v>0</v>
      </c>
      <c r="AE161" s="38">
        <f>E85</f>
        <v>0</v>
      </c>
      <c r="AF161" s="38">
        <f>P86</f>
        <v>0</v>
      </c>
      <c r="AI161" s="25">
        <f>T86</f>
        <v>0</v>
      </c>
      <c r="AJ161" s="25">
        <f>X86</f>
        <v>0</v>
      </c>
    </row>
    <row r="162" spans="28:36" ht="12.75" x14ac:dyDescent="0.2">
      <c r="AB162" s="38">
        <f t="shared" si="52"/>
        <v>0</v>
      </c>
      <c r="AE162" s="38">
        <f>E86</f>
        <v>0</v>
      </c>
      <c r="AF162" s="38">
        <f>P86</f>
        <v>0</v>
      </c>
      <c r="AI162" s="25">
        <f>T86</f>
        <v>0</v>
      </c>
      <c r="AJ162" s="25">
        <f>X86</f>
        <v>0</v>
      </c>
    </row>
    <row r="163" spans="28:36" ht="12.75" x14ac:dyDescent="0.2">
      <c r="AB163" s="38">
        <f t="shared" si="52"/>
        <v>0</v>
      </c>
      <c r="AE163" s="38">
        <f>E86</f>
        <v>0</v>
      </c>
      <c r="AF163" s="38">
        <f>P87</f>
        <v>0</v>
      </c>
      <c r="AI163" s="25">
        <f>T87</f>
        <v>0</v>
      </c>
      <c r="AJ163" s="25">
        <f>X87</f>
        <v>0</v>
      </c>
    </row>
    <row r="164" spans="28:36" ht="12.75" x14ac:dyDescent="0.2">
      <c r="AB164" s="38">
        <f t="shared" si="52"/>
        <v>0</v>
      </c>
      <c r="AE164" s="38">
        <f>E87</f>
        <v>0</v>
      </c>
      <c r="AF164" s="38">
        <f>P87</f>
        <v>0</v>
      </c>
      <c r="AI164" s="25">
        <f>T87</f>
        <v>0</v>
      </c>
      <c r="AJ164" s="25">
        <f>X87</f>
        <v>0</v>
      </c>
    </row>
    <row r="165" spans="28:36" ht="12.75" x14ac:dyDescent="0.2">
      <c r="AB165" s="38">
        <f t="shared" si="52"/>
        <v>0</v>
      </c>
      <c r="AE165" s="38">
        <f>E87</f>
        <v>0</v>
      </c>
      <c r="AF165" s="38">
        <f>P88</f>
        <v>0</v>
      </c>
      <c r="AI165" s="25">
        <f>T88</f>
        <v>0</v>
      </c>
      <c r="AJ165" s="25">
        <f>X88</f>
        <v>0</v>
      </c>
    </row>
    <row r="166" spans="28:36" ht="12.75" x14ac:dyDescent="0.2">
      <c r="AB166" s="38">
        <f t="shared" si="52"/>
        <v>0</v>
      </c>
      <c r="AE166" s="38">
        <f>E88</f>
        <v>0</v>
      </c>
      <c r="AF166" s="38">
        <f>P88</f>
        <v>0</v>
      </c>
      <c r="AI166" s="25">
        <f>T88</f>
        <v>0</v>
      </c>
      <c r="AJ166" s="25">
        <f>X88</f>
        <v>0</v>
      </c>
    </row>
    <row r="167" spans="28:36" ht="12.75" x14ac:dyDescent="0.2">
      <c r="AB167" s="38">
        <f t="shared" si="52"/>
        <v>0</v>
      </c>
      <c r="AE167" s="38">
        <f>E88</f>
        <v>0</v>
      </c>
      <c r="AF167" s="38">
        <f>P89</f>
        <v>0</v>
      </c>
      <c r="AI167" s="25">
        <f>T89</f>
        <v>0</v>
      </c>
      <c r="AJ167" s="25">
        <f>X89</f>
        <v>0</v>
      </c>
    </row>
    <row r="168" spans="28:36" ht="12.75" x14ac:dyDescent="0.2">
      <c r="AB168" s="38">
        <f t="shared" si="52"/>
        <v>0</v>
      </c>
      <c r="AE168" s="38">
        <f>E89</f>
        <v>0</v>
      </c>
      <c r="AF168" s="38">
        <f>P89</f>
        <v>0</v>
      </c>
      <c r="AI168" s="25">
        <f>T89</f>
        <v>0</v>
      </c>
      <c r="AJ168" s="25">
        <f>X89</f>
        <v>0</v>
      </c>
    </row>
    <row r="169" spans="28:36" ht="12.75" x14ac:dyDescent="0.2">
      <c r="AB169" s="38">
        <f t="shared" si="52"/>
        <v>0</v>
      </c>
      <c r="AE169" s="38">
        <f>E89</f>
        <v>0</v>
      </c>
      <c r="AF169" s="38">
        <f>P90</f>
        <v>0</v>
      </c>
      <c r="AI169" s="25">
        <f>T90</f>
        <v>0</v>
      </c>
      <c r="AJ169" s="25">
        <f>X90</f>
        <v>0</v>
      </c>
    </row>
    <row r="170" spans="28:36" ht="12.75" x14ac:dyDescent="0.2">
      <c r="AB170" s="38">
        <f t="shared" si="52"/>
        <v>0</v>
      </c>
      <c r="AE170" s="38">
        <f>E90</f>
        <v>0</v>
      </c>
      <c r="AF170" s="38"/>
    </row>
    <row r="171" spans="28:36" ht="12.75" x14ac:dyDescent="0.2">
      <c r="AB171" s="38">
        <f t="shared" si="52"/>
        <v>0</v>
      </c>
      <c r="AE171" s="38">
        <f>E90</f>
        <v>0</v>
      </c>
      <c r="AF171" s="38"/>
    </row>
    <row r="172" spans="28:36" ht="12.75" x14ac:dyDescent="0.2">
      <c r="AB172" s="38">
        <f t="shared" si="52"/>
        <v>0</v>
      </c>
      <c r="AE172" s="38">
        <f>E91</f>
        <v>0</v>
      </c>
      <c r="AF172" s="38"/>
    </row>
    <row r="173" spans="28:36" ht="12.75" x14ac:dyDescent="0.2">
      <c r="AB173" s="38">
        <f t="shared" si="52"/>
        <v>0</v>
      </c>
      <c r="AE173" s="38">
        <f>E91</f>
        <v>0</v>
      </c>
      <c r="AF173" s="38"/>
    </row>
    <row r="174" spans="28:36" ht="12.75" x14ac:dyDescent="0.2">
      <c r="AB174" s="38">
        <f t="shared" si="52"/>
        <v>0</v>
      </c>
      <c r="AE174" s="38">
        <f>E92</f>
        <v>0</v>
      </c>
      <c r="AF174" s="38"/>
    </row>
    <row r="175" spans="28:36" ht="12.75" x14ac:dyDescent="0.2">
      <c r="AB175" s="38">
        <f t="shared" si="52"/>
        <v>0</v>
      </c>
      <c r="AE175" s="38">
        <f>E92</f>
        <v>0</v>
      </c>
      <c r="AF175" s="38"/>
    </row>
    <row r="176" spans="28:36" ht="12.75" x14ac:dyDescent="0.2">
      <c r="AB176" s="38">
        <f t="shared" si="52"/>
        <v>0</v>
      </c>
      <c r="AE176" s="38">
        <f>E93</f>
        <v>0</v>
      </c>
      <c r="AF176" s="38"/>
    </row>
    <row r="177" spans="28:32" ht="12.75" x14ac:dyDescent="0.2">
      <c r="AB177" s="38">
        <f t="shared" si="52"/>
        <v>0</v>
      </c>
      <c r="AE177" s="38">
        <f>E93</f>
        <v>0</v>
      </c>
      <c r="AF177" s="38"/>
    </row>
    <row r="178" spans="28:32" ht="12.75" x14ac:dyDescent="0.2">
      <c r="AB178" s="38">
        <f t="shared" si="52"/>
        <v>0</v>
      </c>
      <c r="AE178" s="38">
        <f>E94</f>
        <v>0</v>
      </c>
      <c r="AF178" s="38"/>
    </row>
    <row r="179" spans="28:32" ht="12.75" x14ac:dyDescent="0.2">
      <c r="AB179" s="38">
        <f t="shared" si="52"/>
        <v>0</v>
      </c>
      <c r="AE179" s="38">
        <f>E94</f>
        <v>0</v>
      </c>
      <c r="AF179" s="38"/>
    </row>
    <row r="180" spans="28:32" ht="12.75" x14ac:dyDescent="0.2">
      <c r="AB180" s="38">
        <f t="shared" si="52"/>
        <v>0</v>
      </c>
      <c r="AE180" s="38">
        <f>E95</f>
        <v>0</v>
      </c>
      <c r="AF180" s="38"/>
    </row>
    <row r="181" spans="28:32" ht="12.75" x14ac:dyDescent="0.2">
      <c r="AB181" s="38">
        <f t="shared" si="52"/>
        <v>0</v>
      </c>
      <c r="AE181" s="38">
        <f>E95</f>
        <v>0</v>
      </c>
      <c r="AF181" s="38"/>
    </row>
    <row r="182" spans="28:32" ht="12.75" x14ac:dyDescent="0.2">
      <c r="AB182" s="38">
        <f t="shared" si="52"/>
        <v>0</v>
      </c>
      <c r="AE182" s="38">
        <f>E96</f>
        <v>0</v>
      </c>
      <c r="AF182" s="38"/>
    </row>
    <row r="183" spans="28:32" ht="12.75" x14ac:dyDescent="0.2">
      <c r="AB183" s="38">
        <f t="shared" si="52"/>
        <v>0</v>
      </c>
      <c r="AE183" s="38">
        <f>E96</f>
        <v>0</v>
      </c>
      <c r="AF183" s="38"/>
    </row>
    <row r="184" spans="28:32" ht="12.75" x14ac:dyDescent="0.2">
      <c r="AB184" s="38">
        <f t="shared" si="52"/>
        <v>0</v>
      </c>
      <c r="AE184" s="38">
        <f>E97</f>
        <v>0</v>
      </c>
      <c r="AF184" s="38"/>
    </row>
    <row r="185" spans="28:32" ht="12.75" x14ac:dyDescent="0.2">
      <c r="AB185" s="38">
        <f t="shared" si="52"/>
        <v>0</v>
      </c>
      <c r="AE185" s="38">
        <f>E97</f>
        <v>0</v>
      </c>
      <c r="AF185" s="38"/>
    </row>
    <row r="186" spans="28:32" ht="12.75" x14ac:dyDescent="0.2">
      <c r="AB186" s="38">
        <f t="shared" si="52"/>
        <v>0</v>
      </c>
      <c r="AE186" s="38">
        <f>E98</f>
        <v>0</v>
      </c>
      <c r="AF186" s="38"/>
    </row>
    <row r="187" spans="28:32" ht="12.75" x14ac:dyDescent="0.2">
      <c r="AB187" s="38">
        <f t="shared" si="52"/>
        <v>0</v>
      </c>
      <c r="AE187" s="38">
        <f>E98</f>
        <v>0</v>
      </c>
      <c r="AF187" s="38"/>
    </row>
    <row r="188" spans="28:32" ht="12.75" x14ac:dyDescent="0.2">
      <c r="AB188" s="38">
        <f t="shared" si="52"/>
        <v>0</v>
      </c>
      <c r="AE188" s="38">
        <f>E99</f>
        <v>0</v>
      </c>
      <c r="AF188" s="38"/>
    </row>
    <row r="189" spans="28:32" ht="12.75" x14ac:dyDescent="0.2">
      <c r="AB189" s="38">
        <f t="shared" si="52"/>
        <v>0</v>
      </c>
      <c r="AE189" s="38">
        <f>E99</f>
        <v>0</v>
      </c>
      <c r="AF189" s="38"/>
    </row>
    <row r="190" spans="28:32" ht="12.75" x14ac:dyDescent="0.2">
      <c r="AB190" s="38">
        <f t="shared" si="52"/>
        <v>0</v>
      </c>
      <c r="AE190" s="38">
        <f>E100</f>
        <v>0</v>
      </c>
      <c r="AF190" s="38"/>
    </row>
    <row r="191" spans="28:32" ht="12.75" x14ac:dyDescent="0.2">
      <c r="AB191" s="38">
        <f t="shared" si="52"/>
        <v>0</v>
      </c>
      <c r="AE191" s="38">
        <f>E100</f>
        <v>0</v>
      </c>
      <c r="AF191" s="38"/>
    </row>
    <row r="192" spans="28:32" ht="12.75" x14ac:dyDescent="0.2">
      <c r="AB192" s="38">
        <f t="shared" si="52"/>
        <v>0</v>
      </c>
      <c r="AE192" s="38">
        <f>E101</f>
        <v>0</v>
      </c>
      <c r="AF192" s="38"/>
    </row>
    <row r="193" spans="28:32" ht="12.75" x14ac:dyDescent="0.2">
      <c r="AB193" s="38">
        <f t="shared" si="52"/>
        <v>0</v>
      </c>
      <c r="AE193" s="38">
        <f>E101</f>
        <v>0</v>
      </c>
      <c r="AF193" s="38"/>
    </row>
    <row r="194" spans="28:32" ht="12.75" x14ac:dyDescent="0.2">
      <c r="AB194" s="38">
        <f t="shared" si="52"/>
        <v>0</v>
      </c>
      <c r="AE194" s="38">
        <f>E102</f>
        <v>0</v>
      </c>
      <c r="AF194" s="38"/>
    </row>
    <row r="195" spans="28:32" ht="12.75" x14ac:dyDescent="0.2">
      <c r="AB195" s="38">
        <f t="shared" si="52"/>
        <v>0</v>
      </c>
      <c r="AE195" s="38">
        <f>E102</f>
        <v>0</v>
      </c>
      <c r="AF195" s="38"/>
    </row>
    <row r="196" spans="28:32" ht="12.75" x14ac:dyDescent="0.2">
      <c r="AB196" s="38">
        <f t="shared" si="52"/>
        <v>0</v>
      </c>
      <c r="AE196" s="38">
        <f>E103</f>
        <v>0</v>
      </c>
      <c r="AF196" s="38"/>
    </row>
    <row r="197" spans="28:32" ht="12.75" x14ac:dyDescent="0.2">
      <c r="AB197" s="38">
        <f t="shared" si="52"/>
        <v>0</v>
      </c>
      <c r="AE197" s="38">
        <f>E103</f>
        <v>0</v>
      </c>
      <c r="AF197" s="38"/>
    </row>
    <row r="198" spans="28:32" ht="12.75" x14ac:dyDescent="0.2">
      <c r="AB198" s="38">
        <f t="shared" si="52"/>
        <v>0</v>
      </c>
      <c r="AE198" s="38">
        <f>E104</f>
        <v>0</v>
      </c>
      <c r="AF198" s="38"/>
    </row>
    <row r="199" spans="28:32" ht="12.75" x14ac:dyDescent="0.2">
      <c r="AB199" s="38">
        <f t="shared" si="52"/>
        <v>0</v>
      </c>
      <c r="AE199" s="38">
        <f>E104</f>
        <v>0</v>
      </c>
      <c r="AF199" s="38"/>
    </row>
    <row r="200" spans="28:32" ht="12.75" x14ac:dyDescent="0.2">
      <c r="AB200" s="38">
        <f t="shared" si="52"/>
        <v>0</v>
      </c>
      <c r="AE200" s="38">
        <f>E105</f>
        <v>0</v>
      </c>
      <c r="AF200" s="38"/>
    </row>
    <row r="201" spans="28:32" ht="12.75" x14ac:dyDescent="0.2">
      <c r="AB201" s="38">
        <f t="shared" ref="AB201:AB260" si="53">AE201*24</f>
        <v>0</v>
      </c>
      <c r="AE201" s="38">
        <f>E105</f>
        <v>0</v>
      </c>
      <c r="AF201" s="38"/>
    </row>
    <row r="202" spans="28:32" ht="12.75" x14ac:dyDescent="0.2">
      <c r="AB202" s="38">
        <f t="shared" si="53"/>
        <v>0</v>
      </c>
      <c r="AE202" s="38">
        <f>E106</f>
        <v>0</v>
      </c>
      <c r="AF202" s="38"/>
    </row>
    <row r="203" spans="28:32" ht="12.75" x14ac:dyDescent="0.2">
      <c r="AB203" s="38">
        <f t="shared" si="53"/>
        <v>0</v>
      </c>
      <c r="AE203" s="38">
        <f>E106</f>
        <v>0</v>
      </c>
      <c r="AF203" s="38"/>
    </row>
    <row r="204" spans="28:32" ht="12.75" x14ac:dyDescent="0.2">
      <c r="AB204" s="38">
        <f t="shared" si="53"/>
        <v>0</v>
      </c>
      <c r="AE204" s="38">
        <f>E107</f>
        <v>0</v>
      </c>
      <c r="AF204" s="38"/>
    </row>
    <row r="205" spans="28:32" ht="12.75" x14ac:dyDescent="0.2">
      <c r="AB205" s="38">
        <f t="shared" si="53"/>
        <v>0</v>
      </c>
      <c r="AE205" s="38">
        <f>E107</f>
        <v>0</v>
      </c>
      <c r="AF205" s="38"/>
    </row>
    <row r="206" spans="28:32" ht="12.75" x14ac:dyDescent="0.2">
      <c r="AB206" s="38">
        <f t="shared" si="53"/>
        <v>0</v>
      </c>
      <c r="AE206" s="38">
        <f>E108</f>
        <v>0</v>
      </c>
      <c r="AF206" s="38"/>
    </row>
    <row r="207" spans="28:32" ht="12.75" x14ac:dyDescent="0.2">
      <c r="AB207" s="38">
        <f t="shared" si="53"/>
        <v>0</v>
      </c>
      <c r="AE207" s="38">
        <f>E108</f>
        <v>0</v>
      </c>
      <c r="AF207" s="38"/>
    </row>
    <row r="208" spans="28:32" ht="12.75" x14ac:dyDescent="0.2">
      <c r="AB208" s="38">
        <f t="shared" si="53"/>
        <v>0</v>
      </c>
      <c r="AE208" s="38">
        <f>E109</f>
        <v>0</v>
      </c>
      <c r="AF208" s="38"/>
    </row>
    <row r="209" spans="28:32" ht="12.75" x14ac:dyDescent="0.2">
      <c r="AB209" s="38">
        <f t="shared" si="53"/>
        <v>0</v>
      </c>
      <c r="AE209" s="38">
        <f>E109</f>
        <v>0</v>
      </c>
      <c r="AF209" s="38"/>
    </row>
    <row r="210" spans="28:32" ht="12.75" x14ac:dyDescent="0.2">
      <c r="AB210" s="38">
        <f t="shared" si="53"/>
        <v>0</v>
      </c>
      <c r="AE210" s="38">
        <f>E110</f>
        <v>0</v>
      </c>
      <c r="AF210" s="38"/>
    </row>
    <row r="211" spans="28:32" ht="12.75" x14ac:dyDescent="0.2">
      <c r="AB211" s="38">
        <f t="shared" si="53"/>
        <v>0</v>
      </c>
      <c r="AE211" s="38">
        <f>E110</f>
        <v>0</v>
      </c>
      <c r="AF211" s="38"/>
    </row>
    <row r="212" spans="28:32" ht="12.75" x14ac:dyDescent="0.2">
      <c r="AB212" s="38">
        <f t="shared" si="53"/>
        <v>0</v>
      </c>
      <c r="AE212" s="38">
        <f>E111</f>
        <v>0</v>
      </c>
      <c r="AF212" s="38"/>
    </row>
    <row r="213" spans="28:32" ht="12.75" x14ac:dyDescent="0.2">
      <c r="AB213" s="38">
        <f t="shared" si="53"/>
        <v>0</v>
      </c>
      <c r="AE213" s="38">
        <f>E111</f>
        <v>0</v>
      </c>
      <c r="AF213" s="38"/>
    </row>
    <row r="214" spans="28:32" ht="12.75" x14ac:dyDescent="0.2">
      <c r="AB214" s="38">
        <f t="shared" si="53"/>
        <v>0</v>
      </c>
      <c r="AE214" s="38">
        <f>E112</f>
        <v>0</v>
      </c>
      <c r="AF214" s="38"/>
    </row>
    <row r="215" spans="28:32" ht="12.75" x14ac:dyDescent="0.2">
      <c r="AB215" s="38">
        <f t="shared" si="53"/>
        <v>0</v>
      </c>
      <c r="AE215" s="38">
        <f>E112</f>
        <v>0</v>
      </c>
      <c r="AF215" s="38"/>
    </row>
    <row r="216" spans="28:32" ht="12.75" x14ac:dyDescent="0.2">
      <c r="AB216" s="38">
        <f t="shared" si="53"/>
        <v>0</v>
      </c>
      <c r="AE216" s="38">
        <f>E113</f>
        <v>0</v>
      </c>
      <c r="AF216" s="38"/>
    </row>
    <row r="217" spans="28:32" ht="12.75" x14ac:dyDescent="0.2">
      <c r="AB217" s="38">
        <f t="shared" si="53"/>
        <v>0</v>
      </c>
      <c r="AE217" s="38">
        <f>E113</f>
        <v>0</v>
      </c>
      <c r="AF217" s="38"/>
    </row>
    <row r="218" spans="28:32" ht="12.75" x14ac:dyDescent="0.2">
      <c r="AB218" s="38">
        <f t="shared" si="53"/>
        <v>0</v>
      </c>
      <c r="AE218" s="38">
        <f>E114</f>
        <v>0</v>
      </c>
      <c r="AF218" s="38"/>
    </row>
    <row r="219" spans="28:32" ht="12.75" x14ac:dyDescent="0.2">
      <c r="AB219" s="38">
        <f t="shared" si="53"/>
        <v>0</v>
      </c>
      <c r="AE219" s="38">
        <f>E114</f>
        <v>0</v>
      </c>
      <c r="AF219" s="38"/>
    </row>
    <row r="220" spans="28:32" ht="12.75" x14ac:dyDescent="0.2">
      <c r="AB220" s="38">
        <f t="shared" si="53"/>
        <v>0</v>
      </c>
      <c r="AE220" s="38">
        <f>E115</f>
        <v>0</v>
      </c>
      <c r="AF220" s="38"/>
    </row>
    <row r="221" spans="28:32" ht="12.75" x14ac:dyDescent="0.2">
      <c r="AB221" s="38">
        <f t="shared" si="53"/>
        <v>0</v>
      </c>
      <c r="AE221" s="38">
        <f>E115</f>
        <v>0</v>
      </c>
      <c r="AF221" s="38"/>
    </row>
    <row r="222" spans="28:32" ht="12.75" x14ac:dyDescent="0.2">
      <c r="AB222" s="38">
        <f t="shared" si="53"/>
        <v>0</v>
      </c>
      <c r="AE222" s="38">
        <f>E116</f>
        <v>0</v>
      </c>
      <c r="AF222" s="38"/>
    </row>
    <row r="223" spans="28:32" ht="12.75" x14ac:dyDescent="0.2">
      <c r="AB223" s="38">
        <f t="shared" si="53"/>
        <v>0</v>
      </c>
      <c r="AE223" s="38">
        <f>E116</f>
        <v>0</v>
      </c>
      <c r="AF223" s="38"/>
    </row>
    <row r="224" spans="28:32" ht="12.75" x14ac:dyDescent="0.2">
      <c r="AB224" s="38">
        <f t="shared" si="53"/>
        <v>0</v>
      </c>
      <c r="AE224" s="38">
        <f>E117</f>
        <v>0</v>
      </c>
      <c r="AF224" s="38"/>
    </row>
    <row r="225" spans="28:32" ht="12.75" x14ac:dyDescent="0.2">
      <c r="AB225" s="38">
        <f t="shared" si="53"/>
        <v>0</v>
      </c>
      <c r="AE225" s="38">
        <f>E117</f>
        <v>0</v>
      </c>
      <c r="AF225" s="38"/>
    </row>
    <row r="226" spans="28:32" ht="12.75" x14ac:dyDescent="0.2">
      <c r="AB226" s="38">
        <f t="shared" si="53"/>
        <v>0</v>
      </c>
      <c r="AE226" s="38">
        <f>E118</f>
        <v>0</v>
      </c>
      <c r="AF226" s="38"/>
    </row>
    <row r="227" spans="28:32" ht="12.75" x14ac:dyDescent="0.2">
      <c r="AB227" s="38">
        <f t="shared" si="53"/>
        <v>0</v>
      </c>
      <c r="AE227" s="38">
        <f>E118</f>
        <v>0</v>
      </c>
      <c r="AF227" s="38"/>
    </row>
    <row r="228" spans="28:32" ht="12.75" x14ac:dyDescent="0.2">
      <c r="AB228" s="38">
        <f t="shared" si="53"/>
        <v>0</v>
      </c>
      <c r="AE228" s="38">
        <f>E119</f>
        <v>0</v>
      </c>
      <c r="AF228" s="38"/>
    </row>
    <row r="229" spans="28:32" ht="12.75" x14ac:dyDescent="0.2">
      <c r="AB229" s="38">
        <f t="shared" si="53"/>
        <v>0</v>
      </c>
      <c r="AE229" s="38">
        <f>E119</f>
        <v>0</v>
      </c>
      <c r="AF229" s="38"/>
    </row>
    <row r="230" spans="28:32" ht="12.75" x14ac:dyDescent="0.2">
      <c r="AB230" s="38">
        <f t="shared" si="53"/>
        <v>0</v>
      </c>
      <c r="AE230" s="38">
        <f>E120</f>
        <v>0</v>
      </c>
      <c r="AF230" s="38"/>
    </row>
    <row r="231" spans="28:32" ht="12.75" x14ac:dyDescent="0.2">
      <c r="AB231" s="38">
        <f t="shared" si="53"/>
        <v>0</v>
      </c>
      <c r="AE231" s="38">
        <f>E120</f>
        <v>0</v>
      </c>
      <c r="AF231" s="38"/>
    </row>
    <row r="232" spans="28:32" ht="12.75" x14ac:dyDescent="0.2">
      <c r="AB232" s="38">
        <f t="shared" si="53"/>
        <v>0</v>
      </c>
      <c r="AE232" s="38">
        <f>E121</f>
        <v>0</v>
      </c>
      <c r="AF232" s="38"/>
    </row>
    <row r="233" spans="28:32" ht="12.75" x14ac:dyDescent="0.2">
      <c r="AB233" s="38">
        <f t="shared" si="53"/>
        <v>0</v>
      </c>
      <c r="AE233" s="38">
        <f>E121</f>
        <v>0</v>
      </c>
      <c r="AF233" s="38"/>
    </row>
    <row r="234" spans="28:32" ht="12.75" x14ac:dyDescent="0.2">
      <c r="AB234" s="38">
        <f t="shared" si="53"/>
        <v>0</v>
      </c>
      <c r="AE234" s="38">
        <f>E122</f>
        <v>0</v>
      </c>
      <c r="AF234" s="38"/>
    </row>
    <row r="235" spans="28:32" ht="12.75" x14ac:dyDescent="0.2">
      <c r="AB235" s="38">
        <f t="shared" si="53"/>
        <v>0</v>
      </c>
      <c r="AE235" s="38">
        <f>E122</f>
        <v>0</v>
      </c>
      <c r="AF235" s="38"/>
    </row>
    <row r="236" spans="28:32" ht="12.75" x14ac:dyDescent="0.2">
      <c r="AB236" s="38">
        <f t="shared" si="53"/>
        <v>0</v>
      </c>
      <c r="AE236" s="38">
        <f>E123</f>
        <v>0</v>
      </c>
      <c r="AF236" s="38"/>
    </row>
    <row r="237" spans="28:32" ht="12.75" x14ac:dyDescent="0.2">
      <c r="AB237" s="38">
        <f t="shared" si="53"/>
        <v>0</v>
      </c>
      <c r="AE237" s="38">
        <f>E123</f>
        <v>0</v>
      </c>
      <c r="AF237" s="38"/>
    </row>
    <row r="238" spans="28:32" ht="12.75" x14ac:dyDescent="0.2">
      <c r="AB238" s="38">
        <f t="shared" si="53"/>
        <v>0</v>
      </c>
      <c r="AE238" s="38">
        <f>E124</f>
        <v>0</v>
      </c>
      <c r="AF238" s="38"/>
    </row>
    <row r="239" spans="28:32" ht="12.75" x14ac:dyDescent="0.2">
      <c r="AB239" s="38">
        <f t="shared" si="53"/>
        <v>0</v>
      </c>
      <c r="AE239" s="38">
        <f>E124</f>
        <v>0</v>
      </c>
      <c r="AF239" s="38"/>
    </row>
    <row r="240" spans="28:32" ht="12.75" x14ac:dyDescent="0.2">
      <c r="AB240" s="38">
        <f t="shared" si="53"/>
        <v>0</v>
      </c>
      <c r="AE240" s="38">
        <f>E125</f>
        <v>0</v>
      </c>
      <c r="AF240" s="38"/>
    </row>
    <row r="241" spans="28:32" ht="12.75" x14ac:dyDescent="0.2">
      <c r="AB241" s="38">
        <f t="shared" si="53"/>
        <v>0</v>
      </c>
      <c r="AE241" s="38">
        <f>E125</f>
        <v>0</v>
      </c>
      <c r="AF241" s="38"/>
    </row>
    <row r="242" spans="28:32" ht="12.75" x14ac:dyDescent="0.2">
      <c r="AB242" s="38">
        <f t="shared" si="53"/>
        <v>0</v>
      </c>
      <c r="AE242" s="38">
        <f>E126</f>
        <v>0</v>
      </c>
      <c r="AF242" s="38"/>
    </row>
    <row r="243" spans="28:32" ht="12.75" x14ac:dyDescent="0.2">
      <c r="AB243" s="38">
        <f t="shared" si="53"/>
        <v>0</v>
      </c>
      <c r="AE243" s="38">
        <f>E126</f>
        <v>0</v>
      </c>
      <c r="AF243" s="38"/>
    </row>
    <row r="244" spans="28:32" ht="12.75" x14ac:dyDescent="0.2">
      <c r="AB244" s="38">
        <f t="shared" si="53"/>
        <v>0</v>
      </c>
      <c r="AE244" s="38">
        <f>E127</f>
        <v>0</v>
      </c>
      <c r="AF244" s="38"/>
    </row>
    <row r="245" spans="28:32" ht="12.75" x14ac:dyDescent="0.2">
      <c r="AB245" s="38">
        <f t="shared" si="53"/>
        <v>0</v>
      </c>
      <c r="AE245" s="38">
        <f>E127</f>
        <v>0</v>
      </c>
      <c r="AF245" s="38"/>
    </row>
    <row r="246" spans="28:32" ht="12.75" x14ac:dyDescent="0.2">
      <c r="AB246" s="38">
        <f t="shared" si="53"/>
        <v>0</v>
      </c>
      <c r="AE246" s="38">
        <f>E128</f>
        <v>0</v>
      </c>
      <c r="AF246" s="38"/>
    </row>
    <row r="247" spans="28:32" ht="12.75" x14ac:dyDescent="0.2">
      <c r="AB247" s="38">
        <f t="shared" si="53"/>
        <v>0</v>
      </c>
      <c r="AE247" s="38">
        <f>E128</f>
        <v>0</v>
      </c>
      <c r="AF247" s="38"/>
    </row>
    <row r="248" spans="28:32" ht="12.75" x14ac:dyDescent="0.2">
      <c r="AB248" s="38">
        <f t="shared" si="53"/>
        <v>0</v>
      </c>
      <c r="AE248" s="38">
        <f>E129</f>
        <v>0</v>
      </c>
      <c r="AF248" s="38"/>
    </row>
    <row r="249" spans="28:32" ht="12.75" x14ac:dyDescent="0.2">
      <c r="AB249" s="38">
        <f t="shared" si="53"/>
        <v>0</v>
      </c>
      <c r="AE249" s="38">
        <f>E129</f>
        <v>0</v>
      </c>
      <c r="AF249" s="38"/>
    </row>
    <row r="250" spans="28:32" ht="12.75" x14ac:dyDescent="0.2">
      <c r="AB250" s="38">
        <f t="shared" si="53"/>
        <v>0</v>
      </c>
      <c r="AE250" s="38">
        <f>E130</f>
        <v>0</v>
      </c>
      <c r="AF250" s="38"/>
    </row>
    <row r="251" spans="28:32" ht="12.75" x14ac:dyDescent="0.2">
      <c r="AB251" s="38">
        <f t="shared" si="53"/>
        <v>0</v>
      </c>
      <c r="AE251" s="38">
        <f>E130</f>
        <v>0</v>
      </c>
      <c r="AF251" s="38"/>
    </row>
    <row r="252" spans="28:32" ht="12.75" x14ac:dyDescent="0.2">
      <c r="AB252" s="38">
        <f t="shared" si="53"/>
        <v>0</v>
      </c>
      <c r="AE252" s="38">
        <f>E131</f>
        <v>0</v>
      </c>
      <c r="AF252" s="38"/>
    </row>
    <row r="253" spans="28:32" ht="12.75" x14ac:dyDescent="0.2">
      <c r="AB253" s="38">
        <f t="shared" si="53"/>
        <v>0</v>
      </c>
      <c r="AE253" s="38">
        <f>E131</f>
        <v>0</v>
      </c>
      <c r="AF253" s="38"/>
    </row>
    <row r="254" spans="28:32" ht="12.75" x14ac:dyDescent="0.2">
      <c r="AB254" s="38">
        <f t="shared" si="53"/>
        <v>0</v>
      </c>
      <c r="AE254" s="38">
        <f>E132</f>
        <v>0</v>
      </c>
      <c r="AF254" s="38"/>
    </row>
    <row r="255" spans="28:32" ht="12.75" x14ac:dyDescent="0.2">
      <c r="AB255" s="38">
        <f t="shared" si="53"/>
        <v>0</v>
      </c>
      <c r="AE255" s="38">
        <f>E132</f>
        <v>0</v>
      </c>
      <c r="AF255" s="38"/>
    </row>
    <row r="256" spans="28:32" ht="12.75" x14ac:dyDescent="0.2">
      <c r="AB256" s="38">
        <f t="shared" si="53"/>
        <v>0</v>
      </c>
      <c r="AE256" s="38">
        <f>E133</f>
        <v>0</v>
      </c>
      <c r="AF256" s="38"/>
    </row>
    <row r="257" spans="28:32" ht="12.75" x14ac:dyDescent="0.2">
      <c r="AB257" s="38">
        <f t="shared" si="53"/>
        <v>0</v>
      </c>
      <c r="AE257" s="38">
        <f>E133</f>
        <v>0</v>
      </c>
      <c r="AF257" s="38"/>
    </row>
    <row r="258" spans="28:32" ht="12.75" x14ac:dyDescent="0.2">
      <c r="AB258" s="38">
        <f t="shared" si="53"/>
        <v>0</v>
      </c>
      <c r="AE258" s="38">
        <f>E134</f>
        <v>0</v>
      </c>
      <c r="AF258" s="38"/>
    </row>
    <row r="259" spans="28:32" ht="12.75" x14ac:dyDescent="0.2">
      <c r="AB259" s="38">
        <f t="shared" si="53"/>
        <v>0</v>
      </c>
      <c r="AE259" s="38">
        <f>E134</f>
        <v>0</v>
      </c>
      <c r="AF259" s="38"/>
    </row>
    <row r="260" spans="28:32" ht="12.75" x14ac:dyDescent="0.2">
      <c r="AB260" s="38">
        <f t="shared" si="53"/>
        <v>0</v>
      </c>
      <c r="AE260" s="38">
        <f>E135</f>
        <v>0</v>
      </c>
      <c r="AF260" s="38"/>
    </row>
  </sheetData>
  <mergeCells count="8">
    <mergeCell ref="AU12:AV12"/>
    <mergeCell ref="AU13:AV13"/>
    <mergeCell ref="AU7:AV7"/>
    <mergeCell ref="AY7:AZ7"/>
    <mergeCell ref="AU8:AV8"/>
    <mergeCell ref="AU9:AV9"/>
    <mergeCell ref="AU10:AV10"/>
    <mergeCell ref="AU11:AV11"/>
  </mergeCells>
  <phoneticPr fontId="25" type="noConversion"/>
  <pageMargins left="0.75" right="0.75" top="1" bottom="1" header="0" footer="0"/>
  <headerFooter alignWithMargins="0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921143D3868946836285FBBCFBF2BD" ma:contentTypeVersion="0" ma:contentTypeDescription="Create a new document." ma:contentTypeScope="" ma:versionID="50f5fb1882a71ed7c8884b75e7da2cbc">
  <xsd:schema xmlns:xsd="http://www.w3.org/2001/XMLSchema" xmlns:p="http://schemas.microsoft.com/office/2006/metadata/properties" targetNamespace="http://schemas.microsoft.com/office/2006/metadata/properties" ma:root="true" ma:fieldsID="aa3b8f8ac538389b711b6b89e8cb812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DEC8193E-C903-43E6-A946-A5D7EFAD7D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CAA638A8-993E-4F69-9A0B-61DF91DCCB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55DC79-C3F8-40D4-BC5C-F6A33A3827E7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6</vt:i4>
      </vt:variant>
      <vt:variant>
        <vt:lpstr>Gráficos</vt:lpstr>
      </vt:variant>
      <vt:variant>
        <vt:i4>9</vt:i4>
      </vt:variant>
      <vt:variant>
        <vt:lpstr>Rangos con nombre</vt:lpstr>
      </vt:variant>
      <vt:variant>
        <vt:i4>58</vt:i4>
      </vt:variant>
    </vt:vector>
  </HeadingPairs>
  <TitlesOfParts>
    <vt:vector size="73" baseType="lpstr">
      <vt:lpstr>ferment.</vt:lpstr>
      <vt:lpstr>Graficcos</vt:lpstr>
      <vt:lpstr>Analisis economico</vt:lpstr>
      <vt:lpstr>Hoja3</vt:lpstr>
      <vt:lpstr>productividad</vt:lpstr>
      <vt:lpstr>Cosechas</vt:lpstr>
      <vt:lpstr>Xv y viab</vt:lpstr>
      <vt:lpstr>Velocidad de crecimiento vs pH</vt:lpstr>
      <vt:lpstr>Velocidad de crecimiento</vt:lpstr>
      <vt:lpstr>qp</vt:lpstr>
      <vt:lpstr>Xv vvd total</vt:lpstr>
      <vt:lpstr>Xv vs IgG</vt:lpstr>
      <vt:lpstr>Xv vvd perf cc</vt:lpstr>
      <vt:lpstr>Kd vvd perf cc </vt:lpstr>
      <vt:lpstr>Xv vs pH</vt:lpstr>
      <vt:lpstr>_NH4</vt:lpstr>
      <vt:lpstr>_qNH4</vt:lpstr>
      <vt:lpstr>Ac_Asp.</vt:lpstr>
      <vt:lpstr>Ac_Glut.</vt:lpstr>
      <vt:lpstr>Alaniana</vt:lpstr>
      <vt:lpstr>Alanina</vt:lpstr>
      <vt:lpstr>Arginina</vt:lpstr>
      <vt:lpstr>Cohef_List</vt:lpstr>
      <vt:lpstr>Fenilalanina</vt:lpstr>
      <vt:lpstr>Glicina</vt:lpstr>
      <vt:lpstr>Glutamina</vt:lpstr>
      <vt:lpstr>Histidina</vt:lpstr>
      <vt:lpstr>Inoculo_Fecha</vt:lpstr>
      <vt:lpstr>Inoculo_Hora</vt:lpstr>
      <vt:lpstr>Integral_List</vt:lpstr>
      <vt:lpstr>Isoleucina</vt:lpstr>
      <vt:lpstr>kd</vt:lpstr>
      <vt:lpstr>Lactato</vt:lpstr>
      <vt:lpstr>Leucina</vt:lpstr>
      <vt:lpstr>Lisina</vt:lpstr>
      <vt:lpstr>MeanTime</vt:lpstr>
      <vt:lpstr>Metionina</vt:lpstr>
      <vt:lpstr>Miu_app</vt:lpstr>
      <vt:lpstr>Miu_real</vt:lpstr>
      <vt:lpstr>Ornitina</vt:lpstr>
      <vt:lpstr>qAc_Asp.</vt:lpstr>
      <vt:lpstr>qAc_Glut.</vt:lpstr>
      <vt:lpstr>qAlaniana</vt:lpstr>
      <vt:lpstr>qAlanina</vt:lpstr>
      <vt:lpstr>qArginina</vt:lpstr>
      <vt:lpstr>qFenilalanina</vt:lpstr>
      <vt:lpstr>qGlicina</vt:lpstr>
      <vt:lpstr>qGlutamina</vt:lpstr>
      <vt:lpstr>qHistidina</vt:lpstr>
      <vt:lpstr>qIgG</vt:lpstr>
      <vt:lpstr>qIsoleucina</vt:lpstr>
      <vt:lpstr>qLactato</vt:lpstr>
      <vt:lpstr>qLeucina</vt:lpstr>
      <vt:lpstr>qLisina</vt:lpstr>
      <vt:lpstr>qMetionina</vt:lpstr>
      <vt:lpstr>qOrnitina</vt:lpstr>
      <vt:lpstr>qSerina</vt:lpstr>
      <vt:lpstr>qTirosina</vt:lpstr>
      <vt:lpstr>qTreonina</vt:lpstr>
      <vt:lpstr>qTriptofano</vt:lpstr>
      <vt:lpstr>qValina</vt:lpstr>
      <vt:lpstr>Runtime</vt:lpstr>
      <vt:lpstr>Serina</vt:lpstr>
      <vt:lpstr>SXv</vt:lpstr>
      <vt:lpstr>Tirosina</vt:lpstr>
      <vt:lpstr>Treonina</vt:lpstr>
      <vt:lpstr>Triptofano</vt:lpstr>
      <vt:lpstr>Valina</vt:lpstr>
      <vt:lpstr>Variable_List</vt:lpstr>
      <vt:lpstr>Viab</vt:lpstr>
      <vt:lpstr>Xd</vt:lpstr>
      <vt:lpstr>Xt</vt:lpstr>
      <vt:lpstr>Xv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datos de corrida de fermentación</dc:title>
  <dc:subject>datos de fermentación 1000L</dc:subject>
  <dc:creator>Lic. José Arquímides Castro del Pino</dc:creator>
  <dc:description>Corrida 3222/TA-0901</dc:description>
  <cp:lastModifiedBy>Alvin</cp:lastModifiedBy>
  <cp:lastPrinted>2008-07-21T16:02:07Z</cp:lastPrinted>
  <dcterms:created xsi:type="dcterms:W3CDTF">2000-10-03T14:58:20Z</dcterms:created>
  <dcterms:modified xsi:type="dcterms:W3CDTF">2022-11-08T16:37:35Z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0x01010097921143D3868946836285FBBCFBF2BD</vt:lpwstr>
  </property>
</Properties>
</file>