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21160DDB-0508-4833-800E-C9F04C807448}" xr6:coauthVersionLast="46" xr6:coauthVersionMax="46" xr10:uidLastSave="{00000000-0000-0000-0000-000000000000}"/>
  <bookViews>
    <workbookView xWindow="-120" yWindow="-120" windowWidth="29040" windowHeight="15840" tabRatio="656" xr2:uid="{00000000-000D-0000-FFFF-FFFF00000000}"/>
  </bookViews>
  <sheets>
    <sheet name="Control" sheetId="1" r:id="rId1"/>
    <sheet name="Aminoacidos esenciales" sheetId="5" r:id="rId2"/>
    <sheet name="AA no esenc y cond" sheetId="6" r:id="rId3"/>
    <sheet name="Literatura" sheetId="8" r:id="rId4"/>
  </sheets>
  <calcPr calcId="181029"/>
</workbook>
</file>

<file path=xl/calcChain.xml><?xml version="1.0" encoding="utf-8"?>
<calcChain xmlns="http://schemas.openxmlformats.org/spreadsheetml/2006/main">
  <c r="H4" i="8" l="1"/>
  <c r="H5" i="8"/>
  <c r="AF41" i="1" l="1"/>
  <c r="AF10" i="1"/>
  <c r="AF48" i="1" s="1"/>
  <c r="AF7" i="1"/>
  <c r="Z23" i="1"/>
  <c r="AF23" i="1" s="1"/>
  <c r="AH23" i="1"/>
  <c r="AJ23" i="1"/>
  <c r="AJ27" i="1"/>
  <c r="AH27" i="1"/>
  <c r="AH38" i="1"/>
  <c r="AJ38" i="1"/>
  <c r="AJ41" i="1"/>
  <c r="AH41" i="1"/>
  <c r="AJ10" i="1"/>
  <c r="AJ48" i="1" s="1"/>
  <c r="AH10" i="1"/>
  <c r="AH47" i="1" s="1"/>
  <c r="AH7" i="1"/>
  <c r="AH44" i="1" s="1"/>
  <c r="AJ7" i="1"/>
  <c r="AJ44" i="1" s="1"/>
  <c r="AH48" i="1" l="1"/>
  <c r="AH49" i="1" s="1"/>
  <c r="AJ47" i="1"/>
  <c r="AJ49" i="1" s="1"/>
  <c r="AF27" i="1"/>
  <c r="AH43" i="1"/>
  <c r="AH45" i="1" s="1"/>
  <c r="AJ43" i="1"/>
  <c r="AJ45" i="1" s="1"/>
  <c r="AF47" i="1"/>
  <c r="BJ44" i="1" l="1"/>
  <c r="AF38" i="1" l="1"/>
  <c r="BJ46" i="1" s="1"/>
  <c r="BJ45" i="1"/>
  <c r="BJ48" i="1" l="1"/>
  <c r="BJ47" i="1"/>
  <c r="AF43" i="1"/>
  <c r="AF44" i="1"/>
  <c r="AF49" i="1"/>
  <c r="BJ49" i="1" l="1"/>
  <c r="AF45" i="1"/>
  <c r="BH48" i="1"/>
  <c r="BH49" i="1" s="1"/>
  <c r="BH47" i="1"/>
  <c r="BG47" i="1"/>
  <c r="BG46" i="1"/>
  <c r="BG45" i="1"/>
  <c r="BG44" i="1"/>
  <c r="BG48" i="1" s="1"/>
  <c r="BG49" i="1" s="1"/>
  <c r="AY50" i="1"/>
  <c r="AX48" i="1"/>
  <c r="AX47" i="1"/>
  <c r="K4" i="1"/>
  <c r="K18" i="1"/>
  <c r="L36" i="1" l="1"/>
  <c r="L37" i="1"/>
  <c r="L38" i="1"/>
  <c r="M38" i="1" s="1"/>
  <c r="L39" i="1"/>
  <c r="M39" i="1" s="1"/>
  <c r="L40" i="1"/>
  <c r="L41" i="1"/>
  <c r="M35" i="1"/>
  <c r="L35" i="1"/>
  <c r="H35" i="1"/>
  <c r="I35" i="1" s="1"/>
  <c r="K35" i="1"/>
  <c r="H36" i="1"/>
  <c r="I36" i="1" s="1"/>
  <c r="K36" i="1"/>
  <c r="H37" i="1"/>
  <c r="I37" i="1" s="1"/>
  <c r="K37" i="1"/>
  <c r="H38" i="1"/>
  <c r="I38" i="1" s="1"/>
  <c r="K38" i="1"/>
  <c r="H39" i="1"/>
  <c r="I39" i="1" s="1"/>
  <c r="K39" i="1"/>
  <c r="H40" i="1"/>
  <c r="I40" i="1" s="1"/>
  <c r="K40" i="1"/>
  <c r="H41" i="1"/>
  <c r="I41" i="1" s="1"/>
  <c r="K41" i="1"/>
  <c r="K34" i="1"/>
  <c r="H34" i="1"/>
  <c r="I34" i="1" s="1"/>
  <c r="D36" i="1"/>
  <c r="D37" i="1"/>
  <c r="D38" i="1"/>
  <c r="D39" i="1"/>
  <c r="D40" i="1"/>
  <c r="D41" i="1"/>
  <c r="D20" i="1"/>
  <c r="D21" i="1"/>
  <c r="D22" i="1"/>
  <c r="D23" i="1"/>
  <c r="D24" i="1"/>
  <c r="D25" i="1"/>
  <c r="D26" i="1"/>
  <c r="D27" i="1"/>
  <c r="D19" i="1"/>
  <c r="D35" i="1"/>
  <c r="J35" i="1" s="1"/>
  <c r="J36" i="1" l="1"/>
  <c r="N35" i="1"/>
  <c r="AI38" i="1"/>
  <c r="M40" i="1"/>
  <c r="M37" i="1"/>
  <c r="Y23" i="1"/>
  <c r="AE23" i="1"/>
  <c r="AA23" i="1"/>
  <c r="Y27" i="1"/>
  <c r="AE27" i="1"/>
  <c r="AA27" i="1"/>
  <c r="AG27" i="1" s="1"/>
  <c r="AA41" i="1"/>
  <c r="AG41" i="1" s="1"/>
  <c r="Y41" i="1"/>
  <c r="AE41" i="1"/>
  <c r="AA38" i="1"/>
  <c r="AG38" i="1" s="1"/>
  <c r="Y38" i="1"/>
  <c r="AE38" i="1"/>
  <c r="AK38" i="1" s="1"/>
  <c r="M41" i="1"/>
  <c r="AI41" i="1" s="1"/>
  <c r="M36" i="1"/>
  <c r="L20" i="1"/>
  <c r="L21" i="1"/>
  <c r="L22" i="1"/>
  <c r="L23" i="1"/>
  <c r="L24" i="1"/>
  <c r="L25" i="1"/>
  <c r="L26" i="1"/>
  <c r="L27" i="1"/>
  <c r="K20" i="1"/>
  <c r="K21" i="1"/>
  <c r="K22" i="1"/>
  <c r="K23" i="1"/>
  <c r="K24" i="1"/>
  <c r="K25" i="1"/>
  <c r="K26" i="1"/>
  <c r="K27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L19" i="1"/>
  <c r="K19" i="1"/>
  <c r="H19" i="1"/>
  <c r="I19" i="1" s="1"/>
  <c r="I18" i="1"/>
  <c r="H18" i="1"/>
  <c r="AG23" i="1" l="1"/>
  <c r="J37" i="1"/>
  <c r="N36" i="1"/>
  <c r="L6" i="1"/>
  <c r="L7" i="1"/>
  <c r="L8" i="1"/>
  <c r="L9" i="1"/>
  <c r="L10" i="1"/>
  <c r="L5" i="1"/>
  <c r="K6" i="1"/>
  <c r="K7" i="1"/>
  <c r="K8" i="1"/>
  <c r="K9" i="1"/>
  <c r="K10" i="1"/>
  <c r="K5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4" i="1"/>
  <c r="I4" i="1" s="1"/>
  <c r="D5" i="1"/>
  <c r="J5" i="1" s="1"/>
  <c r="J38" i="1" l="1"/>
  <c r="N37" i="1"/>
  <c r="M5" i="1"/>
  <c r="J39" i="1" l="1"/>
  <c r="N38" i="1"/>
  <c r="Q26" i="1"/>
  <c r="R26" i="1"/>
  <c r="Q27" i="1"/>
  <c r="R27" i="1"/>
  <c r="R12" i="1"/>
  <c r="R13" i="1"/>
  <c r="Q12" i="1"/>
  <c r="Q13" i="1"/>
  <c r="D13" i="1"/>
  <c r="D12" i="1"/>
  <c r="D9" i="1"/>
  <c r="S12" i="1" l="1"/>
  <c r="J40" i="1"/>
  <c r="N39" i="1"/>
  <c r="BI46" i="1" s="1"/>
  <c r="M27" i="1"/>
  <c r="AI27" i="1" s="1"/>
  <c r="M26" i="1"/>
  <c r="M25" i="1"/>
  <c r="M24" i="1"/>
  <c r="L13" i="1"/>
  <c r="S13" i="1"/>
  <c r="S26" i="1"/>
  <c r="S27" i="1"/>
  <c r="H13" i="1"/>
  <c r="I13" i="1" s="1"/>
  <c r="M13" i="1"/>
  <c r="E26" i="1"/>
  <c r="E27" i="1"/>
  <c r="E13" i="1"/>
  <c r="H12" i="1"/>
  <c r="I12" i="1" s="1"/>
  <c r="J41" i="1" l="1"/>
  <c r="N41" i="1" s="1"/>
  <c r="N40" i="1"/>
  <c r="D8" i="1"/>
  <c r="D6" i="1"/>
  <c r="AB78" i="1"/>
  <c r="Z78" i="1"/>
  <c r="X78" i="1"/>
  <c r="R25" i="1"/>
  <c r="Q25" i="1"/>
  <c r="R24" i="1"/>
  <c r="Q24" i="1"/>
  <c r="R23" i="1"/>
  <c r="Q23" i="1"/>
  <c r="Q22" i="1"/>
  <c r="R20" i="1"/>
  <c r="Q20" i="1"/>
  <c r="R19" i="1"/>
  <c r="Q19" i="1"/>
  <c r="M20" i="1" l="1"/>
  <c r="E19" i="1"/>
  <c r="J19" i="1"/>
  <c r="N19" i="1" s="1"/>
  <c r="M19" i="1"/>
  <c r="M22" i="1"/>
  <c r="M23" i="1"/>
  <c r="M21" i="1"/>
  <c r="M9" i="1"/>
  <c r="J6" i="1"/>
  <c r="M6" i="1"/>
  <c r="Q21" i="1"/>
  <c r="S78" i="1"/>
  <c r="AC78" i="1"/>
  <c r="E20" i="1"/>
  <c r="S23" i="1"/>
  <c r="E23" i="1"/>
  <c r="S24" i="1"/>
  <c r="E25" i="1"/>
  <c r="E21" i="1"/>
  <c r="E24" i="1"/>
  <c r="S25" i="1"/>
  <c r="S20" i="1"/>
  <c r="E22" i="1"/>
  <c r="S19" i="1"/>
  <c r="R21" i="1"/>
  <c r="R22" i="1"/>
  <c r="S22" i="1" s="1"/>
  <c r="AK23" i="1" l="1"/>
  <c r="AI23" i="1"/>
  <c r="S21" i="1"/>
  <c r="J20" i="1"/>
  <c r="W78" i="1"/>
  <c r="W80" i="1"/>
  <c r="W79" i="1"/>
  <c r="V19" i="1"/>
  <c r="W19" i="1" s="1"/>
  <c r="U19" i="1"/>
  <c r="T19" i="1"/>
  <c r="AL77" i="1"/>
  <c r="S80" i="1"/>
  <c r="S79" i="1"/>
  <c r="N20" i="1" l="1"/>
  <c r="J21" i="1"/>
  <c r="U20" i="1"/>
  <c r="V20" i="1"/>
  <c r="W20" i="1" s="1"/>
  <c r="T20" i="1"/>
  <c r="V78" i="1"/>
  <c r="U78" i="1"/>
  <c r="T78" i="1"/>
  <c r="AL79" i="1"/>
  <c r="AD78" i="1"/>
  <c r="AL78" i="1"/>
  <c r="AA78" i="1"/>
  <c r="Y78" i="1"/>
  <c r="N21" i="1" l="1"/>
  <c r="J22" i="1"/>
  <c r="AL80" i="1"/>
  <c r="V80" i="1"/>
  <c r="U80" i="1"/>
  <c r="T80" i="1"/>
  <c r="U79" i="1"/>
  <c r="T79" i="1"/>
  <c r="V79" i="1"/>
  <c r="V21" i="1"/>
  <c r="W21" i="1" s="1"/>
  <c r="T21" i="1"/>
  <c r="U21" i="1"/>
  <c r="N22" i="1" l="1"/>
  <c r="J23" i="1"/>
  <c r="T22" i="1"/>
  <c r="V22" i="1"/>
  <c r="W22" i="1" s="1"/>
  <c r="U22" i="1"/>
  <c r="J24" i="1" l="1"/>
  <c r="N23" i="1"/>
  <c r="BI45" i="1" s="1"/>
  <c r="T23" i="1"/>
  <c r="V23" i="1"/>
  <c r="W23" i="1" s="1"/>
  <c r="U23" i="1"/>
  <c r="U24" i="1"/>
  <c r="V24" i="1"/>
  <c r="W24" i="1" s="1"/>
  <c r="T24" i="1"/>
  <c r="N24" i="1" l="1"/>
  <c r="J25" i="1"/>
  <c r="V25" i="1" s="1"/>
  <c r="W25" i="1" s="1"/>
  <c r="T25" i="1"/>
  <c r="U25" i="1"/>
  <c r="N25" i="1" l="1"/>
  <c r="J26" i="1"/>
  <c r="T26" i="1" s="1"/>
  <c r="U26" i="1"/>
  <c r="V26" i="1"/>
  <c r="W26" i="1" s="1"/>
  <c r="J27" i="1" l="1"/>
  <c r="N27" i="1" s="1"/>
  <c r="N26" i="1"/>
  <c r="V27" i="1"/>
  <c r="W27" i="1" s="1"/>
  <c r="T27" i="1"/>
  <c r="U27" i="1"/>
  <c r="AB11" i="1" l="1"/>
  <c r="Z11" i="1"/>
  <c r="X11" i="1"/>
  <c r="AC19" i="1" l="1"/>
  <c r="AC20" i="1" s="1"/>
  <c r="AC21" i="1" s="1"/>
  <c r="AC22" i="1" s="1"/>
  <c r="AC23" i="1" s="1"/>
  <c r="R39" i="1"/>
  <c r="R40" i="1"/>
  <c r="R41" i="1"/>
  <c r="R36" i="1"/>
  <c r="R35" i="1"/>
  <c r="R5" i="1"/>
  <c r="R6" i="1"/>
  <c r="R9" i="1"/>
  <c r="R10" i="1"/>
  <c r="R11" i="1"/>
  <c r="AD23" i="1" l="1"/>
  <c r="AC24" i="1"/>
  <c r="AC25" i="1" s="1"/>
  <c r="AC26" i="1" s="1"/>
  <c r="AC27" i="1" s="1"/>
  <c r="AD27" i="1" s="1"/>
  <c r="AX68" i="1"/>
  <c r="AX72" i="1"/>
  <c r="AX73" i="1"/>
  <c r="AX67" i="1"/>
  <c r="Q41" i="1" l="1"/>
  <c r="S41" i="1" s="1"/>
  <c r="Q40" i="1"/>
  <c r="S40" i="1" s="1"/>
  <c r="Q39" i="1"/>
  <c r="S39" i="1" s="1"/>
  <c r="Q36" i="1"/>
  <c r="S36" i="1" s="1"/>
  <c r="Q35" i="1"/>
  <c r="S35" i="1" s="1"/>
  <c r="Q5" i="1"/>
  <c r="S5" i="1" s="1"/>
  <c r="Q6" i="1"/>
  <c r="S6" i="1" s="1"/>
  <c r="Q9" i="1"/>
  <c r="S9" i="1" s="1"/>
  <c r="Q10" i="1"/>
  <c r="S10" i="1" s="1"/>
  <c r="Q11" i="1"/>
  <c r="S11" i="1" s="1"/>
  <c r="R8" i="1" l="1"/>
  <c r="R38" i="1"/>
  <c r="Q8" i="1"/>
  <c r="Q38" i="1"/>
  <c r="R37" i="1" l="1"/>
  <c r="S38" i="1"/>
  <c r="R7" i="1"/>
  <c r="S8" i="1"/>
  <c r="Q37" i="1"/>
  <c r="Q7" i="1"/>
  <c r="S37" i="1" l="1"/>
  <c r="S7" i="1"/>
  <c r="E41" i="1"/>
  <c r="D10" i="1"/>
  <c r="D11" i="1"/>
  <c r="M10" i="1" l="1"/>
  <c r="L11" i="1"/>
  <c r="L12" i="1"/>
  <c r="E12" i="1"/>
  <c r="M12" i="1"/>
  <c r="E11" i="1"/>
  <c r="M11" i="1"/>
  <c r="H11" i="1"/>
  <c r="I11" i="1" s="1"/>
  <c r="AL62" i="1" l="1"/>
  <c r="D7" i="1"/>
  <c r="E6" i="1"/>
  <c r="AE7" i="1" l="1"/>
  <c r="AA7" i="1"/>
  <c r="Y7" i="1"/>
  <c r="AA10" i="1"/>
  <c r="Y10" i="1"/>
  <c r="AE10" i="1"/>
  <c r="J7" i="1"/>
  <c r="J8" i="1" s="1"/>
  <c r="J9" i="1" s="1"/>
  <c r="J10" i="1" s="1"/>
  <c r="M7" i="1"/>
  <c r="M8" i="1"/>
  <c r="AL63" i="1"/>
  <c r="E5" i="1"/>
  <c r="AC5" i="1"/>
  <c r="E35" i="1"/>
  <c r="AC35" i="1"/>
  <c r="AC36" i="1" s="1"/>
  <c r="AC37" i="1" s="1"/>
  <c r="AC38" i="1" s="1"/>
  <c r="E40" i="1"/>
  <c r="E38" i="1"/>
  <c r="E37" i="1"/>
  <c r="E7" i="1"/>
  <c r="E39" i="1"/>
  <c r="E8" i="1"/>
  <c r="E9" i="1"/>
  <c r="E10" i="1"/>
  <c r="E36" i="1"/>
  <c r="Y43" i="1" l="1"/>
  <c r="Y44" i="1"/>
  <c r="Y45" i="1" s="1"/>
  <c r="Y47" i="1"/>
  <c r="Y48" i="1"/>
  <c r="Y49" i="1" s="1"/>
  <c r="AI10" i="1"/>
  <c r="AD47" i="1"/>
  <c r="AK10" i="1"/>
  <c r="AI7" i="1"/>
  <c r="AK7" i="1"/>
  <c r="AA48" i="1"/>
  <c r="AG10" i="1"/>
  <c r="AA47" i="1"/>
  <c r="AG7" i="1"/>
  <c r="AA43" i="1"/>
  <c r="AA44" i="1"/>
  <c r="AC39" i="1"/>
  <c r="AC40" i="1" s="1"/>
  <c r="AC41" i="1" s="1"/>
  <c r="AD41" i="1" s="1"/>
  <c r="AD38" i="1"/>
  <c r="AD44" i="1"/>
  <c r="AD45" i="1" s="1"/>
  <c r="AD43" i="1"/>
  <c r="U35" i="1"/>
  <c r="V35" i="1"/>
  <c r="W35" i="1" s="1"/>
  <c r="T35" i="1"/>
  <c r="AL64" i="1"/>
  <c r="AC6" i="1"/>
  <c r="AC7" i="1" s="1"/>
  <c r="AA45" i="1" l="1"/>
  <c r="AI44" i="1"/>
  <c r="AI45" i="1" s="1"/>
  <c r="AI43" i="1"/>
  <c r="AA49" i="1"/>
  <c r="AD7" i="1"/>
  <c r="AC8" i="1"/>
  <c r="AI48" i="1"/>
  <c r="AI47" i="1"/>
  <c r="T36" i="1"/>
  <c r="V36" i="1"/>
  <c r="W36" i="1" s="1"/>
  <c r="U36" i="1"/>
  <c r="AL65" i="1"/>
  <c r="AC9" i="1"/>
  <c r="AI49" i="1" l="1"/>
  <c r="U37" i="1"/>
  <c r="T37" i="1"/>
  <c r="V37" i="1"/>
  <c r="W37" i="1" s="1"/>
  <c r="AL66" i="1"/>
  <c r="AL67" i="1"/>
  <c r="AC10" i="1"/>
  <c r="AD10" i="1" s="1"/>
  <c r="AD48" i="1" s="1"/>
  <c r="AD49" i="1" s="1"/>
  <c r="V38" i="1" l="1"/>
  <c r="W38" i="1" s="1"/>
  <c r="T38" i="1"/>
  <c r="U38" i="1"/>
  <c r="AC11" i="1"/>
  <c r="AL68" i="1"/>
  <c r="V39" i="1" l="1"/>
  <c r="W39" i="1" s="1"/>
  <c r="U39" i="1"/>
  <c r="T39" i="1"/>
  <c r="T40" i="1" l="1"/>
  <c r="U40" i="1"/>
  <c r="V40" i="1"/>
  <c r="W40" i="1" s="1"/>
  <c r="U5" i="1"/>
  <c r="T5" i="1"/>
  <c r="N5" i="1"/>
  <c r="V5" i="1"/>
  <c r="W5" i="1" s="1"/>
  <c r="T41" i="1" l="1"/>
  <c r="V41" i="1"/>
  <c r="W41" i="1" s="1"/>
  <c r="U41" i="1"/>
  <c r="T6" i="1"/>
  <c r="U6" i="1"/>
  <c r="N6" i="1"/>
  <c r="V6" i="1"/>
  <c r="W6" i="1" s="1"/>
  <c r="U7" i="1" l="1"/>
  <c r="T7" i="1"/>
  <c r="N7" i="1"/>
  <c r="V7" i="1"/>
  <c r="U8" i="1" l="1"/>
  <c r="T8" i="1"/>
  <c r="N8" i="1"/>
  <c r="BI44" i="1" s="1"/>
  <c r="W7" i="1"/>
  <c r="V8" i="1"/>
  <c r="BI47" i="1" l="1"/>
  <c r="BI48" i="1"/>
  <c r="BI49" i="1" s="1"/>
  <c r="U9" i="1"/>
  <c r="T9" i="1"/>
  <c r="N9" i="1"/>
  <c r="V9" i="1"/>
  <c r="W9" i="1" s="1"/>
  <c r="W8" i="1"/>
  <c r="T10" i="1" l="1"/>
  <c r="U10" i="1"/>
  <c r="N10" i="1"/>
  <c r="V10" i="1"/>
  <c r="W10" i="1" s="1"/>
  <c r="J11" i="1"/>
  <c r="K11" i="1" s="1"/>
  <c r="J12" i="1" l="1"/>
  <c r="K12" i="1" s="1"/>
  <c r="U11" i="1"/>
  <c r="T11" i="1"/>
  <c r="N11" i="1"/>
  <c r="AA11" i="1"/>
  <c r="Y11" i="1"/>
  <c r="AD11" i="1"/>
  <c r="V11" i="1"/>
  <c r="W11" i="1" s="1"/>
  <c r="J13" i="1" l="1"/>
  <c r="K13" i="1" s="1"/>
  <c r="N12" i="1"/>
  <c r="U12" i="1"/>
  <c r="T12" i="1"/>
  <c r="N13" i="1" l="1"/>
  <c r="U13" i="1"/>
  <c r="T13" i="1"/>
</calcChain>
</file>

<file path=xl/sharedStrings.xml><?xml version="1.0" encoding="utf-8"?>
<sst xmlns="http://schemas.openxmlformats.org/spreadsheetml/2006/main" count="220" uniqueCount="108">
  <si>
    <t>Control</t>
  </si>
  <si>
    <t>Muestra</t>
  </si>
  <si>
    <t xml:space="preserve">Fecha </t>
  </si>
  <si>
    <t>t (h)</t>
  </si>
  <si>
    <t>Xv(106cell/ml)</t>
  </si>
  <si>
    <t>% Viab</t>
  </si>
  <si>
    <t>∫Xv dt</t>
  </si>
  <si>
    <t>6mmol/L</t>
  </si>
  <si>
    <t>CSPReq</t>
  </si>
  <si>
    <t>hora</t>
  </si>
  <si>
    <t>Xv(cell/ml)</t>
  </si>
  <si>
    <t>Xd(cell/ml)</t>
  </si>
  <si>
    <t>Xt(cell/ml)</t>
  </si>
  <si>
    <t>µ(h-1)</t>
  </si>
  <si>
    <t>4mmol/L</t>
  </si>
  <si>
    <t>µ((h-1)</t>
  </si>
  <si>
    <t>(T2-T1)</t>
  </si>
  <si>
    <t>8mmol/L</t>
  </si>
  <si>
    <t>IgG-R1(ug/mL)</t>
  </si>
  <si>
    <t>IgG-R2(ug/mL)</t>
  </si>
  <si>
    <t>PromIgG(ug/mL)</t>
  </si>
  <si>
    <t>desvest</t>
  </si>
  <si>
    <t>qP(ug/cel/h)</t>
  </si>
  <si>
    <t>qP(ug/celh)</t>
  </si>
  <si>
    <t>qP(PCD)</t>
  </si>
  <si>
    <t>Condition</t>
  </si>
  <si>
    <t>R²</t>
  </si>
  <si>
    <t>CV</t>
  </si>
  <si>
    <t>Xt1(cell/ml)</t>
  </si>
  <si>
    <t>% Viab1</t>
  </si>
  <si>
    <t>SD</t>
  </si>
  <si>
    <t>c(Gluc)</t>
  </si>
  <si>
    <t>qS(Gluc)(nmol/(e6*cel*h)</t>
  </si>
  <si>
    <t>qS(Lac)(nmol/(e6*cel*h)</t>
  </si>
  <si>
    <t>c(Lac)</t>
  </si>
  <si>
    <t>c(GLN)</t>
  </si>
  <si>
    <t>qS(GLN)(nmol/(e6*cel*h)</t>
  </si>
  <si>
    <t>Osm(mOsm/Kg)</t>
  </si>
  <si>
    <t>Osm-Prom</t>
  </si>
  <si>
    <t>∫C(Q) dt</t>
  </si>
  <si>
    <t>K(Spont degrad)</t>
  </si>
  <si>
    <t>Histidina</t>
  </si>
  <si>
    <t>Isoleucina</t>
  </si>
  <si>
    <t>Leucina</t>
  </si>
  <si>
    <t>Lisina</t>
  </si>
  <si>
    <t>Metionina</t>
  </si>
  <si>
    <t>Fenilalanina</t>
  </si>
  <si>
    <t>Treonina</t>
  </si>
  <si>
    <t>Triptofano</t>
  </si>
  <si>
    <t>Valina</t>
  </si>
  <si>
    <t>Alanina</t>
  </si>
  <si>
    <t>Aspartato</t>
  </si>
  <si>
    <t>Glutamato</t>
  </si>
  <si>
    <t>Asparagina</t>
  </si>
  <si>
    <t>Arginina</t>
  </si>
  <si>
    <t>Cisteina</t>
  </si>
  <si>
    <t>Glutamina</t>
  </si>
  <si>
    <t>Tirosina</t>
  </si>
  <si>
    <t>Glicina</t>
  </si>
  <si>
    <t>Prolina</t>
  </si>
  <si>
    <t>Serina</t>
  </si>
  <si>
    <t>ornitina</t>
  </si>
  <si>
    <t>qP1</t>
  </si>
  <si>
    <t>qP2</t>
  </si>
  <si>
    <t>LnX</t>
  </si>
  <si>
    <t>Ln(X2/X1)</t>
  </si>
  <si>
    <t>Condición</t>
  </si>
  <si>
    <t>Promedio</t>
  </si>
  <si>
    <t>C</t>
  </si>
  <si>
    <t>Xv(cél/mL)</t>
  </si>
  <si>
    <t>CSPReq(nL/cél/d)</t>
  </si>
  <si>
    <t>Lote-1</t>
  </si>
  <si>
    <t>Lote-2</t>
  </si>
  <si>
    <t>Lote-3</t>
  </si>
  <si>
    <t>Δlact/Δgluc</t>
  </si>
  <si>
    <t>Etapa exponencial</t>
  </si>
  <si>
    <t>Etapa estacionaria</t>
  </si>
  <si>
    <t>Lote 1</t>
  </si>
  <si>
    <t>Lote 2</t>
  </si>
  <si>
    <t>Lote 3</t>
  </si>
  <si>
    <t>Resumen de variables de interes en los batch</t>
  </si>
  <si>
    <t>Resumen de variables significativas en los batch</t>
  </si>
  <si>
    <t>Variable</t>
  </si>
  <si>
    <t>p. valor</t>
  </si>
  <si>
    <t>-LOG10(P)</t>
  </si>
  <si>
    <t>ARG</t>
  </si>
  <si>
    <t>SER</t>
  </si>
  <si>
    <t>GLY</t>
  </si>
  <si>
    <t>SXv</t>
  </si>
  <si>
    <t>MET</t>
  </si>
  <si>
    <t>Gluc</t>
  </si>
  <si>
    <t>TYR</t>
  </si>
  <si>
    <t>VAL</t>
  </si>
  <si>
    <t>Malato</t>
  </si>
  <si>
    <t>Fumarato</t>
  </si>
  <si>
    <t>ΔXv/Δgluc</t>
  </si>
  <si>
    <t>ΔXv/ΔGLN</t>
  </si>
  <si>
    <t>Rendimiento observado</t>
  </si>
  <si>
    <t>ΔXv/ΔGLN(e9cél/mol)</t>
  </si>
  <si>
    <t>qS(diferencial)</t>
  </si>
  <si>
    <t>qLact/qGluc</t>
  </si>
  <si>
    <t>u/qGLN</t>
  </si>
  <si>
    <t>ΔXv/Δgluc(e6cél/mol)</t>
  </si>
  <si>
    <t>u/qGluc(e6cél/mol)</t>
  </si>
  <si>
    <t>Peso de proteina</t>
  </si>
  <si>
    <t>Consumo de GLUC</t>
  </si>
  <si>
    <t>Consumo de GLN</t>
  </si>
  <si>
    <t>Estimacion para DEC-Her1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</si>
</sst>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C0A]d\-mmm\-yy;@"/>
    <numFmt numFmtId="165" formatCode="0.0000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0" fillId="0" borderId="0" xfId="0"/>
    <xf numFmtId="2" fontId="0" fillId="0" borderId="0" xfId="0" applyNumberFormat="1"/>
    <xf numFmtId="164" fontId="0" fillId="5" borderId="0" xfId="0" applyNumberFormat="1" applyFill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1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20" fontId="0" fillId="6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4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2" fontId="0" fillId="0" borderId="0" xfId="0" applyNumberFormat="1" applyFill="1"/>
    <xf numFmtId="11" fontId="0" fillId="0" borderId="0" xfId="0" applyNumberFormat="1" applyFill="1"/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6" borderId="0" xfId="0" applyNumberFormat="1" applyFill="1"/>
    <xf numFmtId="0" fontId="4" fillId="0" borderId="1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0" fontId="0" fillId="0" borderId="0" xfId="0" applyNumberFormat="1" applyFill="1"/>
    <xf numFmtId="165" fontId="4" fillId="0" borderId="1" xfId="0" applyNumberFormat="1" applyFont="1" applyFill="1" applyBorder="1" applyAlignment="1">
      <alignment horizontal="center" vertical="center"/>
    </xf>
    <xf numFmtId="10" fontId="4" fillId="0" borderId="11" xfId="0" applyNumberFormat="1" applyFont="1" applyFill="1" applyBorder="1" applyAlignment="1">
      <alignment horizontal="center" vertical="center"/>
    </xf>
    <xf numFmtId="10" fontId="4" fillId="0" borderId="12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0" xfId="0" applyNumberFormat="1" applyFill="1"/>
    <xf numFmtId="0" fontId="1" fillId="3" borderId="0" xfId="0" applyFont="1" applyFill="1"/>
    <xf numFmtId="2" fontId="5" fillId="0" borderId="16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1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1" fontId="4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11" fontId="4" fillId="0" borderId="8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1" fontId="4" fillId="0" borderId="14" xfId="0" applyNumberFormat="1" applyFont="1" applyFill="1" applyBorder="1" applyAlignment="1">
      <alignment horizontal="center" vertical="center"/>
    </xf>
    <xf numFmtId="165" fontId="4" fillId="0" borderId="15" xfId="0" applyNumberFormat="1" applyFont="1" applyFill="1" applyBorder="1" applyAlignment="1">
      <alignment horizontal="center" vertical="center"/>
    </xf>
    <xf numFmtId="166" fontId="4" fillId="0" borderId="15" xfId="0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11" fontId="4" fillId="0" borderId="10" xfId="0" applyNumberFormat="1" applyFont="1" applyBorder="1" applyAlignment="1">
      <alignment horizontal="center" vertical="center"/>
    </xf>
    <xf numFmtId="166" fontId="5" fillId="0" borderId="11" xfId="0" applyNumberFormat="1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8" fillId="0" borderId="0" xfId="0" applyFont="1" applyAlignment="1"/>
    <xf numFmtId="2" fontId="0" fillId="0" borderId="1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2" fontId="0" fillId="7" borderId="0" xfId="0" applyNumberFormat="1" applyFill="1"/>
    <xf numFmtId="0" fontId="4" fillId="0" borderId="13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5" fontId="4" fillId="0" borderId="21" xfId="0" applyNumberFormat="1" applyFont="1" applyFill="1" applyBorder="1" applyAlignment="1">
      <alignment horizontal="center" vertical="center"/>
    </xf>
    <xf numFmtId="165" fontId="4" fillId="0" borderId="2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Cell Culture behavior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50748986325947"/>
          <c:y val="0.16121670136060579"/>
          <c:w val="0.69807034157427683"/>
          <c:h val="0.661554590158988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Control!#REF!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Control!#REF!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Control!$D$4:$D$10</c:f>
              <c:numCache>
                <c:formatCode>General</c:formatCode>
                <c:ptCount val="7"/>
                <c:pt idx="0">
                  <c:v>0</c:v>
                </c:pt>
                <c:pt idx="1">
                  <c:v>21.583333333313931</c:v>
                </c:pt>
                <c:pt idx="2">
                  <c:v>46.333333333313931</c:v>
                </c:pt>
                <c:pt idx="3">
                  <c:v>76.000000000116415</c:v>
                </c:pt>
                <c:pt idx="4">
                  <c:v>95.000000000058208</c:v>
                </c:pt>
                <c:pt idx="5">
                  <c:v>120.75</c:v>
                </c:pt>
                <c:pt idx="6">
                  <c:v>145.83333333337214</c:v>
                </c:pt>
              </c:numCache>
            </c:numRef>
          </c:xVal>
          <c:yVal>
            <c:numRef>
              <c:f>Control!$F$4:$F$10</c:f>
              <c:numCache>
                <c:formatCode>0.00E+00</c:formatCode>
                <c:ptCount val="7"/>
                <c:pt idx="0">
                  <c:v>578000</c:v>
                </c:pt>
                <c:pt idx="1">
                  <c:v>820000</c:v>
                </c:pt>
                <c:pt idx="2">
                  <c:v>1970000</c:v>
                </c:pt>
                <c:pt idx="3">
                  <c:v>3622500</c:v>
                </c:pt>
                <c:pt idx="4">
                  <c:v>2760000</c:v>
                </c:pt>
                <c:pt idx="5">
                  <c:v>2420000</c:v>
                </c:pt>
                <c:pt idx="6">
                  <c:v>1740000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D-46F3-A58B-FDFB21467F3E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Control!$D$34:$D$41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27.083333333430346</c:v>
                </c:pt>
                <c:pt idx="2">
                  <c:v>49.166666666627862</c:v>
                </c:pt>
                <c:pt idx="3">
                  <c:v>72.166666666686069</c:v>
                </c:pt>
                <c:pt idx="4">
                  <c:v>92.166666666744277</c:v>
                </c:pt>
                <c:pt idx="5">
                  <c:v>122.66666666662786</c:v>
                </c:pt>
                <c:pt idx="6">
                  <c:v>148.66666666668607</c:v>
                </c:pt>
                <c:pt idx="7">
                  <c:v>165.50000000005821</c:v>
                </c:pt>
              </c:numCache>
            </c:numRef>
          </c:xVal>
          <c:yVal>
            <c:numRef>
              <c:f>Control!$F$34:$F$41</c:f>
              <c:numCache>
                <c:formatCode>0.00E+00</c:formatCode>
                <c:ptCount val="8"/>
                <c:pt idx="0">
                  <c:v>476000</c:v>
                </c:pt>
                <c:pt idx="1">
                  <c:v>627500</c:v>
                </c:pt>
                <c:pt idx="2">
                  <c:v>705000.68500000006</c:v>
                </c:pt>
                <c:pt idx="3">
                  <c:v>1946666.6666666667</c:v>
                </c:pt>
                <c:pt idx="4">
                  <c:v>3210000</c:v>
                </c:pt>
                <c:pt idx="5">
                  <c:v>3135000</c:v>
                </c:pt>
                <c:pt idx="6">
                  <c:v>2430000</c:v>
                </c:pt>
                <c:pt idx="7">
                  <c:v>1510000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D-46F3-A58B-FDFB21467F3E}"/>
            </c:ext>
          </c:extLst>
        </c:ser>
        <c:ser>
          <c:idx val="3"/>
          <c:order val="2"/>
          <c:tx>
            <c:strRef>
              <c:f>Control!$A$16</c:f>
              <c:strCache>
                <c:ptCount val="1"/>
                <c:pt idx="0">
                  <c:v>Lote-2</c:v>
                </c:pt>
              </c:strCache>
            </c:strRef>
          </c:tx>
          <c:xVal>
            <c:numRef>
              <c:f>Control!$D$18:$D$27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16.833333333372138</c:v>
                </c:pt>
                <c:pt idx="2">
                  <c:v>41.833333333313931</c:v>
                </c:pt>
                <c:pt idx="3">
                  <c:v>63.500000000058208</c:v>
                </c:pt>
                <c:pt idx="4">
                  <c:v>87.416666666627862</c:v>
                </c:pt>
                <c:pt idx="5">
                  <c:v>118.33333333331393</c:v>
                </c:pt>
                <c:pt idx="6">
                  <c:v>138</c:v>
                </c:pt>
                <c:pt idx="7">
                  <c:v>164.49999999994179</c:v>
                </c:pt>
                <c:pt idx="8">
                  <c:v>186.33333333337214</c:v>
                </c:pt>
                <c:pt idx="9">
                  <c:v>209.33333333325572</c:v>
                </c:pt>
              </c:numCache>
            </c:numRef>
          </c:xVal>
          <c:yVal>
            <c:numRef>
              <c:f>Control!$F$18:$F$27</c:f>
              <c:numCache>
                <c:formatCode>0.00E+00</c:formatCode>
                <c:ptCount val="10"/>
                <c:pt idx="0">
                  <c:v>343000</c:v>
                </c:pt>
                <c:pt idx="1">
                  <c:v>520000</c:v>
                </c:pt>
                <c:pt idx="2">
                  <c:v>1355000</c:v>
                </c:pt>
                <c:pt idx="3">
                  <c:v>1553333.3333333333</c:v>
                </c:pt>
                <c:pt idx="4">
                  <c:v>2100000</c:v>
                </c:pt>
                <c:pt idx="5">
                  <c:v>3790000</c:v>
                </c:pt>
                <c:pt idx="6">
                  <c:v>2820000</c:v>
                </c:pt>
                <c:pt idx="7">
                  <c:v>2370000</c:v>
                </c:pt>
                <c:pt idx="8">
                  <c:v>1730000</c:v>
                </c:pt>
                <c:pt idx="9">
                  <c:v>1630000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C-4387-8D7C-8CCB033D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7992"/>
        <c:axId val="185428384"/>
      </c:scatterChart>
      <c:valAx>
        <c:axId val="1854279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428384"/>
        <c:crosses val="autoZero"/>
        <c:crossBetween val="midCat"/>
      </c:valAx>
      <c:valAx>
        <c:axId val="185428384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>
                    <a:effectLst/>
                  </a:rPr>
                  <a:t>Viable cell density</a:t>
                </a:r>
                <a:r>
                  <a:rPr lang="es-ES"/>
                  <a:t>(cel/mL)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5427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11313945384004"/>
          <c:y val="0.2269887854927225"/>
          <c:w val="0.12053992307175422"/>
          <c:h val="0.16930485041800392"/>
        </c:manualLayout>
      </c:layout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qS(Gln)(nmol/(e6*cel*h)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(Control!$AD$5,Control!$AD$6,Control!$AD$9,Control!$AD$10,Control!$AD$11)</c:f>
              <c:numCache>
                <c:formatCode>0.00</c:formatCode>
                <c:ptCount val="5"/>
                <c:pt idx="3">
                  <c:v>-1.3901585374441752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EF6-92BE-65E3BF29E5D7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(Control!$AD$35,Control!$AD$36,Control!$AD$39,Control!$AD$40,Control!$AD$41)</c:f>
              <c:numCache>
                <c:formatCode>0.00</c:formatCode>
                <c:ptCount val="5"/>
                <c:pt idx="4">
                  <c:v>-0.78072835930186257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A-4EF6-92BE-65E3BF29E5D7}"/>
            </c:ext>
          </c:extLst>
        </c:ser>
        <c:ser>
          <c:idx val="2"/>
          <c:order val="2"/>
          <c:tx>
            <c:strRef>
              <c:f>Control!$A$44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(Control!$AD$47,Control!$AD$48,Control!$AD$51,Control!$AD$52,Control!$AD$53)</c:f>
              <c:numCache>
                <c:formatCode>0.00</c:formatCode>
                <c:ptCount val="5"/>
                <c:pt idx="0">
                  <c:v>1.8596703485363744</c:v>
                </c:pt>
                <c:pt idx="1">
                  <c:v>1.3994169704979689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A-4EF6-92BE-65E3BF29E5D7}"/>
            </c:ext>
          </c:extLst>
        </c:ser>
        <c:ser>
          <c:idx val="3"/>
          <c:order val="3"/>
          <c:tx>
            <c:strRef>
              <c:f>Control!$A$59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(Control!$AD$62,Control!$AD$63,Control!$AD$66,Control!$AD$67,Control!$AD$68)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11A-4EF6-92BE-65E3BF29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0440"/>
        <c:axId val="470165520"/>
      </c:barChart>
      <c:catAx>
        <c:axId val="47017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65520"/>
        <c:crosses val="autoZero"/>
        <c:auto val="1"/>
        <c:lblAlgn val="ctr"/>
        <c:lblOffset val="100"/>
        <c:noMultiLvlLbl val="0"/>
      </c:catAx>
      <c:valAx>
        <c:axId val="470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</a:t>
            </a:r>
            <a:r>
              <a:rPr lang="en-US"/>
              <a:t>Acetato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1594203849518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(Control!$J$4,Control!$J$5,Control!$J$6,Control!$J$9,Control!$J$11)</c:f>
              <c:numCache>
                <c:formatCode>0.00E+00</c:formatCode>
                <c:ptCount val="5"/>
                <c:pt idx="0">
                  <c:v>0</c:v>
                </c:pt>
                <c:pt idx="1">
                  <c:v>15086749.999986438</c:v>
                </c:pt>
                <c:pt idx="2">
                  <c:v>49612999.99998644</c:v>
                </c:pt>
                <c:pt idx="3">
                  <c:v>259894666.66669637</c:v>
                </c:pt>
                <c:pt idx="4">
                  <c:v>0</c:v>
                </c:pt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47C0-8837-2EFA2A8D78F2}"/>
            </c:ext>
          </c:extLst>
        </c:ser>
        <c:ser>
          <c:idx val="1"/>
          <c:order val="1"/>
          <c:tx>
            <c:v>4mM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(Control!$J$34,Control!$J$35,Control!$J$36,Control!$J$39,Control!$J$41)</c:f>
              <c:numCache>
                <c:formatCode>0.00E+00</c:formatCode>
                <c:ptCount val="5"/>
                <c:pt idx="1">
                  <c:v>14943229.166720193</c:v>
                </c:pt>
                <c:pt idx="2">
                  <c:v>29656257.563504703</c:v>
                </c:pt>
                <c:pt idx="3">
                  <c:v>208478348.77419597</c:v>
                </c:pt>
                <c:pt idx="4">
                  <c:v>313985015.44110101</c:v>
                </c:pt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4-47C0-8837-2EFA2A8D78F2}"/>
            </c:ext>
          </c:extLst>
        </c:ser>
        <c:ser>
          <c:idx val="2"/>
          <c:order val="2"/>
          <c:tx>
            <c:v>6mM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(Control!$J$46,Control!$J$47,Control!$J$48,Control!$J$51,Control!$J$53)</c:f>
              <c:numCache>
                <c:formatCode>0.00E+00</c:formatCode>
                <c:ptCount val="5"/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4-47C0-8837-2EFA2A8D78F2}"/>
            </c:ext>
          </c:extLst>
        </c:ser>
        <c:ser>
          <c:idx val="3"/>
          <c:order val="3"/>
          <c:tx>
            <c:v>8mM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(Control!$J$61,Control!$J$62,Control!$J$63,Control!$J$66,Control!$J$68)</c:f>
              <c:numCache>
                <c:formatCode>0.00E+00</c:formatCode>
                <c:ptCount val="5"/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4-47C0-8837-2EFA2A8D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0160"/>
        <c:axId val="486621800"/>
      </c:scatterChart>
      <c:valAx>
        <c:axId val="486620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VCI(cel*h/mL)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21800"/>
        <c:crosses val="autoZero"/>
        <c:crossBetween val="midCat"/>
      </c:valAx>
      <c:valAx>
        <c:axId val="4866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C(Acetato)mMol/L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</a:t>
            </a:r>
            <a:r>
              <a:rPr lang="en-US"/>
              <a:t>Acetato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1594203849518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(Control!$J$4,Control!$J$5,Control!$J$6,Control!$J$9,Control!$J$11)</c:f>
              <c:numCache>
                <c:formatCode>0.00E+00</c:formatCode>
                <c:ptCount val="5"/>
                <c:pt idx="0">
                  <c:v>0</c:v>
                </c:pt>
                <c:pt idx="1">
                  <c:v>15086749.999986438</c:v>
                </c:pt>
                <c:pt idx="2">
                  <c:v>49612999.99998644</c:v>
                </c:pt>
                <c:pt idx="3">
                  <c:v>259894666.66669637</c:v>
                </c:pt>
                <c:pt idx="4">
                  <c:v>0</c:v>
                </c:pt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364-8FFD-81D5BB88DCBC}"/>
            </c:ext>
          </c:extLst>
        </c:ser>
        <c:ser>
          <c:idx val="1"/>
          <c:order val="1"/>
          <c:tx>
            <c:v>4mM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(Control!$J$34,Control!$J$35,Control!$J$36,Control!$J$39,Control!$J$41)</c:f>
              <c:numCache>
                <c:formatCode>0.00E+00</c:formatCode>
                <c:ptCount val="5"/>
                <c:pt idx="1">
                  <c:v>14943229.166720193</c:v>
                </c:pt>
                <c:pt idx="2">
                  <c:v>29656257.563504703</c:v>
                </c:pt>
                <c:pt idx="3">
                  <c:v>208478348.77419597</c:v>
                </c:pt>
                <c:pt idx="4">
                  <c:v>313985015.44110101</c:v>
                </c:pt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2-4364-8FFD-81D5BB88DCBC}"/>
            </c:ext>
          </c:extLst>
        </c:ser>
        <c:ser>
          <c:idx val="2"/>
          <c:order val="2"/>
          <c:tx>
            <c:v>6mM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(Control!$J$46,Control!$J$47,Control!$J$48,Control!$J$51,Control!$J$53)</c:f>
              <c:numCache>
                <c:formatCode>0.00E+00</c:formatCode>
                <c:ptCount val="5"/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2-4364-8FFD-81D5BB88DCBC}"/>
            </c:ext>
          </c:extLst>
        </c:ser>
        <c:ser>
          <c:idx val="3"/>
          <c:order val="3"/>
          <c:tx>
            <c:v>8mM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(Control!$J$61,Control!$J$62,Control!$J$63,Control!$J$66,Control!$J$68)</c:f>
              <c:numCache>
                <c:formatCode>0.00E+00</c:formatCode>
                <c:ptCount val="5"/>
              </c:numCache>
            </c:numRef>
          </c:xVal>
          <c:yVal>
            <c:numRef>
              <c:f>(Control!#REF!,Control!#REF!,Control!#REF!,Control!#REF!,Control!#REF!)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2-4364-8FFD-81D5BB88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0160"/>
        <c:axId val="486621800"/>
      </c:scatterChart>
      <c:valAx>
        <c:axId val="486620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VCI(cel*h/mL)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21800"/>
        <c:crosses val="autoZero"/>
        <c:crossBetween val="midCat"/>
      </c:valAx>
      <c:valAx>
        <c:axId val="4866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C(Acetato)mMol/L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(µ)-Fase exponencial</a:t>
            </a:r>
          </a:p>
        </c:rich>
      </c:tx>
      <c:layout>
        <c:manualLayout>
          <c:xMode val="edge"/>
          <c:yMode val="edge"/>
          <c:x val="0.321088334546417"/>
          <c:y val="2.189734551616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434795650543683"/>
          <c:y val="0.12316778372373609"/>
          <c:w val="0.68524828514082803"/>
          <c:h val="0.70852528344442878"/>
        </c:manualLayout>
      </c:layout>
      <c:scatterChart>
        <c:scatterStyle val="lineMarker"/>
        <c:varyColors val="0"/>
        <c:ser>
          <c:idx val="0"/>
          <c:order val="0"/>
          <c:tx>
            <c:v>Lote-1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Control!$D$4:$D$7</c:f>
              <c:numCache>
                <c:formatCode>General</c:formatCode>
                <c:ptCount val="4"/>
                <c:pt idx="0">
                  <c:v>0</c:v>
                </c:pt>
                <c:pt idx="1">
                  <c:v>21.583333333313931</c:v>
                </c:pt>
                <c:pt idx="2">
                  <c:v>46.333333333313931</c:v>
                </c:pt>
                <c:pt idx="3">
                  <c:v>76.000000000116415</c:v>
                </c:pt>
              </c:numCache>
            </c:numRef>
          </c:xVal>
          <c:yVal>
            <c:numRef>
              <c:f>Control!$K$4:$K$7</c:f>
              <c:numCache>
                <c:formatCode>0.00</c:formatCode>
                <c:ptCount val="4"/>
                <c:pt idx="0">
                  <c:v>13.267329147654515</c:v>
                </c:pt>
                <c:pt idx="1">
                  <c:v>13.617059619240436</c:v>
                </c:pt>
                <c:pt idx="2">
                  <c:v>14.493544100714171</c:v>
                </c:pt>
                <c:pt idx="3">
                  <c:v>15.102674953176974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5-43A8-8E0C-5560FA49C8E2}"/>
            </c:ext>
          </c:extLst>
        </c:ser>
        <c:ser>
          <c:idx val="1"/>
          <c:order val="1"/>
          <c:tx>
            <c:v>Lote-3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Control!$D$34:$D$38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27.083333333430346</c:v>
                </c:pt>
                <c:pt idx="2">
                  <c:v>49.166666666627862</c:v>
                </c:pt>
                <c:pt idx="3">
                  <c:v>72.166666666686069</c:v>
                </c:pt>
                <c:pt idx="4">
                  <c:v>92.166666666744277</c:v>
                </c:pt>
              </c:numCache>
            </c:numRef>
          </c:xVal>
          <c:yVal>
            <c:numRef>
              <c:f>Control!$K$34:$K$38</c:f>
              <c:numCache>
                <c:formatCode>0.00</c:formatCode>
                <c:ptCount val="5"/>
                <c:pt idx="0">
                  <c:v>13.073173133213556</c:v>
                </c:pt>
                <c:pt idx="1">
                  <c:v>13.349498949988076</c:v>
                </c:pt>
                <c:pt idx="2">
                  <c:v>13.46595405342514</c:v>
                </c:pt>
                <c:pt idx="3">
                  <c:v>14.4816290661363</c:v>
                </c:pt>
                <c:pt idx="4">
                  <c:v>14.981781495106199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5-43A8-8E0C-5560FA49C8E2}"/>
            </c:ext>
          </c:extLst>
        </c:ser>
        <c:ser>
          <c:idx val="2"/>
          <c:order val="2"/>
          <c:tx>
            <c:v>Lote-2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Control!$D$18:$D$23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16.833333333372138</c:v>
                </c:pt>
                <c:pt idx="2">
                  <c:v>41.833333333313931</c:v>
                </c:pt>
                <c:pt idx="3">
                  <c:v>63.500000000058208</c:v>
                </c:pt>
                <c:pt idx="4">
                  <c:v>87.416666666627862</c:v>
                </c:pt>
                <c:pt idx="5">
                  <c:v>118.33333333331393</c:v>
                </c:pt>
              </c:numCache>
            </c:numRef>
          </c:xVal>
          <c:yVal>
            <c:numRef>
              <c:f>Control!$K$18:$K$23</c:f>
              <c:numCache>
                <c:formatCode>0.00</c:formatCode>
                <c:ptCount val="6"/>
                <c:pt idx="0">
                  <c:v>12.745485726148077</c:v>
                </c:pt>
                <c:pt idx="1">
                  <c:v>13.161584090557611</c:v>
                </c:pt>
                <c:pt idx="2">
                  <c:v>14.119312012295937</c:v>
                </c:pt>
                <c:pt idx="3">
                  <c:v>14.255913717433719</c:v>
                </c:pt>
                <c:pt idx="4">
                  <c:v>14.557447902693651</c:v>
                </c:pt>
                <c:pt idx="5">
                  <c:v>15.147876577058609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5-43A8-8E0C-5560FA49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9168"/>
        <c:axId val="188368232"/>
      </c:scatterChart>
      <c:valAx>
        <c:axId val="1854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Tiempo (h)</a:t>
                </a:r>
              </a:p>
            </c:rich>
          </c:tx>
          <c:layout>
            <c:manualLayout>
              <c:xMode val="edge"/>
              <c:yMode val="edge"/>
              <c:x val="0.44347531280557306"/>
              <c:y val="0.91814760550266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368232"/>
        <c:crosses val="autoZero"/>
        <c:crossBetween val="midCat"/>
      </c:valAx>
      <c:valAx>
        <c:axId val="1883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Ln X </a:t>
                </a:r>
              </a:p>
            </c:rich>
          </c:tx>
          <c:layout>
            <c:manualLayout>
              <c:xMode val="edge"/>
              <c:yMode val="edge"/>
              <c:x val="1.8450263141350433E-2"/>
              <c:y val="0.4089796602689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2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30550893707377"/>
          <c:y val="0.53948136364867216"/>
          <c:w val="0.1723715256799461"/>
          <c:h val="0.3068601292759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qS-Gluc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Lote-1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Control!$J$4:$J$10</c:f>
              <c:numCache>
                <c:formatCode>0.00E+00</c:formatCode>
                <c:ptCount val="7"/>
                <c:pt idx="0">
                  <c:v>0</c:v>
                </c:pt>
                <c:pt idx="1">
                  <c:v>15086749.999986438</c:v>
                </c:pt>
                <c:pt idx="2">
                  <c:v>49612999.99998644</c:v>
                </c:pt>
                <c:pt idx="3">
                  <c:v>132568416.66703288</c:v>
                </c:pt>
                <c:pt idx="4">
                  <c:v>193202166.66684711</c:v>
                </c:pt>
                <c:pt idx="5">
                  <c:v>259894666.66669637</c:v>
                </c:pt>
                <c:pt idx="6">
                  <c:v>312068000.00011039</c:v>
                </c:pt>
              </c:numCache>
            </c:numRef>
          </c:xVal>
          <c:yVal>
            <c:numRef>
              <c:f>Control!$X$4:$X$10</c:f>
              <c:numCache>
                <c:formatCode>0.00</c:formatCode>
                <c:ptCount val="7"/>
                <c:pt idx="0" formatCode="General">
                  <c:v>25</c:v>
                </c:pt>
                <c:pt idx="1">
                  <c:v>14.369458381574097</c:v>
                </c:pt>
                <c:pt idx="2">
                  <c:v>14.191384104424063</c:v>
                </c:pt>
                <c:pt idx="3">
                  <c:v>10.063723289829312</c:v>
                </c:pt>
                <c:pt idx="4">
                  <c:v>8.4252496812296247</c:v>
                </c:pt>
                <c:pt idx="5">
                  <c:v>7.3096421467068557</c:v>
                </c:pt>
                <c:pt idx="6">
                  <c:v>5.5467243409292522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9-4F0B-8832-38C6A02A1BEB}"/>
            </c:ext>
          </c:extLst>
        </c:ser>
        <c:ser>
          <c:idx val="1"/>
          <c:order val="1"/>
          <c:tx>
            <c:v>Lote-2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Control!$J$19:$J$27</c:f>
              <c:numCache>
                <c:formatCode>0.00E+00</c:formatCode>
                <c:ptCount val="9"/>
                <c:pt idx="0">
                  <c:v>7263583.3333500773</c:v>
                </c:pt>
                <c:pt idx="1">
                  <c:v>30701083.333295509</c:v>
                </c:pt>
                <c:pt idx="2">
                  <c:v>62208027.777852803</c:v>
                </c:pt>
                <c:pt idx="3">
                  <c:v>105895805.55545336</c:v>
                </c:pt>
                <c:pt idx="4">
                  <c:v>196945388.88884383</c:v>
                </c:pt>
                <c:pt idx="5">
                  <c:v>261943722.22224128</c:v>
                </c:pt>
                <c:pt idx="6">
                  <c:v>330711222.22209024</c:v>
                </c:pt>
                <c:pt idx="7">
                  <c:v>375469555.55562246</c:v>
                </c:pt>
                <c:pt idx="8">
                  <c:v>414109555.5554269</c:v>
                </c:pt>
              </c:numCache>
            </c:numRef>
          </c:xVal>
          <c:yVal>
            <c:numRef>
              <c:f>Control!$X$18:$X$27</c:f>
              <c:numCache>
                <c:formatCode>0.00</c:formatCode>
                <c:ptCount val="10"/>
                <c:pt idx="0" formatCode="General">
                  <c:v>25</c:v>
                </c:pt>
                <c:pt idx="1">
                  <c:v>24.404979174803589</c:v>
                </c:pt>
                <c:pt idx="2">
                  <c:v>18.385187551012269</c:v>
                </c:pt>
                <c:pt idx="3">
                  <c:v>16.342078332695461</c:v>
                </c:pt>
                <c:pt idx="4" formatCode="General">
                  <c:v>14.335697843107726</c:v>
                </c:pt>
                <c:pt idx="5" formatCode="General">
                  <c:v>7.6953005097214069</c:v>
                </c:pt>
                <c:pt idx="6" formatCode="General">
                  <c:v>10.276953512050001</c:v>
                </c:pt>
                <c:pt idx="7" formatCode="General">
                  <c:v>6.8783323849915927</c:v>
                </c:pt>
                <c:pt idx="8" formatCode="General">
                  <c:v>5.9528388511098322</c:v>
                </c:pt>
                <c:pt idx="9" formatCode="General">
                  <c:v>4.4654726715084374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9-4F0B-8832-38C6A02A1BEB}"/>
            </c:ext>
          </c:extLst>
        </c:ser>
        <c:ser>
          <c:idx val="2"/>
          <c:order val="2"/>
          <c:tx>
            <c:v>Lote-3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Control!$J$34:$J$41</c:f>
              <c:numCache>
                <c:formatCode>0.00E+00</c:formatCode>
                <c:ptCount val="8"/>
                <c:pt idx="1">
                  <c:v>14943229.166720193</c:v>
                </c:pt>
                <c:pt idx="2">
                  <c:v>29656257.563504703</c:v>
                </c:pt>
                <c:pt idx="3">
                  <c:v>60150432.107748538</c:v>
                </c:pt>
                <c:pt idx="4">
                  <c:v>111717098.77456528</c:v>
                </c:pt>
                <c:pt idx="5">
                  <c:v>208478348.77419597</c:v>
                </c:pt>
                <c:pt idx="6">
                  <c:v>280823348.77435791</c:v>
                </c:pt>
                <c:pt idx="7">
                  <c:v>313985015.44110101</c:v>
                </c:pt>
              </c:numCache>
            </c:numRef>
          </c:xVal>
          <c:yVal>
            <c:numRef>
              <c:f>Control!$X$34:$X$41</c:f>
              <c:numCache>
                <c:formatCode>0.00</c:formatCode>
                <c:ptCount val="8"/>
                <c:pt idx="0" formatCode="General">
                  <c:v>25</c:v>
                </c:pt>
                <c:pt idx="1">
                  <c:v>17.481724591037263</c:v>
                </c:pt>
                <c:pt idx="2">
                  <c:v>16.586087960686903</c:v>
                </c:pt>
                <c:pt idx="3">
                  <c:v>11.271995307253304</c:v>
                </c:pt>
                <c:pt idx="4">
                  <c:v>9.9173642928515147</c:v>
                </c:pt>
                <c:pt idx="5">
                  <c:v>8.959612983577518</c:v>
                </c:pt>
                <c:pt idx="6">
                  <c:v>8.228553467605451</c:v>
                </c:pt>
                <c:pt idx="7">
                  <c:v>4.924776131980118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9-4F0B-8832-38C6A02A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68720"/>
        <c:axId val="491566096"/>
      </c:scatterChart>
      <c:valAx>
        <c:axId val="4915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566096"/>
        <c:crosses val="autoZero"/>
        <c:crossBetween val="midCat"/>
      </c:valAx>
      <c:valAx>
        <c:axId val="491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5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qS-Metabolitos claves</a:t>
            </a:r>
          </a:p>
        </c:rich>
      </c:tx>
      <c:layout>
        <c:manualLayout>
          <c:xMode val="edge"/>
          <c:yMode val="edge"/>
          <c:x val="0.28146500860959806"/>
          <c:y val="2.9589785388626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qGluc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(Control!$A$2,Control!$A$16,Control!$A$32)</c:f>
              <c:strCache>
                <c:ptCount val="3"/>
                <c:pt idx="0">
                  <c:v>Lote-1</c:v>
                </c:pt>
                <c:pt idx="1">
                  <c:v>Lote-2</c:v>
                </c:pt>
                <c:pt idx="2">
                  <c:v>Lote-3</c:v>
                </c:pt>
              </c:strCache>
            </c:strRef>
          </c:cat>
          <c:val>
            <c:numRef>
              <c:f>(Control!$Y$7,Control!$Y$23,Control!$Y$38)</c:f>
              <c:numCache>
                <c:formatCode>0.00</c:formatCode>
                <c:ptCount val="3"/>
                <c:pt idx="0">
                  <c:v>93.574553844766655</c:v>
                </c:pt>
                <c:pt idx="1">
                  <c:v>70.765495814647878</c:v>
                </c:pt>
                <c:pt idx="2">
                  <c:v>88.792856056506963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3-44C8-8E12-E0B223AC7DAD}"/>
            </c:ext>
          </c:extLst>
        </c:ser>
        <c:ser>
          <c:idx val="1"/>
          <c:order val="1"/>
          <c:tx>
            <c:v>qLact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(Control!$A$2,Control!$A$16,Control!$A$32)</c:f>
              <c:strCache>
                <c:ptCount val="3"/>
                <c:pt idx="0">
                  <c:v>Lote-1</c:v>
                </c:pt>
                <c:pt idx="1">
                  <c:v>Lote-2</c:v>
                </c:pt>
                <c:pt idx="2">
                  <c:v>Lote-3</c:v>
                </c:pt>
              </c:strCache>
            </c:strRef>
          </c:cat>
          <c:val>
            <c:numRef>
              <c:f>(Control!$AA$7,Control!$AA$23,Control!$AA$38)</c:f>
              <c:numCache>
                <c:formatCode>0.00</c:formatCode>
                <c:ptCount val="3"/>
                <c:pt idx="0">
                  <c:v>71.4810736904913</c:v>
                </c:pt>
                <c:pt idx="1">
                  <c:v>99.366306785310471</c:v>
                </c:pt>
                <c:pt idx="2">
                  <c:v>93.648506444462114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3-44C8-8E12-E0B223AC7DAD}"/>
            </c:ext>
          </c:extLst>
        </c:ser>
        <c:ser>
          <c:idx val="2"/>
          <c:order val="2"/>
          <c:tx>
            <c:v>qGLN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(Control!$A$2,Control!$A$16,Control!$A$32)</c:f>
              <c:strCache>
                <c:ptCount val="3"/>
                <c:pt idx="0">
                  <c:v>Lote-1</c:v>
                </c:pt>
                <c:pt idx="1">
                  <c:v>Lote-2</c:v>
                </c:pt>
                <c:pt idx="2">
                  <c:v>Lote-3</c:v>
                </c:pt>
              </c:strCache>
            </c:strRef>
          </c:cat>
          <c:val>
            <c:numRef>
              <c:f>(Control!$AD$7,Control!$AD$23,Control!$AD$38)</c:f>
              <c:numCache>
                <c:formatCode>0.00</c:formatCode>
                <c:ptCount val="3"/>
                <c:pt idx="0">
                  <c:v>32.950496757220982</c:v>
                </c:pt>
                <c:pt idx="1">
                  <c:v>19.526018099009153</c:v>
                </c:pt>
                <c:pt idx="2">
                  <c:v>32.680494097882445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3-44C8-8E12-E0B223AC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49800184"/>
        <c:axId val="549800840"/>
      </c:barChart>
      <c:catAx>
        <c:axId val="54980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800840"/>
        <c:crosses val="autoZero"/>
        <c:auto val="1"/>
        <c:lblAlgn val="ctr"/>
        <c:lblOffset val="100"/>
        <c:noMultiLvlLbl val="0"/>
      </c:catAx>
      <c:valAx>
        <c:axId val="5498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qS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(nmol/(e6*cel*h)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8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qGluc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(Control!$Y$44,Control!$Y$48)</c:f>
                <c:numCache>
                  <c:formatCode>General</c:formatCode>
                  <c:ptCount val="2"/>
                  <c:pt idx="0">
                    <c:v>12.028462628624753</c:v>
                  </c:pt>
                  <c:pt idx="1">
                    <c:v>3.3401898508119165</c:v>
                  </c:pt>
                </c:numCache>
              </c:numRef>
            </c:plus>
            <c:minus>
              <c:numRef>
                <c:f>(Control!$Y$44,Control!$Y$48)</c:f>
                <c:numCache>
                  <c:formatCode>General</c:formatCode>
                  <c:ptCount val="2"/>
                  <c:pt idx="0">
                    <c:v>12.028462628624753</c:v>
                  </c:pt>
                  <c:pt idx="1">
                    <c:v>3.3401898508119165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(Control!$Y$43,Control!$Y$47)</c:f>
              <c:numCache>
                <c:formatCode>0.00</c:formatCode>
                <c:ptCount val="2"/>
                <c:pt idx="0">
                  <c:v>84.377635238640508</c:v>
                </c:pt>
                <c:pt idx="1">
                  <c:v>26.485903533271063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299-BC1F-ECDDF445F8D7}"/>
            </c:ext>
          </c:extLst>
        </c:ser>
        <c:ser>
          <c:idx val="1"/>
          <c:order val="1"/>
          <c:tx>
            <c:v>qLact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(Control!$AA$44,Control!$AA$48)</c:f>
                <c:numCache>
                  <c:formatCode>General</c:formatCode>
                  <c:ptCount val="2"/>
                  <c:pt idx="0">
                    <c:v>19.717837416314172</c:v>
                  </c:pt>
                  <c:pt idx="1">
                    <c:v>4.6209234829257131</c:v>
                  </c:pt>
                </c:numCache>
              </c:numRef>
            </c:plus>
            <c:minus>
              <c:numRef>
                <c:f>(Control!$AA$44,Control!$AA$48)</c:f>
                <c:numCache>
                  <c:formatCode>General</c:formatCode>
                  <c:ptCount val="2"/>
                  <c:pt idx="0">
                    <c:v>19.717837416314172</c:v>
                  </c:pt>
                  <c:pt idx="1">
                    <c:v>4.6209234829257131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(Control!$AA$43,Control!$AA$47)</c:f>
              <c:numCache>
                <c:formatCode>0.00</c:formatCode>
                <c:ptCount val="2"/>
                <c:pt idx="0">
                  <c:v>85.423690237900885</c:v>
                </c:pt>
                <c:pt idx="1">
                  <c:v>49.5112003217859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B-4299-BC1F-ECDDF445F8D7}"/>
            </c:ext>
          </c:extLst>
        </c:ser>
        <c:ser>
          <c:idx val="2"/>
          <c:order val="2"/>
          <c:tx>
            <c:v>qGLN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5.8666659275591485E-3"/>
                  <c:y val="-2.9404007760747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0B-4299-BC1F-ECDDF445F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(Control!$AD$44,Control!$AD$48)</c:f>
                <c:numCache>
                  <c:formatCode>General</c:formatCode>
                  <c:ptCount val="2"/>
                  <c:pt idx="0">
                    <c:v>5.2458820498085492</c:v>
                  </c:pt>
                  <c:pt idx="1">
                    <c:v>1.3994169704979689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(Control!$AD$43,Control!$AD$47)</c:f>
              <c:numCache>
                <c:formatCode>0.00</c:formatCode>
                <c:ptCount val="2"/>
                <c:pt idx="0">
                  <c:v>20.967611633767049</c:v>
                </c:pt>
                <c:pt idx="1">
                  <c:v>1.8596703485363744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B-4299-BC1F-ECDDF445F8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66895248"/>
        <c:axId val="4668968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Control!$AF$3</c15:sqref>
                        </c15:formulaRef>
                      </c:ext>
                    </c:extLst>
                    <c:strCache>
                      <c:ptCount val="1"/>
                      <c:pt idx="0">
                        <c:v>Δlact/Δgluc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(Control!$AF$44,Control!$AF$48)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0.32058239499097491</c:v>
                        </c:pt>
                        <c:pt idx="1">
                          <c:v>6.1770300992248076E-2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(Control!$AF$44,Control!$AF$48)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0.32058239499097491</c:v>
                        </c:pt>
                        <c:pt idx="1">
                          <c:v>6.1770300992248076E-2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2"/>
                    <c:pt idx="0">
                      <c:v>Etapa exponencial</c:v>
                    </c:pt>
                    <c:pt idx="1">
                      <c:v> Etapa estacionaria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(Control!$AF$43,Control!$AF$47)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1.0742475763456756</c:v>
                      </c:pt>
                      <c:pt idx="1">
                        <c:v>1.8732365511219689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10B-4299-BC1F-ECDDF445F8D7}"/>
                  </c:ext>
                </c:extLst>
              </c15:ser>
            </c15:filteredBarSeries>
          </c:ext>
        </c:extLst>
      </c:barChart>
      <c:catAx>
        <c:axId val="466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6888"/>
        <c:crosses val="autoZero"/>
        <c:auto val="1"/>
        <c:lblAlgn val="ctr"/>
        <c:lblOffset val="100"/>
        <c:noMultiLvlLbl val="0"/>
      </c:catAx>
      <c:valAx>
        <c:axId val="466896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qS(</a:t>
                </a:r>
                <a:r>
                  <a:rPr lang="en-US" sz="10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nmol/(e6*cel*h)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Y(Lact/Gluc)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(Control!$AF$44,Control!$AF$48)</c:f>
                <c:numCache>
                  <c:formatCode>General</c:formatCode>
                  <c:ptCount val="2"/>
                  <c:pt idx="0">
                    <c:v>0.32058239499097491</c:v>
                  </c:pt>
                  <c:pt idx="1">
                    <c:v>6.1770300992248076E-2</c:v>
                  </c:pt>
                </c:numCache>
              </c:numRef>
            </c:plus>
            <c:minus>
              <c:numRef>
                <c:f>(Control!$AF$44,Control!$AF$48)</c:f>
                <c:numCache>
                  <c:formatCode>General</c:formatCode>
                  <c:ptCount val="2"/>
                  <c:pt idx="0">
                    <c:v>0.32058239499097491</c:v>
                  </c:pt>
                  <c:pt idx="1">
                    <c:v>6.1770300992248076E-2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(Control!$AF$43,Control!$AF$47)</c:f>
              <c:numCache>
                <c:formatCode>0.00</c:formatCode>
                <c:ptCount val="2"/>
                <c:pt idx="0">
                  <c:v>1.0742475763456756</c:v>
                </c:pt>
                <c:pt idx="1">
                  <c:v>1.8732365511219689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4ADE-90A8-D2F3FAF4A465}"/>
            </c:ext>
          </c:extLst>
        </c:ser>
        <c:ser>
          <c:idx val="1"/>
          <c:order val="1"/>
          <c:tx>
            <c:v>Y(X/Gluc)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Control!$AH$44</c:f>
                <c:numCache>
                  <c:formatCode>General</c:formatCode>
                  <c:ptCount val="1"/>
                  <c:pt idx="0">
                    <c:v>1.1916559909328505E-2</c:v>
                  </c:pt>
                </c:numCache>
              </c:numRef>
            </c:plus>
            <c:minus>
              <c:numRef>
                <c:f>Control!$AH$44</c:f>
                <c:numCache>
                  <c:formatCode>General</c:formatCode>
                  <c:ptCount val="1"/>
                  <c:pt idx="0">
                    <c:v>1.1916559909328505E-2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Control!$AH$43</c:f>
              <c:numCache>
                <c:formatCode>0.00</c:formatCode>
                <c:ptCount val="1"/>
                <c:pt idx="0">
                  <c:v>0.19476502967208853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F-4ADE-90A8-D2F3FAF4A465}"/>
            </c:ext>
          </c:extLst>
        </c:ser>
        <c:ser>
          <c:idx val="2"/>
          <c:order val="2"/>
          <c:tx>
            <c:v>Y(X/GLN)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5.8666659275591485E-3"/>
                  <c:y val="-2.9404007760747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3F-4ADE-90A8-D2F3FAF4A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Control!$AJ$44</c:f>
                <c:numCache>
                  <c:formatCode>General</c:formatCode>
                  <c:ptCount val="1"/>
                  <c:pt idx="0">
                    <c:v>4.2428214002449706E-2</c:v>
                  </c:pt>
                </c:numCache>
              </c:numRef>
            </c:plus>
            <c:minus>
              <c:numRef>
                <c:f>Control!$AJ$44</c:f>
                <c:numCache>
                  <c:formatCode>General</c:formatCode>
                  <c:ptCount val="1"/>
                  <c:pt idx="0">
                    <c:v>4.2428214002449706E-2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Control!$AJ$43</c:f>
              <c:numCache>
                <c:formatCode>0.00</c:formatCode>
                <c:ptCount val="1"/>
                <c:pt idx="0">
                  <c:v>0.62119829790061798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F-4ADE-90A8-D2F3FAF4A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66895248"/>
        <c:axId val="466896888"/>
        <c:extLst/>
      </c:barChart>
      <c:catAx>
        <c:axId val="466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6888"/>
        <c:crosses val="autoZero"/>
        <c:auto val="1"/>
        <c:lblAlgn val="ctr"/>
        <c:lblOffset val="100"/>
        <c:noMultiLvlLbl val="0"/>
      </c:catAx>
      <c:valAx>
        <c:axId val="466896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Rendimiento observado (</a:t>
                </a:r>
                <a:r>
                  <a:rPr lang="en-US" sz="10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e6cel/mol)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qGluc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(Control!$Y$44,Control!$Y$48)</c:f>
                <c:numCache>
                  <c:formatCode>General</c:formatCode>
                  <c:ptCount val="2"/>
                  <c:pt idx="0">
                    <c:v>12.028462628624753</c:v>
                  </c:pt>
                  <c:pt idx="1">
                    <c:v>3.3401898508119165</c:v>
                  </c:pt>
                </c:numCache>
              </c:numRef>
            </c:plus>
            <c:minus>
              <c:numRef>
                <c:f>(Control!$Y$44,Control!$Y$48)</c:f>
                <c:numCache>
                  <c:formatCode>General</c:formatCode>
                  <c:ptCount val="2"/>
                  <c:pt idx="0">
                    <c:v>12.028462628624753</c:v>
                  </c:pt>
                  <c:pt idx="1">
                    <c:v>3.3401898508119165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(Control!$Y$43,Control!$Y$47)</c:f>
              <c:numCache>
                <c:formatCode>0.00</c:formatCode>
                <c:ptCount val="2"/>
                <c:pt idx="0">
                  <c:v>84.377635238640508</c:v>
                </c:pt>
                <c:pt idx="1">
                  <c:v>26.485903533271063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B-49CE-A607-B56BF42D3145}"/>
            </c:ext>
          </c:extLst>
        </c:ser>
        <c:ser>
          <c:idx val="1"/>
          <c:order val="1"/>
          <c:tx>
            <c:v>qLact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(Control!$AA$44,Control!$AA$48)</c:f>
                <c:numCache>
                  <c:formatCode>General</c:formatCode>
                  <c:ptCount val="2"/>
                  <c:pt idx="0">
                    <c:v>19.717837416314172</c:v>
                  </c:pt>
                  <c:pt idx="1">
                    <c:v>4.6209234829257131</c:v>
                  </c:pt>
                </c:numCache>
              </c:numRef>
            </c:plus>
            <c:minus>
              <c:numRef>
                <c:f>(Control!$AA$44,Control!$AA$48)</c:f>
                <c:numCache>
                  <c:formatCode>General</c:formatCode>
                  <c:ptCount val="2"/>
                  <c:pt idx="0">
                    <c:v>19.717837416314172</c:v>
                  </c:pt>
                  <c:pt idx="1">
                    <c:v>4.6209234829257131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(Control!$AA$43,Control!$AA$47)</c:f>
              <c:numCache>
                <c:formatCode>0.00</c:formatCode>
                <c:ptCount val="2"/>
                <c:pt idx="0">
                  <c:v>85.423690237900885</c:v>
                </c:pt>
                <c:pt idx="1">
                  <c:v>49.5112003217859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B-49CE-A607-B56BF42D3145}"/>
            </c:ext>
          </c:extLst>
        </c:ser>
        <c:ser>
          <c:idx val="2"/>
          <c:order val="2"/>
          <c:tx>
            <c:v>qGLN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5.8666659275591485E-3"/>
                  <c:y val="-2.9404007760747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B-49CE-A607-B56BF42D31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(Control!$AD$44,Control!$AD$48)</c:f>
                <c:numCache>
                  <c:formatCode>General</c:formatCode>
                  <c:ptCount val="2"/>
                  <c:pt idx="0">
                    <c:v>5.2458820498085492</c:v>
                  </c:pt>
                  <c:pt idx="1">
                    <c:v>1.3994169704979689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(Control!$AD$43,Control!$AD$47)</c:f>
              <c:numCache>
                <c:formatCode>0.00</c:formatCode>
                <c:ptCount val="2"/>
                <c:pt idx="0">
                  <c:v>20.967611633767049</c:v>
                </c:pt>
                <c:pt idx="1">
                  <c:v>1.8596703485363744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B-49CE-A607-B56BF42D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466895248"/>
        <c:axId val="466896888"/>
      </c:barChart>
      <c:barChart>
        <c:barDir val="col"/>
        <c:grouping val="clustered"/>
        <c:varyColors val="0"/>
        <c:ser>
          <c:idx val="3"/>
          <c:order val="3"/>
          <c:tx>
            <c:strRef>
              <c:f>Control!$AF$3</c:f>
              <c:strCache>
                <c:ptCount val="1"/>
                <c:pt idx="0">
                  <c:v>Δlact/Δgluc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(Control!$AF$44,Control!$AF$48)</c:f>
                <c:numCache>
                  <c:formatCode>General</c:formatCode>
                  <c:ptCount val="2"/>
                  <c:pt idx="0">
                    <c:v>0.32058239499097491</c:v>
                  </c:pt>
                  <c:pt idx="1">
                    <c:v>6.1770300992248076E-2</c:v>
                  </c:pt>
                </c:numCache>
                <c:extLst xmlns:c15="http://schemas.microsoft.com/office/drawing/2012/chart"/>
              </c:numRef>
            </c:plus>
            <c:minus>
              <c:numRef>
                <c:f>(Control!$AF$44,Control!$AF$48)</c:f>
                <c:numCache>
                  <c:formatCode>General</c:formatCode>
                  <c:ptCount val="2"/>
                  <c:pt idx="0">
                    <c:v>0.32058239499097491</c:v>
                  </c:pt>
                  <c:pt idx="1">
                    <c:v>6.1770300992248076E-2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Etapa exponencial</c:v>
              </c:pt>
              <c:pt idx="1">
                <c:v> Etapa estacionaria</c:v>
              </c:pt>
            </c:strLit>
          </c:cat>
          <c:val>
            <c:numRef>
              <c:f>(Control!$AF$43,Control!$AF$47)</c:f>
              <c:numCache>
                <c:formatCode>0.00</c:formatCode>
                <c:ptCount val="2"/>
                <c:pt idx="0">
                  <c:v>1.0742475763456756</c:v>
                </c:pt>
                <c:pt idx="1">
                  <c:v>1.8732365511219689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78B-49CE-A607-B56BF42D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71194095"/>
        <c:axId val="1471202415"/>
      </c:barChart>
      <c:catAx>
        <c:axId val="466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6888"/>
        <c:crosses val="autoZero"/>
        <c:auto val="1"/>
        <c:lblAlgn val="ctr"/>
        <c:lblOffset val="100"/>
        <c:noMultiLvlLbl val="0"/>
      </c:catAx>
      <c:valAx>
        <c:axId val="466896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qS(</a:t>
                </a:r>
                <a:r>
                  <a:rPr lang="en-US" sz="10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nmol/(e6*cel*h)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895248"/>
        <c:crosses val="autoZero"/>
        <c:crossBetween val="between"/>
      </c:valAx>
      <c:valAx>
        <c:axId val="1471202415"/>
        <c:scaling>
          <c:orientation val="minMax"/>
          <c:max val="1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194095"/>
        <c:crosses val="max"/>
        <c:crossBetween val="between"/>
      </c:valAx>
      <c:catAx>
        <c:axId val="147119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202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Literatura!$B$4</c:f>
              <c:strCache>
                <c:ptCount val="1"/>
                <c:pt idx="0">
                  <c:v>Consumo de GLUC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9360673665791826E-2"/>
                  <c:y val="-4.3186060075823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824562554680664"/>
                  <c:y val="0.10629811898512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2690069991251142E-2"/>
                  <c:y val="8.3149970836978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Literatura!$C$3:$G$3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30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Literatura!$C$4:$G$4</c:f>
              <c:numCache>
                <c:formatCode>General</c:formatCode>
                <c:ptCount val="5"/>
                <c:pt idx="0">
                  <c:v>-330</c:v>
                </c:pt>
                <c:pt idx="1">
                  <c:v>-292</c:v>
                </c:pt>
                <c:pt idx="2">
                  <c:v>-113</c:v>
                </c:pt>
                <c:pt idx="4">
                  <c:v>-84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6-4950-BC46-34DA1B24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68351"/>
        <c:axId val="1732973343"/>
      </c:scatterChart>
      <c:valAx>
        <c:axId val="17329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973343"/>
        <c:crosses val="autoZero"/>
        <c:crossBetween val="midCat"/>
      </c:valAx>
      <c:valAx>
        <c:axId val="17329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96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Specific</a:t>
            </a:r>
            <a:r>
              <a:rPr lang="es-ES" baseline="0"/>
              <a:t> growth rate (µ)</a:t>
            </a:r>
            <a:endParaRPr lang="es-ES"/>
          </a:p>
        </c:rich>
      </c:tx>
      <c:layout>
        <c:manualLayout>
          <c:xMode val="edge"/>
          <c:yMode val="edge"/>
          <c:x val="0.28523406655386352"/>
          <c:y val="2.55558464399111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34795650543683"/>
          <c:y val="0.12316778372373609"/>
          <c:w val="0.68524828514082803"/>
          <c:h val="0.7085252834444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xVal>
            <c:numRef>
              <c:f>Control!$D$4:$D$10</c:f>
              <c:numCache>
                <c:formatCode>General</c:formatCode>
                <c:ptCount val="7"/>
                <c:pt idx="0">
                  <c:v>0</c:v>
                </c:pt>
                <c:pt idx="1">
                  <c:v>21.583333333313931</c:v>
                </c:pt>
                <c:pt idx="2">
                  <c:v>46.333333333313931</c:v>
                </c:pt>
                <c:pt idx="3">
                  <c:v>76.000000000116415</c:v>
                </c:pt>
                <c:pt idx="4">
                  <c:v>95.000000000058208</c:v>
                </c:pt>
                <c:pt idx="5">
                  <c:v>120.75</c:v>
                </c:pt>
                <c:pt idx="6">
                  <c:v>145.83333333337214</c:v>
                </c:pt>
              </c:numCache>
            </c:numRef>
          </c:xVal>
          <c:yVal>
            <c:numRef>
              <c:f>Control!$K$4:$K$10</c:f>
              <c:numCache>
                <c:formatCode>0.00</c:formatCode>
                <c:ptCount val="7"/>
                <c:pt idx="0">
                  <c:v>13.267329147654515</c:v>
                </c:pt>
                <c:pt idx="1">
                  <c:v>13.617059619240436</c:v>
                </c:pt>
                <c:pt idx="2">
                  <c:v>14.493544100714171</c:v>
                </c:pt>
                <c:pt idx="3">
                  <c:v>15.102674953176974</c:v>
                </c:pt>
                <c:pt idx="4">
                  <c:v>14.830741237693333</c:v>
                </c:pt>
                <c:pt idx="5">
                  <c:v>14.699278098132869</c:v>
                </c:pt>
                <c:pt idx="6">
                  <c:v>14.369395671190711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1-4B64-AA6F-B960D6693005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xVal>
            <c:numRef>
              <c:f>Control!$D$34:$D$41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27.083333333430346</c:v>
                </c:pt>
                <c:pt idx="2">
                  <c:v>49.166666666627862</c:v>
                </c:pt>
                <c:pt idx="3">
                  <c:v>72.166666666686069</c:v>
                </c:pt>
                <c:pt idx="4">
                  <c:v>92.166666666744277</c:v>
                </c:pt>
                <c:pt idx="5">
                  <c:v>122.66666666662786</c:v>
                </c:pt>
                <c:pt idx="6">
                  <c:v>148.66666666668607</c:v>
                </c:pt>
                <c:pt idx="7">
                  <c:v>165.50000000005821</c:v>
                </c:pt>
              </c:numCache>
            </c:numRef>
          </c:xVal>
          <c:yVal>
            <c:numRef>
              <c:f>Control!$K$34:$K$41</c:f>
              <c:numCache>
                <c:formatCode>0.00</c:formatCode>
                <c:ptCount val="8"/>
                <c:pt idx="0">
                  <c:v>13.073173133213556</c:v>
                </c:pt>
                <c:pt idx="1">
                  <c:v>13.349498949988076</c:v>
                </c:pt>
                <c:pt idx="2">
                  <c:v>13.46595405342514</c:v>
                </c:pt>
                <c:pt idx="3">
                  <c:v>14.4816290661363</c:v>
                </c:pt>
                <c:pt idx="4">
                  <c:v>14.981781495106199</c:v>
                </c:pt>
                <c:pt idx="5">
                  <c:v>14.958139732049158</c:v>
                </c:pt>
                <c:pt idx="6">
                  <c:v>14.703401815316731</c:v>
                </c:pt>
                <c:pt idx="7">
                  <c:v>14.227620208791107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1-4B64-AA6F-B960D6693005}"/>
            </c:ext>
          </c:extLst>
        </c:ser>
        <c:ser>
          <c:idx val="2"/>
          <c:order val="2"/>
          <c:tx>
            <c:strRef>
              <c:f>Control!$A$16</c:f>
              <c:strCache>
                <c:ptCount val="1"/>
                <c:pt idx="0">
                  <c:v>Lote-2</c:v>
                </c:pt>
              </c:strCache>
            </c:strRef>
          </c:tx>
          <c:xVal>
            <c:numRef>
              <c:f>Control!$D$18:$D$27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16.833333333372138</c:v>
                </c:pt>
                <c:pt idx="2">
                  <c:v>41.833333333313931</c:v>
                </c:pt>
                <c:pt idx="3">
                  <c:v>63.500000000058208</c:v>
                </c:pt>
                <c:pt idx="4">
                  <c:v>87.416666666627862</c:v>
                </c:pt>
                <c:pt idx="5">
                  <c:v>118.33333333331393</c:v>
                </c:pt>
                <c:pt idx="6">
                  <c:v>138</c:v>
                </c:pt>
                <c:pt idx="7">
                  <c:v>164.49999999994179</c:v>
                </c:pt>
                <c:pt idx="8">
                  <c:v>186.33333333337214</c:v>
                </c:pt>
                <c:pt idx="9">
                  <c:v>209.33333333325572</c:v>
                </c:pt>
              </c:numCache>
            </c:numRef>
          </c:xVal>
          <c:yVal>
            <c:numRef>
              <c:f>Control!$K$18:$K$27</c:f>
              <c:numCache>
                <c:formatCode>0.00</c:formatCode>
                <c:ptCount val="10"/>
                <c:pt idx="0">
                  <c:v>12.745485726148077</c:v>
                </c:pt>
                <c:pt idx="1">
                  <c:v>13.161584090557611</c:v>
                </c:pt>
                <c:pt idx="2">
                  <c:v>14.119312012295937</c:v>
                </c:pt>
                <c:pt idx="3">
                  <c:v>14.255913717433719</c:v>
                </c:pt>
                <c:pt idx="4">
                  <c:v>14.557447902693651</c:v>
                </c:pt>
                <c:pt idx="5">
                  <c:v>15.147876577058609</c:v>
                </c:pt>
                <c:pt idx="6">
                  <c:v>14.852247442914296</c:v>
                </c:pt>
                <c:pt idx="7">
                  <c:v>14.678400513111313</c:v>
                </c:pt>
                <c:pt idx="8">
                  <c:v>14.363631966473962</c:v>
                </c:pt>
                <c:pt idx="9">
                  <c:v>14.304090572782945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DC-470C-908C-0D70048C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9168"/>
        <c:axId val="188368232"/>
      </c:scatterChart>
      <c:valAx>
        <c:axId val="1854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2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Tiempo (h)</a:t>
                </a:r>
                <a:endParaRPr lang="es-E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79009241491872"/>
              <c:y val="0.91814767554769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8368232"/>
        <c:crosses val="autoZero"/>
        <c:crossBetween val="midCat"/>
      </c:valAx>
      <c:valAx>
        <c:axId val="188368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Ln X </a:t>
                </a:r>
                <a:endParaRPr lang="es-E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471977767484945E-2"/>
              <c:y val="0.430931007258357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542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034804472970294"/>
          <c:y val="0.71653522351622201"/>
          <c:w val="0.12689586577736525"/>
          <c:h val="0.19847096245996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Literatura!$B$5</c:f>
              <c:strCache>
                <c:ptCount val="1"/>
                <c:pt idx="0">
                  <c:v>Consumo de GLN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35673665791781"/>
                  <c:y val="-3.96617089530475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Literatura!$C$3:$G$3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30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Literatura!$C$5:$G$5</c:f>
              <c:numCache>
                <c:formatCode>General</c:formatCode>
                <c:ptCount val="5"/>
                <c:pt idx="0">
                  <c:v>-62</c:v>
                </c:pt>
                <c:pt idx="1">
                  <c:v>-38</c:v>
                </c:pt>
                <c:pt idx="2">
                  <c:v>-19</c:v>
                </c:pt>
                <c:pt idx="4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5-4DBA-8EE8-254D9CCA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69183"/>
        <c:axId val="1732974175"/>
      </c:scatterChart>
      <c:valAx>
        <c:axId val="17329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974175"/>
        <c:crosses val="autoZero"/>
        <c:crossBetween val="midCat"/>
      </c:valAx>
      <c:valAx>
        <c:axId val="17329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9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96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06955380577429"/>
          <c:y val="0.13351190338744315"/>
          <c:w val="0.58202913385826749"/>
          <c:h val="0.6335868720222288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Control!$D$94</c:f>
              <c:strCache>
                <c:ptCount val="1"/>
              </c:strCache>
            </c:strRef>
          </c:tx>
          <c:invertIfNegative val="0"/>
          <c:cat>
            <c:numRef>
              <c:f>Control!$A$95:$A$101</c:f>
              <c:numCache>
                <c:formatCode>General</c:formatCode>
                <c:ptCount val="7"/>
              </c:numCache>
            </c:numRef>
          </c:cat>
          <c:val>
            <c:numRef>
              <c:f>Control!$D$95:$D$101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2EC-4C29-BF25-C16ADF61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69016"/>
        <c:axId val="188369408"/>
      </c:barChart>
      <c:barChart>
        <c:barDir val="col"/>
        <c:grouping val="clustered"/>
        <c:varyColors val="0"/>
        <c:ser>
          <c:idx val="0"/>
          <c:order val="0"/>
          <c:tx>
            <c:strRef>
              <c:f>Control!$B$94</c:f>
              <c:strCache>
                <c:ptCount val="1"/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Control!$C$95:$C$101</c:f>
                <c:numCache>
                  <c:formatCode>General</c:formatCode>
                  <c:ptCount val="7"/>
                </c:numCache>
              </c:numRef>
            </c:plus>
            <c:minus>
              <c:numRef>
                <c:f>Control!$C$95:$C$101</c:f>
                <c:numCache>
                  <c:formatCode>General</c:formatCode>
                  <c:ptCount val="7"/>
                </c:numCache>
              </c:numRef>
            </c:minus>
          </c:errBars>
          <c:cat>
            <c:numRef>
              <c:f>Control!$A$95:$A$101</c:f>
              <c:numCache>
                <c:formatCode>General</c:formatCode>
                <c:ptCount val="7"/>
              </c:numCache>
            </c:numRef>
          </c:cat>
          <c:val>
            <c:numRef>
              <c:f>Control!$B$95:$B$101</c:f>
              <c:numCache>
                <c:formatCode>0.00E+00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2EC-4C29-BF25-C16ADF61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9"/>
        <c:overlap val="-60"/>
        <c:axId val="188370192"/>
        <c:axId val="188369800"/>
      </c:barChart>
      <c:catAx>
        <c:axId val="188369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8369408"/>
        <c:crosses val="autoZero"/>
        <c:auto val="1"/>
        <c:lblAlgn val="ctr"/>
        <c:lblOffset val="100"/>
        <c:noMultiLvlLbl val="0"/>
      </c:catAx>
      <c:valAx>
        <c:axId val="188369408"/>
        <c:scaling>
          <c:orientation val="minMax"/>
          <c:min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Viab(%)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88369016"/>
        <c:crosses val="autoZero"/>
        <c:crossBetween val="between"/>
      </c:valAx>
      <c:valAx>
        <c:axId val="188369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ES" sz="1000" b="1" i="0" u="none" strike="noStrike" baseline="0">
                    <a:effectLst/>
                  </a:rPr>
                  <a:t>Xv(cell/ml)</a:t>
                </a:r>
                <a:r>
                  <a:rPr lang="es-ES" sz="1000" b="1" i="0" u="none" strike="noStrike" baseline="0"/>
                  <a:t> </a:t>
                </a:r>
                <a:endParaRPr lang="es-ES" b="1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8370192"/>
        <c:crosses val="max"/>
        <c:crossBetween val="between"/>
      </c:valAx>
      <c:catAx>
        <c:axId val="18837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83698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781837270341256"/>
          <c:y val="0.81443095654709863"/>
          <c:w val="0.24218162729658779"/>
          <c:h val="0.167434383202099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96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99857138110911"/>
          <c:y val="0.15697231394462788"/>
          <c:w val="0.59601289079371411"/>
          <c:h val="0.614451859206748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Control!#REF!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Control!$A$95:$A$99</c:f>
              <c:numCache>
                <c:formatCode>General</c:formatCode>
                <c:ptCount val="5"/>
              </c:numCache>
            </c:numRef>
          </c:cat>
          <c:val>
            <c:numRef>
              <c:f>Control!#REF!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A2B-9BE6-02AA8487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0976"/>
        <c:axId val="188371368"/>
      </c:barChart>
      <c:barChart>
        <c:barDir val="col"/>
        <c:grouping val="clustered"/>
        <c:varyColors val="0"/>
        <c:ser>
          <c:idx val="0"/>
          <c:order val="0"/>
          <c:tx>
            <c:strRef>
              <c:f>Control!$E$94</c:f>
              <c:strCache>
                <c:ptCount val="1"/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Control!$F$95:$F$101</c:f>
                <c:numCache>
                  <c:formatCode>General</c:formatCode>
                  <c:ptCount val="7"/>
                </c:numCache>
              </c:numRef>
            </c:plus>
            <c:minus>
              <c:numRef>
                <c:f>Control!$F$95:$F$101</c:f>
                <c:numCache>
                  <c:formatCode>General</c:formatCode>
                  <c:ptCount val="7"/>
                </c:numCache>
              </c:numRef>
            </c:minus>
          </c:errBars>
          <c:cat>
            <c:numRef>
              <c:f>Control!$A$95:$A$99</c:f>
              <c:numCache>
                <c:formatCode>General</c:formatCode>
                <c:ptCount val="5"/>
              </c:numCache>
            </c:numRef>
          </c:cat>
          <c:val>
            <c:numRef>
              <c:f>Control!$E$95:$E$99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585-4A2B-9BE6-02AA8487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1"/>
        <c:axId val="188862424"/>
        <c:axId val="188371760"/>
      </c:barChart>
      <c:catAx>
        <c:axId val="1883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371368"/>
        <c:crosses val="autoZero"/>
        <c:auto val="1"/>
        <c:lblAlgn val="ctr"/>
        <c:lblOffset val="100"/>
        <c:noMultiLvlLbl val="0"/>
      </c:catAx>
      <c:valAx>
        <c:axId val="18837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qP)ug/cel/h)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88370976"/>
        <c:crosses val="autoZero"/>
        <c:crossBetween val="between"/>
      </c:valAx>
      <c:valAx>
        <c:axId val="188371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IgG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862424"/>
        <c:crosses val="max"/>
        <c:crossBetween val="between"/>
      </c:valAx>
      <c:catAx>
        <c:axId val="188862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8371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753745971626906"/>
          <c:y val="0.82831984543598713"/>
          <c:w val="0.1123359580052494"/>
          <c:h val="0.167434383202099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Specific Production rate (qP)</a:t>
            </a:r>
            <a:endParaRPr lang="es-ES"/>
          </a:p>
        </c:rich>
      </c:tx>
      <c:layout>
        <c:manualLayout>
          <c:xMode val="edge"/>
          <c:yMode val="edge"/>
          <c:x val="0.25166674524965815"/>
          <c:y val="2.55558464399111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00473069608813"/>
          <c:y val="0.13411012881701809"/>
          <c:w val="0.7016089081679161"/>
          <c:h val="0.70852528344442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7.0969398886586876E-2"/>
                  <c:y val="9.9216345279927884E-2"/>
                </c:manualLayout>
              </c:layout>
              <c:numFmt formatCode="0.00E+00" sourceLinked="0"/>
            </c:trendlineLbl>
          </c:trendline>
          <c:xVal>
            <c:numRef>
              <c:f>Control!$J$5:$J$9</c:f>
              <c:numCache>
                <c:formatCode>0.00E+00</c:formatCode>
                <c:ptCount val="5"/>
                <c:pt idx="0">
                  <c:v>15086749.999986438</c:v>
                </c:pt>
                <c:pt idx="1">
                  <c:v>49612999.99998644</c:v>
                </c:pt>
                <c:pt idx="2">
                  <c:v>132568416.66703288</c:v>
                </c:pt>
                <c:pt idx="3">
                  <c:v>193202166.66684711</c:v>
                </c:pt>
                <c:pt idx="4">
                  <c:v>259894666.66669637</c:v>
                </c:pt>
              </c:numCache>
            </c:numRef>
          </c:xVal>
          <c:yVal>
            <c:numRef>
              <c:f>Control!$Q$5:$Q$8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1-4B64-AA6F-B960D6693005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8424306980073946"/>
                  <c:y val="6.0989444691979054E-2"/>
                </c:manualLayout>
              </c:layout>
              <c:numFmt formatCode="0.00E+00" sourceLinked="0"/>
            </c:trendlineLbl>
          </c:trendline>
          <c:xVal>
            <c:numRef>
              <c:f>Control!$J$35:$J$39</c:f>
              <c:numCache>
                <c:formatCode>0.00E+00</c:formatCode>
                <c:ptCount val="5"/>
                <c:pt idx="0">
                  <c:v>14943229.166720193</c:v>
                </c:pt>
                <c:pt idx="1">
                  <c:v>29656257.563504703</c:v>
                </c:pt>
                <c:pt idx="2">
                  <c:v>60150432.107748538</c:v>
                </c:pt>
                <c:pt idx="3">
                  <c:v>111717098.77456528</c:v>
                </c:pt>
                <c:pt idx="4">
                  <c:v>208478348.77419597</c:v>
                </c:pt>
              </c:numCache>
            </c:numRef>
          </c:xVal>
          <c:yVal>
            <c:numRef>
              <c:f>Control!$Q$35:$Q$38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1-4B64-AA6F-B960D6693005}"/>
            </c:ext>
          </c:extLst>
        </c:ser>
        <c:ser>
          <c:idx val="2"/>
          <c:order val="2"/>
          <c:tx>
            <c:strRef>
              <c:f>Control!$A$44</c:f>
              <c:strCache>
                <c:ptCount val="1"/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831793183882281"/>
                  <c:y val="4.9189798041009251E-2"/>
                </c:manualLayout>
              </c:layout>
              <c:numFmt formatCode="0.00E+00" sourceLinked="0"/>
            </c:trendlineLbl>
          </c:trendline>
          <c:xVal>
            <c:numRef>
              <c:f>Control!$J$47:$J$51</c:f>
              <c:numCache>
                <c:formatCode>0.00E+00</c:formatCode>
                <c:ptCount val="5"/>
              </c:numCache>
            </c:numRef>
          </c:xVal>
          <c:yVal>
            <c:numRef>
              <c:f>Control!$Q$47:$Q$50</c:f>
              <c:numCache>
                <c:formatCode>0.00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1-4B64-AA6F-B960D6693005}"/>
            </c:ext>
          </c:extLst>
        </c:ser>
        <c:ser>
          <c:idx val="3"/>
          <c:order val="3"/>
          <c:tx>
            <c:strRef>
              <c:f>Control!$A$59</c:f>
              <c:strCache>
                <c:ptCount val="1"/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21393282448480308"/>
                  <c:y val="5.7500443202951876E-2"/>
                </c:manualLayout>
              </c:layout>
              <c:numFmt formatCode="0.00E+00" sourceLinked="0"/>
            </c:trendlineLbl>
          </c:trendline>
          <c:xVal>
            <c:numRef>
              <c:f>Control!$J$62:$J$65</c:f>
              <c:numCache>
                <c:formatCode>0.00E+00</c:formatCode>
                <c:ptCount val="4"/>
              </c:numCache>
            </c:numRef>
          </c:xVal>
          <c:yVal>
            <c:numRef>
              <c:f>Control!$Q$62:$Q$65</c:f>
              <c:numCache>
                <c:formatCode>0.00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B1-4B64-AA6F-B960D669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7824"/>
        <c:axId val="65075664"/>
      </c:scatterChart>
      <c:valAx>
        <c:axId val="65067824"/>
        <c:scaling>
          <c:orientation val="minMax"/>
          <c:max val="260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Viable cell Index</a:t>
                </a:r>
                <a:r>
                  <a:rPr lang="es-ES" sz="12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(cel/mL/h</a:t>
                </a:r>
                <a:r>
                  <a:rPr lang="es-ES" sz="1200" b="1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058355729485912"/>
              <c:y val="0.9225070142094307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65075664"/>
        <c:crosses val="autoZero"/>
        <c:crossBetween val="midCat"/>
      </c:valAx>
      <c:valAx>
        <c:axId val="650756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2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DEC-Her1 concentration (µg/mL</a:t>
                </a:r>
                <a:r>
                  <a:rPr lang="es-E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s-E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5945903468653242E-2"/>
              <c:y val="0.270461499217968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6506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463026702500509"/>
          <c:y val="0.52411919098348003"/>
          <c:w val="0.16304414792462318"/>
          <c:h val="0.47541199293822289"/>
        </c:manualLayout>
      </c:layout>
      <c:overlay val="0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386835430268468"/>
          <c:y val="6.8755839432543181E-2"/>
          <c:w val="0.7287922430011694"/>
          <c:h val="0.818196303094601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Control!$D$4:$D$10</c:f>
              <c:numCache>
                <c:formatCode>General</c:formatCode>
                <c:ptCount val="7"/>
                <c:pt idx="0">
                  <c:v>0</c:v>
                </c:pt>
                <c:pt idx="1">
                  <c:v>21.583333333313931</c:v>
                </c:pt>
                <c:pt idx="2">
                  <c:v>46.333333333313931</c:v>
                </c:pt>
                <c:pt idx="3">
                  <c:v>76.000000000116415</c:v>
                </c:pt>
                <c:pt idx="4">
                  <c:v>95.000000000058208</c:v>
                </c:pt>
                <c:pt idx="5">
                  <c:v>120.75</c:v>
                </c:pt>
                <c:pt idx="6">
                  <c:v>145.83333333337214</c:v>
                </c:pt>
              </c:numCache>
            </c:numRef>
          </c:xVal>
          <c:yVal>
            <c:numRef>
              <c:f>Control!$I$4:$I$10</c:f>
              <c:numCache>
                <c:formatCode>0.00%</c:formatCode>
                <c:ptCount val="7"/>
                <c:pt idx="0">
                  <c:v>0.93679092382495943</c:v>
                </c:pt>
                <c:pt idx="1">
                  <c:v>0.95571095571095566</c:v>
                </c:pt>
                <c:pt idx="2">
                  <c:v>0.97187962506166747</c:v>
                </c:pt>
                <c:pt idx="3">
                  <c:v>0.99178644763860369</c:v>
                </c:pt>
                <c:pt idx="4">
                  <c:v>0.965034965034965</c:v>
                </c:pt>
                <c:pt idx="5">
                  <c:v>0.73556231003039518</c:v>
                </c:pt>
                <c:pt idx="6">
                  <c:v>0.48066298342541436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1-464E-B067-D2C3CC22C07E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Control!$D$34:$D$41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27.083333333430346</c:v>
                </c:pt>
                <c:pt idx="2">
                  <c:v>49.166666666627862</c:v>
                </c:pt>
                <c:pt idx="3">
                  <c:v>72.166666666686069</c:v>
                </c:pt>
                <c:pt idx="4">
                  <c:v>92.166666666744277</c:v>
                </c:pt>
                <c:pt idx="5">
                  <c:v>122.66666666662786</c:v>
                </c:pt>
                <c:pt idx="6">
                  <c:v>148.66666666668607</c:v>
                </c:pt>
                <c:pt idx="7">
                  <c:v>165.50000000005821</c:v>
                </c:pt>
              </c:numCache>
            </c:numRef>
          </c:xVal>
          <c:yVal>
            <c:numRef>
              <c:f>Control!$I$34:$I$41</c:f>
              <c:numCache>
                <c:formatCode>0.00%</c:formatCode>
                <c:ptCount val="8"/>
                <c:pt idx="0">
                  <c:v>0.97142857142857142</c:v>
                </c:pt>
                <c:pt idx="1">
                  <c:v>0.94716981132075473</c:v>
                </c:pt>
                <c:pt idx="2">
                  <c:v>0.90384623828888044</c:v>
                </c:pt>
                <c:pt idx="3">
                  <c:v>0.9373996789727127</c:v>
                </c:pt>
                <c:pt idx="4">
                  <c:v>0.95820895522388061</c:v>
                </c:pt>
                <c:pt idx="5">
                  <c:v>0.84501347708894881</c:v>
                </c:pt>
                <c:pt idx="6">
                  <c:v>0.62307692307692308</c:v>
                </c:pt>
                <c:pt idx="7">
                  <c:v>0.44807121661721067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1-464E-B067-D2C3CC22C07E}"/>
            </c:ext>
          </c:extLst>
        </c:ser>
        <c:ser>
          <c:idx val="2"/>
          <c:order val="2"/>
          <c:tx>
            <c:strRef>
              <c:f>Control!$A$16</c:f>
              <c:strCache>
                <c:ptCount val="1"/>
                <c:pt idx="0">
                  <c:v>Lote-2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Control!$D$18:$D$27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16.833333333372138</c:v>
                </c:pt>
                <c:pt idx="2">
                  <c:v>41.833333333313931</c:v>
                </c:pt>
                <c:pt idx="3">
                  <c:v>63.500000000058208</c:v>
                </c:pt>
                <c:pt idx="4">
                  <c:v>87.416666666627862</c:v>
                </c:pt>
                <c:pt idx="5">
                  <c:v>118.33333333331393</c:v>
                </c:pt>
                <c:pt idx="6">
                  <c:v>138</c:v>
                </c:pt>
                <c:pt idx="7">
                  <c:v>164.49999999994179</c:v>
                </c:pt>
                <c:pt idx="8">
                  <c:v>186.33333333337214</c:v>
                </c:pt>
                <c:pt idx="9">
                  <c:v>209.33333333325572</c:v>
                </c:pt>
              </c:numCache>
            </c:numRef>
          </c:xVal>
          <c:yVal>
            <c:numRef>
              <c:f>Control!$I$18:$I$27</c:f>
              <c:numCache>
                <c:formatCode>0.00%</c:formatCode>
                <c:ptCount val="10"/>
                <c:pt idx="0">
                  <c:v>0.94490358126721763</c:v>
                </c:pt>
                <c:pt idx="1">
                  <c:v>0.95412844036697253</c:v>
                </c:pt>
                <c:pt idx="2">
                  <c:v>0.96785714285714286</c:v>
                </c:pt>
                <c:pt idx="3">
                  <c:v>0.93781444958744209</c:v>
                </c:pt>
                <c:pt idx="4">
                  <c:v>0.93043863535666815</c:v>
                </c:pt>
                <c:pt idx="5">
                  <c:v>0.95707070707070707</c:v>
                </c:pt>
                <c:pt idx="6">
                  <c:v>0.92763157894736847</c:v>
                </c:pt>
                <c:pt idx="7">
                  <c:v>0.86813186813186816</c:v>
                </c:pt>
                <c:pt idx="8">
                  <c:v>0.70040485829959509</c:v>
                </c:pt>
                <c:pt idx="9">
                  <c:v>0.52580645161290318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9-47A5-8EC8-47896A63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64984"/>
        <c:axId val="471368264"/>
      </c:scatterChart>
      <c:valAx>
        <c:axId val="471364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368264"/>
        <c:crosses val="autoZero"/>
        <c:crossBetween val="midCat"/>
      </c:valAx>
      <c:valAx>
        <c:axId val="4713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Viability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36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7131058544288"/>
          <c:y val="0.6584769622511214"/>
          <c:w val="0.11874060151364381"/>
          <c:h val="0.1561707462161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Specific Production rate (qP)</a:t>
            </a:r>
            <a:endParaRPr lang="es-ES"/>
          </a:p>
        </c:rich>
      </c:tx>
      <c:layout>
        <c:manualLayout>
          <c:xMode val="edge"/>
          <c:yMode val="edge"/>
          <c:x val="0.25166674524965815"/>
          <c:y val="2.55558464399111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00473069608813"/>
          <c:y val="0.13411012881701809"/>
          <c:w val="0.62376459679067053"/>
          <c:h val="0.70852528344442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9.2645574991748789E-2"/>
                  <c:y val="0.12718072645011444"/>
                </c:manualLayout>
              </c:layout>
              <c:numFmt formatCode="General" sourceLinked="0"/>
            </c:trendlineLbl>
          </c:trendline>
          <c:xVal>
            <c:numRef>
              <c:f>Control!$J$5:$J$11</c:f>
              <c:numCache>
                <c:formatCode>0.00E+00</c:formatCode>
                <c:ptCount val="7"/>
                <c:pt idx="0">
                  <c:v>15086749.999986438</c:v>
                </c:pt>
                <c:pt idx="1">
                  <c:v>49612999.99998644</c:v>
                </c:pt>
                <c:pt idx="2">
                  <c:v>132568416.66703288</c:v>
                </c:pt>
                <c:pt idx="3">
                  <c:v>193202166.66684711</c:v>
                </c:pt>
                <c:pt idx="4">
                  <c:v>259894666.66669637</c:v>
                </c:pt>
                <c:pt idx="5">
                  <c:v>312068000.00011039</c:v>
                </c:pt>
                <c:pt idx="6">
                  <c:v>0</c:v>
                </c:pt>
              </c:numCache>
            </c:numRef>
          </c:xVal>
          <c:yVal>
            <c:numRef>
              <c:f>Control!$Q$5:$Q$11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C-4123-845A-DCFA221EA595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8362220441007757"/>
                  <c:y val="9.1467466822401679E-3"/>
                </c:manualLayout>
              </c:layout>
              <c:numFmt formatCode="0.00E+00" sourceLinked="0"/>
            </c:trendlineLbl>
          </c:trendline>
          <c:xVal>
            <c:numRef>
              <c:f>Control!$J$35:$J$41</c:f>
              <c:numCache>
                <c:formatCode>0.00E+00</c:formatCode>
                <c:ptCount val="7"/>
                <c:pt idx="0">
                  <c:v>14943229.166720193</c:v>
                </c:pt>
                <c:pt idx="1">
                  <c:v>29656257.563504703</c:v>
                </c:pt>
                <c:pt idx="2">
                  <c:v>60150432.107748538</c:v>
                </c:pt>
                <c:pt idx="3">
                  <c:v>111717098.77456528</c:v>
                </c:pt>
                <c:pt idx="4">
                  <c:v>208478348.77419597</c:v>
                </c:pt>
                <c:pt idx="5">
                  <c:v>280823348.77435791</c:v>
                </c:pt>
                <c:pt idx="6">
                  <c:v>313985015.44110101</c:v>
                </c:pt>
              </c:numCache>
            </c:numRef>
          </c:xVal>
          <c:yVal>
            <c:numRef>
              <c:f>Control!$Q$35:$Q$41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C-4123-845A-DCFA221EA595}"/>
            </c:ext>
          </c:extLst>
        </c:ser>
        <c:ser>
          <c:idx val="2"/>
          <c:order val="2"/>
          <c:tx>
            <c:strRef>
              <c:f>Control!$A$44</c:f>
              <c:strCache>
                <c:ptCount val="1"/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24337199616515001"/>
                  <c:y val="2.3735894905719906E-2"/>
                </c:manualLayout>
              </c:layout>
              <c:numFmt formatCode="0.00E+00" sourceLinked="0"/>
            </c:trendlineLbl>
          </c:trendline>
          <c:xVal>
            <c:numRef>
              <c:f>Control!$J$47:$J$53</c:f>
              <c:numCache>
                <c:formatCode>0.00E+00</c:formatCode>
                <c:ptCount val="7"/>
              </c:numCache>
            </c:numRef>
          </c:xVal>
          <c:yVal>
            <c:numRef>
              <c:f>Control!$Q$47:$Q$53</c:f>
              <c:numCache>
                <c:formatCode>0.00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C-4123-845A-DCFA221EA595}"/>
            </c:ext>
          </c:extLst>
        </c:ser>
        <c:ser>
          <c:idx val="3"/>
          <c:order val="3"/>
          <c:tx>
            <c:strRef>
              <c:f>Control!$A$59</c:f>
              <c:strCache>
                <c:ptCount val="1"/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24456567180599431"/>
                  <c:y val="-2.3859140369602138E-2"/>
                </c:manualLayout>
              </c:layout>
              <c:numFmt formatCode="0.00E+00" sourceLinked="0"/>
            </c:trendlineLbl>
          </c:trendline>
          <c:xVal>
            <c:numRef>
              <c:f>Control!$J$62:$J$68</c:f>
              <c:numCache>
                <c:formatCode>0.00E+00</c:formatCode>
                <c:ptCount val="7"/>
              </c:numCache>
            </c:numRef>
          </c:xVal>
          <c:yVal>
            <c:numRef>
              <c:f>Control!$Q$62:$Q$68</c:f>
              <c:numCache>
                <c:formatCode>0.00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3C-4123-845A-DCFA221EA595}"/>
            </c:ext>
          </c:extLst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20450029075706855"/>
                  <c:y val="2.7608863470071358E-2"/>
                </c:manualLayout>
              </c:layout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3C-4123-845A-DCFA221E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7824"/>
        <c:axId val="65075664"/>
      </c:scatterChart>
      <c:valAx>
        <c:axId val="650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0" i="0" u="none" strike="noStrike" baseline="0">
                    <a:effectLst/>
                  </a:rPr>
                  <a:t>Viable cell Index</a:t>
                </a:r>
                <a:r>
                  <a:rPr lang="es-ES" sz="1000" b="1" i="0" u="none" strike="noStrike" baseline="0">
                    <a:effectLst/>
                  </a:rPr>
                  <a:t> (cel/mL/h</a:t>
                </a:r>
                <a:r>
                  <a:rPr lang="es-ES" sz="1000" b="1" i="0" u="none" strike="noStrike" baseline="0"/>
                  <a:t>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0058355729485912"/>
              <c:y val="0.9110127474474896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65075664"/>
        <c:crosses val="autoZero"/>
        <c:crossBetween val="midCat"/>
      </c:valAx>
      <c:valAx>
        <c:axId val="650756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>
                    <a:effectLst/>
                  </a:rPr>
                  <a:t>DEC-Her1 concentration (µg/mL</a:t>
                </a: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)</a:t>
                </a:r>
                <a:endParaRPr lang="es-ES">
                  <a:effectLst/>
                </a:endParaRPr>
              </a:p>
            </c:rich>
          </c:tx>
          <c:layout>
            <c:manualLayout>
              <c:xMode val="edge"/>
              <c:yMode val="edge"/>
              <c:x val="3.5945903468653242E-2"/>
              <c:y val="0.270461499217968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6506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463026702500509"/>
          <c:y val="0.52411919098348003"/>
          <c:w val="0.16304414792462318"/>
          <c:h val="0.47541199293822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41253420119953"/>
          <c:y val="3.3919072772797897E-2"/>
          <c:w val="0.74158746579880042"/>
          <c:h val="0.79038833768070016"/>
        </c:manualLayout>
      </c:layout>
      <c:barChart>
        <c:barDir val="col"/>
        <c:grouping val="clustered"/>
        <c:varyColors val="0"/>
        <c:ser>
          <c:idx val="0"/>
          <c:order val="0"/>
          <c:tx>
            <c:v>qP Normalized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Control!$A$105:$A$109</c:f>
              <c:numCache>
                <c:formatCode>General</c:formatCode>
                <c:ptCount val="5"/>
              </c:numCache>
            </c:numRef>
          </c:cat>
          <c:val>
            <c:numRef>
              <c:f>Control!#REF!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8A8-BB2A-B77FE4A08CEF}"/>
            </c:ext>
          </c:extLst>
        </c:ser>
        <c:ser>
          <c:idx val="1"/>
          <c:order val="1"/>
          <c:tx>
            <c:v>DEC-Her1 Normalized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Control!$A$105:$A$109</c:f>
              <c:numCache>
                <c:formatCode>General</c:formatCode>
                <c:ptCount val="5"/>
              </c:numCache>
            </c:numRef>
          </c:cat>
          <c:val>
            <c:numRef>
              <c:f>Control!$G$105:$G$109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26-48A8-BB2A-B77FE4A08C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586456"/>
        <c:axId val="416585144"/>
      </c:barChart>
      <c:catAx>
        <c:axId val="4165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85144"/>
        <c:crosses val="autoZero"/>
        <c:auto val="1"/>
        <c:lblAlgn val="ctr"/>
        <c:lblOffset val="100"/>
        <c:noMultiLvlLbl val="0"/>
      </c:catAx>
      <c:valAx>
        <c:axId val="41658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86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45970558615333E-4"/>
          <c:y val="1.2396260384807277E-2"/>
          <c:w val="0.23614869169702513"/>
          <c:h val="0.1134072290550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>
            <a:lumMod val="65000"/>
            <a:tint val="66000"/>
            <a:satMod val="160000"/>
          </a:schemeClr>
        </a:gs>
        <a:gs pos="50000">
          <a:schemeClr val="bg1">
            <a:lumMod val="65000"/>
            <a:tint val="44500"/>
            <a:satMod val="160000"/>
          </a:schemeClr>
        </a:gs>
        <a:gs pos="100000">
          <a:schemeClr val="bg1">
            <a:lumMod val="65000"/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qS(Gluc)(nmol/(e6*cel*h)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Control!$A$2</c:f>
              <c:strCache>
                <c:ptCount val="1"/>
                <c:pt idx="0">
                  <c:v>Lote-1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(Control!$Y$5,Control!$Y$6,Control!$Y$9,Control!$Y$10,Control!$Y$11)</c:f>
              <c:numCache>
                <c:formatCode>0.00</c:formatCode>
                <c:ptCount val="5"/>
                <c:pt idx="3">
                  <c:v>24.124032639311473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F00-906A-065F79154C11}"/>
            </c:ext>
          </c:extLst>
        </c:ser>
        <c:ser>
          <c:idx val="1"/>
          <c:order val="1"/>
          <c:tx>
            <c:strRef>
              <c:f>Control!$A$32</c:f>
              <c:strCache>
                <c:ptCount val="1"/>
                <c:pt idx="0">
                  <c:v>Lote-3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(Control!$Y$35,Control!$Y$36,Control!$Y$39,Control!$Y$40,Control!$Y$41)</c:f>
              <c:numCache>
                <c:formatCode>0.00</c:formatCode>
                <c:ptCount val="5"/>
                <c:pt idx="4">
                  <c:v>28.84777442723065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9-4F00-906A-065F79154C11}"/>
            </c:ext>
          </c:extLst>
        </c:ser>
        <c:ser>
          <c:idx val="2"/>
          <c:order val="2"/>
          <c:tx>
            <c:strRef>
              <c:f>Control!$A$44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(Control!$Y$47,Control!$Y$48,Control!$Y$51,Control!$Y$52,Control!$Y$53)</c:f>
              <c:numCache>
                <c:formatCode>0.00</c:formatCode>
                <c:ptCount val="5"/>
                <c:pt idx="0">
                  <c:v>26.485903533271063</c:v>
                </c:pt>
                <c:pt idx="1">
                  <c:v>3.3401898508119165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9-4F00-906A-065F79154C11}"/>
            </c:ext>
          </c:extLst>
        </c:ser>
        <c:ser>
          <c:idx val="3"/>
          <c:order val="3"/>
          <c:tx>
            <c:strRef>
              <c:f>Control!$A$59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(Control!$D$5,Control!$D$6,Control!$D$9,Control!$D$10,Control!$D$11)</c:f>
              <c:numCache>
                <c:formatCode>General</c:formatCode>
                <c:ptCount val="5"/>
                <c:pt idx="0">
                  <c:v>21.583333333313931</c:v>
                </c:pt>
                <c:pt idx="1">
                  <c:v>46.333333333313931</c:v>
                </c:pt>
                <c:pt idx="2">
                  <c:v>120.75</c:v>
                </c:pt>
                <c:pt idx="3">
                  <c:v>145.83333333337214</c:v>
                </c:pt>
                <c:pt idx="4">
                  <c:v>1465.5833333334303</c:v>
                </c:pt>
              </c:numCache>
            </c:numRef>
          </c:cat>
          <c:val>
            <c:numRef>
              <c:f>(Control!$Y$62,Control!$Y$63,Control!$Y$66,Control!$Y$67,Control!$Y$68)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449-4F00-906A-065F7915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0440"/>
        <c:axId val="470165520"/>
      </c:barChart>
      <c:catAx>
        <c:axId val="47017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65520"/>
        <c:crosses val="autoZero"/>
        <c:auto val="1"/>
        <c:lblAlgn val="ctr"/>
        <c:lblOffset val="100"/>
        <c:noMultiLvlLbl val="0"/>
      </c:catAx>
      <c:valAx>
        <c:axId val="470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591413</xdr:colOff>
      <xdr:row>1</xdr:row>
      <xdr:rowOff>100494</xdr:rowOff>
    </xdr:from>
    <xdr:to>
      <xdr:col>48</xdr:col>
      <xdr:colOff>232833</xdr:colOff>
      <xdr:row>22</xdr:row>
      <xdr:rowOff>169334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589491</xdr:colOff>
      <xdr:row>23</xdr:row>
      <xdr:rowOff>74083</xdr:rowOff>
    </xdr:from>
    <xdr:to>
      <xdr:col>47</xdr:col>
      <xdr:colOff>541866</xdr:colOff>
      <xdr:row>41</xdr:row>
      <xdr:rowOff>116417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222250</xdr:colOff>
      <xdr:row>89</xdr:row>
      <xdr:rowOff>41275</xdr:rowOff>
    </xdr:from>
    <xdr:to>
      <xdr:col>7</xdr:col>
      <xdr:colOff>0</xdr:colOff>
      <xdr:row>111</xdr:row>
      <xdr:rowOff>50800</xdr:rowOff>
    </xdr:to>
    <xdr:graphicFrame macro="">
      <xdr:nvGraphicFramePr>
        <xdr:cNvPr id="8" name="3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88</xdr:row>
      <xdr:rowOff>61383</xdr:rowOff>
    </xdr:from>
    <xdr:to>
      <xdr:col>12</xdr:col>
      <xdr:colOff>820208</xdr:colOff>
      <xdr:row>110</xdr:row>
      <xdr:rowOff>70908</xdr:rowOff>
    </xdr:to>
    <xdr:graphicFrame macro="">
      <xdr:nvGraphicFramePr>
        <xdr:cNvPr id="9" name="4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70139</xdr:colOff>
      <xdr:row>67</xdr:row>
      <xdr:rowOff>226867</xdr:rowOff>
    </xdr:from>
    <xdr:to>
      <xdr:col>64</xdr:col>
      <xdr:colOff>336839</xdr:colOff>
      <xdr:row>94</xdr:row>
      <xdr:rowOff>184438</xdr:rowOff>
    </xdr:to>
    <xdr:graphicFrame macro="">
      <xdr:nvGraphicFramePr>
        <xdr:cNvPr id="6" name="4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364982</xdr:colOff>
      <xdr:row>1</xdr:row>
      <xdr:rowOff>105833</xdr:rowOff>
    </xdr:from>
    <xdr:to>
      <xdr:col>56</xdr:col>
      <xdr:colOff>1</xdr:colOff>
      <xdr:row>23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104775</xdr:colOff>
      <xdr:row>92</xdr:row>
      <xdr:rowOff>0</xdr:rowOff>
    </xdr:from>
    <xdr:to>
      <xdr:col>47</xdr:col>
      <xdr:colOff>371475</xdr:colOff>
      <xdr:row>113</xdr:row>
      <xdr:rowOff>104775</xdr:rowOff>
    </xdr:to>
    <xdr:graphicFrame macro="">
      <xdr:nvGraphicFramePr>
        <xdr:cNvPr id="10" name="4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90</xdr:row>
      <xdr:rowOff>161925</xdr:rowOff>
    </xdr:from>
    <xdr:to>
      <xdr:col>14</xdr:col>
      <xdr:colOff>28574</xdr:colOff>
      <xdr:row>109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123825</xdr:colOff>
      <xdr:row>59</xdr:row>
      <xdr:rowOff>142875</xdr:rowOff>
    </xdr:from>
    <xdr:to>
      <xdr:col>47</xdr:col>
      <xdr:colOff>428625</xdr:colOff>
      <xdr:row>73</xdr:row>
      <xdr:rowOff>209550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4EB9487-27C0-40A7-A62B-94242F616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104775</xdr:colOff>
      <xdr:row>73</xdr:row>
      <xdr:rowOff>257175</xdr:rowOff>
    </xdr:from>
    <xdr:to>
      <xdr:col>47</xdr:col>
      <xdr:colOff>409575</xdr:colOff>
      <xdr:row>91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9008EC8-86D5-44DD-AA17-C7FA75043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66</xdr:row>
      <xdr:rowOff>162983</xdr:rowOff>
    </xdr:from>
    <xdr:to>
      <xdr:col>25</xdr:col>
      <xdr:colOff>550333</xdr:colOff>
      <xdr:row>81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AAA1077-B4CC-478B-AABF-46F5736CD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719666</xdr:colOff>
      <xdr:row>89</xdr:row>
      <xdr:rowOff>116417</xdr:rowOff>
    </xdr:from>
    <xdr:to>
      <xdr:col>19</xdr:col>
      <xdr:colOff>455083</xdr:colOff>
      <xdr:row>109</xdr:row>
      <xdr:rowOff>160867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EB12F80-C76C-4193-8F25-CCE4AB99C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53879</xdr:colOff>
      <xdr:row>23</xdr:row>
      <xdr:rowOff>50031</xdr:rowOff>
    </xdr:from>
    <xdr:to>
      <xdr:col>55</xdr:col>
      <xdr:colOff>220807</xdr:colOff>
      <xdr:row>41</xdr:row>
      <xdr:rowOff>92365</xdr:rowOff>
    </xdr:to>
    <xdr:graphicFrame macro="">
      <xdr:nvGraphicFramePr>
        <xdr:cNvPr id="15" name="4 Gráfico">
          <a:extLst>
            <a:ext uri="{FF2B5EF4-FFF2-40B4-BE49-F238E27FC236}">
              <a16:creationId xmlns:a16="http://schemas.microsoft.com/office/drawing/2014/main" id="{E965B57E-F082-472F-9BE3-47C55F53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60614</xdr:colOff>
      <xdr:row>42</xdr:row>
      <xdr:rowOff>126423</xdr:rowOff>
    </xdr:from>
    <xdr:to>
      <xdr:col>7</xdr:col>
      <xdr:colOff>95250</xdr:colOff>
      <xdr:row>53</xdr:row>
      <xdr:rowOff>12123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4900137-F13A-49F9-9E0F-0A39BDBAF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813955</xdr:colOff>
      <xdr:row>42</xdr:row>
      <xdr:rowOff>161060</xdr:rowOff>
    </xdr:from>
    <xdr:to>
      <xdr:col>12</xdr:col>
      <xdr:colOff>1099704</xdr:colOff>
      <xdr:row>52</xdr:row>
      <xdr:rowOff>69273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509E1AA-8EE2-4D47-A05D-91688D632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147204</xdr:colOff>
      <xdr:row>42</xdr:row>
      <xdr:rowOff>181841</xdr:rowOff>
    </xdr:from>
    <xdr:to>
      <xdr:col>17</xdr:col>
      <xdr:colOff>684068</xdr:colOff>
      <xdr:row>52</xdr:row>
      <xdr:rowOff>185305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046ABDF-8010-4F51-B37D-5FAAB532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355023</xdr:colOff>
      <xdr:row>54</xdr:row>
      <xdr:rowOff>173182</xdr:rowOff>
    </xdr:from>
    <xdr:to>
      <xdr:col>17</xdr:col>
      <xdr:colOff>891887</xdr:colOff>
      <xdr:row>67</xdr:row>
      <xdr:rowOff>176645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44A89DC-C913-4598-B8C2-78FB461E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22</xdr:col>
      <xdr:colOff>477333</xdr:colOff>
      <xdr:row>53</xdr:row>
      <xdr:rowOff>110621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3BB2D79-A528-4CA5-AD58-E79F8399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171456</xdr:rowOff>
    </xdr:from>
    <xdr:to>
      <xdr:col>14</xdr:col>
      <xdr:colOff>19050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6</xdr:row>
      <xdr:rowOff>38106</xdr:rowOff>
    </xdr:from>
    <xdr:to>
      <xdr:col>7</xdr:col>
      <xdr:colOff>409575</xdr:colOff>
      <xdr:row>20</xdr:row>
      <xdr:rowOff>114306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9"/>
  <sheetViews>
    <sheetView tabSelected="1" topLeftCell="I33" zoomScale="80" zoomScaleNormal="80" workbookViewId="0">
      <selection activeCell="S44" sqref="S44"/>
    </sheetView>
  </sheetViews>
  <sheetFormatPr baseColWidth="10" defaultColWidth="9.140625" defaultRowHeight="15" x14ac:dyDescent="0.25"/>
  <cols>
    <col min="2" max="2" width="10.7109375" bestFit="1" customWidth="1"/>
    <col min="3" max="3" width="10.7109375" customWidth="1"/>
    <col min="4" max="4" width="10.140625" customWidth="1"/>
    <col min="6" max="7" width="13.5703125" customWidth="1"/>
    <col min="8" max="8" width="12.85546875" customWidth="1"/>
    <col min="9" max="10" width="10.85546875" customWidth="1"/>
    <col min="11" max="12" width="10.85546875" style="33" customWidth="1"/>
    <col min="13" max="13" width="17.42578125" customWidth="1"/>
    <col min="14" max="14" width="13.85546875" bestFit="1" customWidth="1"/>
    <col min="15" max="15" width="13" customWidth="1"/>
    <col min="16" max="16" width="15.28515625" customWidth="1"/>
    <col min="17" max="19" width="14.7109375" customWidth="1"/>
    <col min="20" max="21" width="14.7109375" style="33" customWidth="1"/>
    <col min="22" max="22" width="13.85546875" customWidth="1"/>
    <col min="23" max="23" width="12" bestFit="1" customWidth="1"/>
    <col min="24" max="24" width="12" style="33" bestFit="1" customWidth="1"/>
    <col min="25" max="25" width="24.140625" style="33" bestFit="1" customWidth="1"/>
    <col min="26" max="26" width="8.5703125" style="33" bestFit="1" customWidth="1"/>
    <col min="27" max="27" width="24.140625" style="33" bestFit="1" customWidth="1"/>
    <col min="28" max="28" width="8.5703125" style="33" bestFit="1" customWidth="1"/>
    <col min="29" max="29" width="8.5703125" style="33" customWidth="1"/>
    <col min="30" max="30" width="24.140625" style="33" bestFit="1" customWidth="1"/>
    <col min="31" max="37" width="24.140625" style="33" customWidth="1"/>
    <col min="39" max="39" width="12" bestFit="1" customWidth="1"/>
    <col min="49" max="49" width="19.140625" customWidth="1"/>
    <col min="50" max="50" width="15.42578125" customWidth="1"/>
    <col min="51" max="51" width="11" customWidth="1"/>
    <col min="58" max="58" width="18.7109375" bestFit="1" customWidth="1"/>
    <col min="59" max="59" width="18.7109375" style="33" customWidth="1"/>
    <col min="60" max="60" width="15.28515625" bestFit="1" customWidth="1"/>
    <col min="61" max="61" width="30.85546875" bestFit="1" customWidth="1"/>
    <col min="62" max="62" width="20.5703125" bestFit="1" customWidth="1"/>
    <col min="63" max="63" width="11" bestFit="1" customWidth="1"/>
    <col min="64" max="64" width="11.42578125" bestFit="1" customWidth="1"/>
    <col min="65" max="65" width="20.5703125" bestFit="1" customWidth="1"/>
  </cols>
  <sheetData>
    <row r="1" spans="1:39" s="33" customFormat="1" x14ac:dyDescent="0.25"/>
    <row r="2" spans="1:39" x14ac:dyDescent="0.25">
      <c r="A2" s="1" t="s">
        <v>71</v>
      </c>
      <c r="I2" t="s">
        <v>0</v>
      </c>
      <c r="AB2" s="33" t="s">
        <v>40</v>
      </c>
      <c r="AC2" s="33">
        <v>3.2000000000000002E-3</v>
      </c>
      <c r="AF2" s="33" t="s">
        <v>97</v>
      </c>
    </row>
    <row r="3" spans="1:39" x14ac:dyDescent="0.25">
      <c r="A3" s="4" t="s">
        <v>1</v>
      </c>
      <c r="B3" s="4" t="s">
        <v>2</v>
      </c>
      <c r="C3" s="4" t="s">
        <v>9</v>
      </c>
      <c r="D3" s="4" t="s">
        <v>3</v>
      </c>
      <c r="E3" s="4" t="s">
        <v>16</v>
      </c>
      <c r="F3" s="7" t="s">
        <v>10</v>
      </c>
      <c r="G3" s="4" t="s">
        <v>11</v>
      </c>
      <c r="H3" s="4" t="s">
        <v>12</v>
      </c>
      <c r="I3" s="4" t="s">
        <v>5</v>
      </c>
      <c r="J3" s="4" t="s">
        <v>6</v>
      </c>
      <c r="K3" s="4" t="s">
        <v>64</v>
      </c>
      <c r="L3" s="4" t="s">
        <v>65</v>
      </c>
      <c r="M3" s="8" t="s">
        <v>13</v>
      </c>
      <c r="N3" s="4" t="s">
        <v>8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27</v>
      </c>
      <c r="T3" s="4" t="s">
        <v>62</v>
      </c>
      <c r="U3" s="4" t="s">
        <v>63</v>
      </c>
      <c r="V3" s="4" t="s">
        <v>23</v>
      </c>
      <c r="W3" s="3" t="s">
        <v>24</v>
      </c>
      <c r="X3" s="4" t="s">
        <v>31</v>
      </c>
      <c r="Y3" s="4" t="s">
        <v>32</v>
      </c>
      <c r="Z3" s="4" t="s">
        <v>34</v>
      </c>
      <c r="AA3" s="4" t="s">
        <v>33</v>
      </c>
      <c r="AB3" s="4" t="s">
        <v>35</v>
      </c>
      <c r="AC3" s="4" t="s">
        <v>39</v>
      </c>
      <c r="AD3" s="4" t="s">
        <v>36</v>
      </c>
      <c r="AE3" s="4" t="s">
        <v>99</v>
      </c>
      <c r="AF3" s="92" t="s">
        <v>74</v>
      </c>
      <c r="AG3" s="92" t="s">
        <v>100</v>
      </c>
      <c r="AH3" s="92" t="s">
        <v>102</v>
      </c>
      <c r="AI3" s="92" t="s">
        <v>103</v>
      </c>
      <c r="AJ3" s="92" t="s">
        <v>98</v>
      </c>
      <c r="AK3" s="92" t="s">
        <v>101</v>
      </c>
    </row>
    <row r="4" spans="1:39" x14ac:dyDescent="0.25">
      <c r="A4" s="4">
        <v>0</v>
      </c>
      <c r="B4" s="11">
        <v>43476</v>
      </c>
      <c r="C4" s="10">
        <v>0.51736111111111105</v>
      </c>
      <c r="D4" s="6">
        <v>0</v>
      </c>
      <c r="E4" s="6">
        <v>0</v>
      </c>
      <c r="F4" s="12">
        <v>578000</v>
      </c>
      <c r="G4" s="12">
        <v>39000</v>
      </c>
      <c r="H4" s="12">
        <f>F4+G4</f>
        <v>617000</v>
      </c>
      <c r="I4" s="13">
        <f>(F4/H4)</f>
        <v>0.93679092382495943</v>
      </c>
      <c r="J4" s="12">
        <v>0</v>
      </c>
      <c r="K4" s="18">
        <f>LN(F4)</f>
        <v>13.267329147654515</v>
      </c>
      <c r="L4" s="12"/>
      <c r="M4" s="6"/>
      <c r="N4" s="6"/>
      <c r="O4" s="6"/>
      <c r="P4" s="6"/>
      <c r="Q4" s="18">
        <v>0</v>
      </c>
      <c r="R4" s="18"/>
      <c r="S4" s="18"/>
      <c r="T4" s="18"/>
      <c r="U4" s="18"/>
      <c r="V4" s="9">
        <v>0</v>
      </c>
      <c r="X4" s="33">
        <v>25</v>
      </c>
      <c r="Z4" s="33">
        <v>0</v>
      </c>
      <c r="AB4" s="33">
        <v>6</v>
      </c>
    </row>
    <row r="5" spans="1:39" x14ac:dyDescent="0.25">
      <c r="A5" s="4">
        <v>1</v>
      </c>
      <c r="B5" s="11">
        <v>43477</v>
      </c>
      <c r="C5" s="10">
        <v>0.41666666666666669</v>
      </c>
      <c r="D5" s="6">
        <f>((B5+C5)-($B$4+$C$4))*24</f>
        <v>21.583333333313931</v>
      </c>
      <c r="E5" s="6">
        <f>D5-D4</f>
        <v>21.583333333313931</v>
      </c>
      <c r="F5" s="12">
        <v>820000</v>
      </c>
      <c r="G5" s="12">
        <v>38000</v>
      </c>
      <c r="H5" s="12">
        <f t="shared" ref="H5:H10" si="0">F5+G5</f>
        <v>858000</v>
      </c>
      <c r="I5" s="13">
        <f t="shared" ref="I5:I10" si="1">(F5/H5)</f>
        <v>0.95571095571095566</v>
      </c>
      <c r="J5" s="12">
        <f>(((F5+F4)/2)*(D5-D4))+J4</f>
        <v>15086749.999986438</v>
      </c>
      <c r="K5" s="18">
        <f>LN(F5)</f>
        <v>13.617059619240436</v>
      </c>
      <c r="L5" s="18">
        <f>LN(F5/F4)</f>
        <v>0.3497304715859213</v>
      </c>
      <c r="M5" s="14">
        <f>(L5)/(D5-D4)</f>
        <v>1.6203728413261887E-2</v>
      </c>
      <c r="N5" s="14">
        <f t="shared" ref="N5:N13" si="2">(1/J5*(POWER(10,6)))*24</f>
        <v>1.5907998740631069</v>
      </c>
      <c r="O5" s="52"/>
      <c r="P5" s="52"/>
      <c r="Q5" s="52" t="e">
        <f t="shared" ref="Q5:Q13" si="3">AVERAGE(O5:P5)</f>
        <v>#DIV/0!</v>
      </c>
      <c r="R5" s="18" t="e">
        <f t="shared" ref="R5:R13" si="4">STDEV(O5:P5)</f>
        <v>#DIV/0!</v>
      </c>
      <c r="S5" s="13" t="e">
        <f>R5/Q5</f>
        <v>#DIV/0!</v>
      </c>
      <c r="T5" s="12">
        <f t="shared" ref="T5:T13" si="5">(O5-O4)/(J5-J4)</f>
        <v>0</v>
      </c>
      <c r="U5" s="12">
        <f t="shared" ref="U5:U13" si="6">(P5-P4)/(J5-J4)</f>
        <v>0</v>
      </c>
      <c r="V5" s="19" t="e">
        <f>Q5/J5</f>
        <v>#DIV/0!</v>
      </c>
      <c r="W5" s="21" t="e">
        <f>V5*24*POWER(10,6)</f>
        <v>#DIV/0!</v>
      </c>
      <c r="X5" s="34">
        <v>14.369458381574097</v>
      </c>
      <c r="Y5" s="34"/>
      <c r="Z5" s="34">
        <v>6.4931406976094337</v>
      </c>
      <c r="AA5" s="34"/>
      <c r="AB5" s="34">
        <v>2.6392820958051106</v>
      </c>
      <c r="AC5" s="34">
        <f>((AB5+AB4)/2)*(D5-D4)</f>
        <v>93.232252617146344</v>
      </c>
      <c r="AD5" s="34"/>
      <c r="AE5" s="34"/>
    </row>
    <row r="6" spans="1:39" x14ac:dyDescent="0.25">
      <c r="A6" s="4">
        <v>2</v>
      </c>
      <c r="B6" s="11">
        <v>43478</v>
      </c>
      <c r="C6" s="10">
        <v>0.44791666666666669</v>
      </c>
      <c r="D6" s="6">
        <f>((B6+C6)-($B$4+$C$4))*24</f>
        <v>46.333333333313931</v>
      </c>
      <c r="E6" s="6">
        <f>D6-D5</f>
        <v>24.75</v>
      </c>
      <c r="F6" s="12">
        <v>1970000</v>
      </c>
      <c r="G6" s="12">
        <v>57000</v>
      </c>
      <c r="H6" s="12">
        <f t="shared" si="0"/>
        <v>2027000</v>
      </c>
      <c r="I6" s="13">
        <f t="shared" si="1"/>
        <v>0.97187962506166747</v>
      </c>
      <c r="J6" s="12">
        <f t="shared" ref="J6:J10" si="7">(((F6+F5)/2)*(D6-D5))+J5</f>
        <v>49612999.99998644</v>
      </c>
      <c r="K6" s="18">
        <f t="shared" ref="K6:K10" si="8">LN(F6)</f>
        <v>14.493544100714171</v>
      </c>
      <c r="L6" s="18">
        <f t="shared" ref="L6:L10" si="9">LN(F6/F5)</f>
        <v>0.87648448147373537</v>
      </c>
      <c r="M6" s="14">
        <f t="shared" ref="M6:M10" si="10">(L6)/(D6-D5)</f>
        <v>3.5413514402979206E-2</v>
      </c>
      <c r="N6" s="14">
        <f t="shared" si="2"/>
        <v>0.4837441799529672</v>
      </c>
      <c r="O6" s="52"/>
      <c r="P6" s="52"/>
      <c r="Q6" s="52" t="e">
        <f t="shared" si="3"/>
        <v>#DIV/0!</v>
      </c>
      <c r="R6" s="18" t="e">
        <f t="shared" si="4"/>
        <v>#DIV/0!</v>
      </c>
      <c r="S6" s="13" t="e">
        <f t="shared" ref="S6:S13" si="11">R6/Q6</f>
        <v>#DIV/0!</v>
      </c>
      <c r="T6" s="12">
        <f t="shared" si="5"/>
        <v>0</v>
      </c>
      <c r="U6" s="12">
        <f t="shared" si="6"/>
        <v>0</v>
      </c>
      <c r="V6" s="19" t="e">
        <f t="shared" ref="V6:V11" si="12">Q6/J6</f>
        <v>#DIV/0!</v>
      </c>
      <c r="W6" s="21" t="e">
        <f t="shared" ref="W6:W11" si="13">V6*24*POWER(10,6)</f>
        <v>#DIV/0!</v>
      </c>
      <c r="X6" s="34">
        <v>14.191384104424063</v>
      </c>
      <c r="Y6" s="34"/>
      <c r="Z6" s="34">
        <v>12.263418748966036</v>
      </c>
      <c r="AA6" s="34"/>
      <c r="AB6" s="34">
        <v>2.516033106403214</v>
      </c>
      <c r="AC6" s="34">
        <f>(((AB6+AB5)/2)*(D6-D5))+AC5</f>
        <v>157.02927824447437</v>
      </c>
      <c r="AD6" s="34"/>
      <c r="AE6" s="34"/>
      <c r="AL6" s="19"/>
    </row>
    <row r="7" spans="1:39" x14ac:dyDescent="0.25">
      <c r="A7" s="4">
        <v>3</v>
      </c>
      <c r="B7" s="11">
        <v>43479</v>
      </c>
      <c r="C7" s="10">
        <v>0.68402777777777779</v>
      </c>
      <c r="D7" s="6">
        <f t="shared" ref="D7:D13" si="14">((B7+C7)-($B$4+$C$4))*24</f>
        <v>76.000000000116415</v>
      </c>
      <c r="E7" s="6">
        <f t="shared" ref="E7:E13" si="15">D7-D6</f>
        <v>29.666666666802485</v>
      </c>
      <c r="F7" s="12">
        <v>3622500</v>
      </c>
      <c r="G7" s="12">
        <v>30000</v>
      </c>
      <c r="H7" s="12">
        <f t="shared" si="0"/>
        <v>3652500</v>
      </c>
      <c r="I7" s="13">
        <f t="shared" si="1"/>
        <v>0.99178644763860369</v>
      </c>
      <c r="J7" s="12">
        <f t="shared" si="7"/>
        <v>132568416.66703288</v>
      </c>
      <c r="K7" s="18">
        <f t="shared" si="8"/>
        <v>15.102674953176974</v>
      </c>
      <c r="L7" s="18">
        <f t="shared" si="9"/>
        <v>0.6091308524628033</v>
      </c>
      <c r="M7" s="14">
        <f t="shared" si="10"/>
        <v>2.0532500644719592E-2</v>
      </c>
      <c r="N7" s="14">
        <f t="shared" si="2"/>
        <v>0.18103859579374698</v>
      </c>
      <c r="O7" s="52"/>
      <c r="P7" s="52"/>
      <c r="Q7" s="52" t="e">
        <f t="shared" si="3"/>
        <v>#DIV/0!</v>
      </c>
      <c r="R7" s="18" t="e">
        <f t="shared" si="4"/>
        <v>#DIV/0!</v>
      </c>
      <c r="S7" s="13" t="e">
        <f t="shared" si="11"/>
        <v>#DIV/0!</v>
      </c>
      <c r="T7" s="12">
        <f t="shared" si="5"/>
        <v>0</v>
      </c>
      <c r="U7" s="12">
        <f t="shared" si="6"/>
        <v>0</v>
      </c>
      <c r="V7" s="19" t="e">
        <f t="shared" si="12"/>
        <v>#DIV/0!</v>
      </c>
      <c r="W7" s="21" t="e">
        <f t="shared" si="13"/>
        <v>#DIV/0!</v>
      </c>
      <c r="X7" s="34">
        <v>10.063723289829312</v>
      </c>
      <c r="Y7" s="34">
        <f>(-(((X7-X4)/(D7-D4))/AVERAGE(F7,F4)))*POWER(10,9)</f>
        <v>93.574553844766655</v>
      </c>
      <c r="Z7" s="34">
        <v>11.409737501420008</v>
      </c>
      <c r="AA7" s="34">
        <f>(((Z7-Z4)/(D7-D4))/AVERAGE(F4,F7))*POWER(10,9)</f>
        <v>71.4810736904913</v>
      </c>
      <c r="AB7" s="33">
        <v>0.96411986507382752</v>
      </c>
      <c r="AC7" s="34">
        <f t="shared" ref="AC7:AC8" si="16">(((AB7+AB6)/2)*(D7-D6))+AC6</f>
        <v>208.65154732162014</v>
      </c>
      <c r="AD7" s="34">
        <f>-(((AB7-AB4)+($AC$2*AC7))/J7)*POWER(10,9)</f>
        <v>32.950496757220982</v>
      </c>
      <c r="AE7" s="34">
        <f>((-(((AB7-AB4)/(D7-D4))+$AC$2*AVERAGE(AB7,AB4)))/AVERAGE(F4,F7))*POWER(10,9)</f>
        <v>26.24401330246074</v>
      </c>
      <c r="AF7" s="34">
        <f>Z7/(X4-X7)</f>
        <v>0.76389435753092849</v>
      </c>
      <c r="AG7" s="34">
        <f>AA7/Y7</f>
        <v>0.76389435753092849</v>
      </c>
      <c r="AH7" s="129">
        <f>(-((F7-F4)/(X7-X4)))/POWER(10,6)</f>
        <v>0.20383259222339409</v>
      </c>
      <c r="AI7" s="129">
        <f>M7/Y7*POWER(10,3)</f>
        <v>0.21942397586828477</v>
      </c>
      <c r="AJ7" s="129">
        <f>(-((F7-F4)/(AB7-AB4)))/POWER(10,6)</f>
        <v>0.60456164929045386</v>
      </c>
      <c r="AK7" s="129">
        <f>M7/AE7*POWER(10,3)</f>
        <v>0.78236893146195696</v>
      </c>
      <c r="AL7" s="19"/>
      <c r="AM7" s="33"/>
    </row>
    <row r="8" spans="1:39" x14ac:dyDescent="0.25">
      <c r="A8" s="4">
        <v>4</v>
      </c>
      <c r="B8" s="11">
        <v>43480</v>
      </c>
      <c r="C8" s="10">
        <v>0.47569444444444442</v>
      </c>
      <c r="D8" s="6">
        <f t="shared" si="14"/>
        <v>95.000000000058208</v>
      </c>
      <c r="E8" s="6">
        <f t="shared" si="15"/>
        <v>18.999999999941792</v>
      </c>
      <c r="F8" s="12">
        <v>2760000</v>
      </c>
      <c r="G8" s="12">
        <v>100000</v>
      </c>
      <c r="H8" s="12">
        <f t="shared" si="0"/>
        <v>2860000</v>
      </c>
      <c r="I8" s="13">
        <f t="shared" si="1"/>
        <v>0.965034965034965</v>
      </c>
      <c r="J8" s="12">
        <f t="shared" si="7"/>
        <v>193202166.66684711</v>
      </c>
      <c r="K8" s="18">
        <f t="shared" si="8"/>
        <v>14.830741237693333</v>
      </c>
      <c r="L8" s="18">
        <f t="shared" si="9"/>
        <v>-0.27193371548364181</v>
      </c>
      <c r="M8" s="14">
        <f t="shared" si="10"/>
        <v>-1.4312300814972364E-2</v>
      </c>
      <c r="N8" s="14">
        <f t="shared" si="2"/>
        <v>0.12422220937814321</v>
      </c>
      <c r="O8" s="52"/>
      <c r="P8" s="52"/>
      <c r="Q8" s="52" t="e">
        <f t="shared" si="3"/>
        <v>#DIV/0!</v>
      </c>
      <c r="R8" s="18" t="e">
        <f t="shared" si="4"/>
        <v>#DIV/0!</v>
      </c>
      <c r="S8" s="13" t="e">
        <f t="shared" si="11"/>
        <v>#DIV/0!</v>
      </c>
      <c r="T8" s="12">
        <f t="shared" si="5"/>
        <v>0</v>
      </c>
      <c r="U8" s="12">
        <f t="shared" si="6"/>
        <v>0</v>
      </c>
      <c r="V8" s="19" t="e">
        <f t="shared" si="12"/>
        <v>#DIV/0!</v>
      </c>
      <c r="W8" s="21" t="e">
        <f t="shared" si="13"/>
        <v>#DIV/0!</v>
      </c>
      <c r="X8" s="34">
        <v>8.4252496812296247</v>
      </c>
      <c r="Y8" s="34"/>
      <c r="Z8" s="33">
        <v>13.048402186274741</v>
      </c>
      <c r="AA8" s="34"/>
      <c r="AB8" s="33">
        <v>0.62452698938902285</v>
      </c>
      <c r="AC8" s="34">
        <f t="shared" si="16"/>
        <v>223.74369243897098</v>
      </c>
      <c r="AL8" s="19"/>
      <c r="AM8" s="33"/>
    </row>
    <row r="9" spans="1:39" x14ac:dyDescent="0.25">
      <c r="A9" s="4">
        <v>5</v>
      </c>
      <c r="B9" s="11">
        <v>43481</v>
      </c>
      <c r="C9" s="10">
        <v>0.54861111111111105</v>
      </c>
      <c r="D9" s="6">
        <f t="shared" si="14"/>
        <v>120.75</v>
      </c>
      <c r="E9" s="6">
        <f t="shared" si="15"/>
        <v>25.749999999941792</v>
      </c>
      <c r="F9" s="12">
        <v>2420000</v>
      </c>
      <c r="G9" s="12">
        <v>870000</v>
      </c>
      <c r="H9" s="12">
        <f t="shared" si="0"/>
        <v>3290000</v>
      </c>
      <c r="I9" s="13">
        <f t="shared" si="1"/>
        <v>0.73556231003039518</v>
      </c>
      <c r="J9" s="12">
        <f t="shared" si="7"/>
        <v>259894666.66669637</v>
      </c>
      <c r="K9" s="18">
        <f t="shared" si="8"/>
        <v>14.699278098132869</v>
      </c>
      <c r="L9" s="18">
        <f t="shared" si="9"/>
        <v>-0.1314631395604636</v>
      </c>
      <c r="M9" s="14">
        <f t="shared" si="10"/>
        <v>-5.1053646431363404E-3</v>
      </c>
      <c r="N9" s="14">
        <f t="shared" si="2"/>
        <v>9.2345103913882759E-2</v>
      </c>
      <c r="O9" s="51"/>
      <c r="P9" s="48"/>
      <c r="Q9" s="52" t="e">
        <f t="shared" si="3"/>
        <v>#DIV/0!</v>
      </c>
      <c r="R9" s="18" t="e">
        <f t="shared" si="4"/>
        <v>#DIV/0!</v>
      </c>
      <c r="S9" s="13" t="e">
        <f t="shared" si="11"/>
        <v>#DIV/0!</v>
      </c>
      <c r="T9" s="12">
        <f t="shared" si="5"/>
        <v>0</v>
      </c>
      <c r="U9" s="12">
        <f t="shared" si="6"/>
        <v>0</v>
      </c>
      <c r="V9" s="19" t="e">
        <f t="shared" si="12"/>
        <v>#DIV/0!</v>
      </c>
      <c r="W9" s="21" t="e">
        <f t="shared" si="13"/>
        <v>#DIV/0!</v>
      </c>
      <c r="X9" s="34">
        <v>7.3096421467068557</v>
      </c>
      <c r="Y9" s="34"/>
      <c r="Z9" s="33">
        <v>21.378467541658704</v>
      </c>
      <c r="AA9" s="34"/>
      <c r="AB9" s="33">
        <v>0.48367012856438674</v>
      </c>
      <c r="AC9" s="34">
        <f>(((AB9+AB6)/2)*(D9-D6))+AC6</f>
        <v>268.64323611225626</v>
      </c>
      <c r="AD9" s="34"/>
      <c r="AE9" s="34"/>
      <c r="AL9" s="19"/>
      <c r="AM9" s="33"/>
    </row>
    <row r="10" spans="1:39" x14ac:dyDescent="0.25">
      <c r="A10" s="4">
        <v>6</v>
      </c>
      <c r="B10" s="11">
        <v>43482</v>
      </c>
      <c r="C10" s="10">
        <v>0.59375</v>
      </c>
      <c r="D10" s="6">
        <f t="shared" si="14"/>
        <v>145.83333333337214</v>
      </c>
      <c r="E10" s="6">
        <f t="shared" si="15"/>
        <v>25.083333333372138</v>
      </c>
      <c r="F10" s="12">
        <v>1740000</v>
      </c>
      <c r="G10" s="12">
        <v>1880000</v>
      </c>
      <c r="H10" s="12">
        <f t="shared" si="0"/>
        <v>3620000</v>
      </c>
      <c r="I10" s="13">
        <f t="shared" si="1"/>
        <v>0.48066298342541436</v>
      </c>
      <c r="J10" s="12">
        <f t="shared" si="7"/>
        <v>312068000.00011039</v>
      </c>
      <c r="K10" s="18">
        <f t="shared" si="8"/>
        <v>14.369395671190711</v>
      </c>
      <c r="L10" s="18">
        <f t="shared" si="9"/>
        <v>-0.3298824269421573</v>
      </c>
      <c r="M10" s="14">
        <f t="shared" si="10"/>
        <v>-1.3151458881394563E-2</v>
      </c>
      <c r="N10" s="14">
        <f t="shared" si="2"/>
        <v>7.6906315290230051E-2</v>
      </c>
      <c r="O10" s="51"/>
      <c r="P10" s="48"/>
      <c r="Q10" s="52" t="e">
        <f t="shared" si="3"/>
        <v>#DIV/0!</v>
      </c>
      <c r="R10" s="18" t="e">
        <f t="shared" si="4"/>
        <v>#DIV/0!</v>
      </c>
      <c r="S10" s="13" t="e">
        <f t="shared" si="11"/>
        <v>#DIV/0!</v>
      </c>
      <c r="T10" s="12">
        <f t="shared" si="5"/>
        <v>0</v>
      </c>
      <c r="U10" s="12">
        <f t="shared" si="6"/>
        <v>0</v>
      </c>
      <c r="V10" s="19" t="e">
        <f t="shared" si="12"/>
        <v>#DIV/0!</v>
      </c>
      <c r="W10" s="21" t="e">
        <f t="shared" si="13"/>
        <v>#DIV/0!</v>
      </c>
      <c r="X10" s="34">
        <v>5.5467243409292522</v>
      </c>
      <c r="Y10" s="34">
        <f>(-(((X10-X7)/(D10-D7))/AVERAGE(F10,F7)))*POWER(10,9)</f>
        <v>24.124032639311473</v>
      </c>
      <c r="Z10" s="33">
        <v>20.068439411530978</v>
      </c>
      <c r="AA10" s="34">
        <f>(((Z10-Z7)/(D10-D7))/AVERAGE(F7,F10))*POWER(10,9)</f>
        <v>46.243713991664968</v>
      </c>
      <c r="AB10" s="33">
        <v>0.49885355353619226</v>
      </c>
      <c r="AC10" s="34">
        <f>(((AB10+AB9)/2)*(D10-D9))+AC9</f>
        <v>280.96572062528674</v>
      </c>
      <c r="AD10" s="34">
        <f>-(((AB10-AB7)+($AC$2*AC10))/J10)*POWER(10,9)</f>
        <v>-1.3901585374441752</v>
      </c>
      <c r="AE10" s="34">
        <f>((-(((AB10-AB7)/(D10-D7))+$AC$2*AVERAGE(AB10,AB7)))/AVERAGE(F7,F10))*POWER(10,9)</f>
        <v>1.6118479357713784</v>
      </c>
      <c r="AF10" s="34">
        <f>-(Z10-Z7)/(X10-X7)</f>
        <v>1.9169147498295216</v>
      </c>
      <c r="AG10" s="34">
        <f>AA10/Y10</f>
        <v>1.9169147498295218</v>
      </c>
      <c r="AH10" s="129">
        <f>(-((F10-F7)/(X10-X7)))/POWER(10,6)</f>
        <v>-0.41675900776076336</v>
      </c>
      <c r="AI10" s="129">
        <f>M10/Y10*POWER(10,3)</f>
        <v>-0.54516005172217841</v>
      </c>
      <c r="AJ10" s="129">
        <f>(-((F10-F7)/(AB10-AB7)))/POWER(10,6)</f>
        <v>-4.0460698600305278</v>
      </c>
      <c r="AK10" s="129">
        <f>M10/AE10*POWER(10,3)</f>
        <v>-8.1592429344773763</v>
      </c>
      <c r="AL10" s="19"/>
      <c r="AM10" s="33"/>
    </row>
    <row r="11" spans="1:39" s="69" customFormat="1" x14ac:dyDescent="0.25">
      <c r="A11" s="48">
        <v>7</v>
      </c>
      <c r="B11" s="64">
        <v>43537</v>
      </c>
      <c r="C11" s="65">
        <v>0.58333333333333337</v>
      </c>
      <c r="D11" s="48">
        <f t="shared" si="14"/>
        <v>1465.5833333334303</v>
      </c>
      <c r="E11" s="48">
        <f t="shared" si="15"/>
        <v>1319.7500000000582</v>
      </c>
      <c r="F11" s="49">
        <v>2840000</v>
      </c>
      <c r="G11" s="49">
        <v>500000</v>
      </c>
      <c r="H11" s="49" t="e">
        <f>#REF!+#REF!</f>
        <v>#REF!</v>
      </c>
      <c r="I11" s="66" t="e">
        <f>(#REF!/H11)</f>
        <v>#REF!</v>
      </c>
      <c r="J11" s="49" t="e">
        <f>(((#REF!+#REF!)/2)*(D11-D10))+J10</f>
        <v>#REF!</v>
      </c>
      <c r="K11" s="49" t="e">
        <f t="shared" ref="K11:K13" si="17">LN(J11)</f>
        <v>#REF!</v>
      </c>
      <c r="L11" s="49" t="e">
        <f>LN(#REF!/#REF!)</f>
        <v>#REF!</v>
      </c>
      <c r="M11" s="50" t="e">
        <f>(LN(#REF!/#REF!))/(D11-D10)</f>
        <v>#REF!</v>
      </c>
      <c r="N11" s="51" t="e">
        <f t="shared" si="2"/>
        <v>#REF!</v>
      </c>
      <c r="O11" s="51"/>
      <c r="P11" s="48"/>
      <c r="Q11" s="52" t="e">
        <f t="shared" si="3"/>
        <v>#DIV/0!</v>
      </c>
      <c r="R11" s="52" t="e">
        <f t="shared" si="4"/>
        <v>#DIV/0!</v>
      </c>
      <c r="S11" s="66" t="e">
        <f t="shared" si="11"/>
        <v>#DIV/0!</v>
      </c>
      <c r="T11" s="49" t="e">
        <f t="shared" si="5"/>
        <v>#REF!</v>
      </c>
      <c r="U11" s="49" t="e">
        <f t="shared" si="6"/>
        <v>#REF!</v>
      </c>
      <c r="V11" s="67" t="e">
        <f t="shared" si="12"/>
        <v>#DIV/0!</v>
      </c>
      <c r="W11" s="68" t="e">
        <f t="shared" si="13"/>
        <v>#DIV/0!</v>
      </c>
      <c r="X11" s="69" t="e">
        <f>#REF!</f>
        <v>#REF!</v>
      </c>
      <c r="Y11" s="68" t="e">
        <f>((X11-X10)/(Control!J11))*POWER(10,9)</f>
        <v>#REF!</v>
      </c>
      <c r="Z11" s="69" t="e">
        <f>#REF!</f>
        <v>#REF!</v>
      </c>
      <c r="AA11" s="68" t="e">
        <f>((Z11-Z10)/(Control!J11))*POWER(10,9)</f>
        <v>#REF!</v>
      </c>
      <c r="AB11" s="69" t="e">
        <f>#REF!</f>
        <v>#REF!</v>
      </c>
      <c r="AC11" s="68" t="e">
        <f>(((AB11+AB10)/2)*(D11-D10))+AC10</f>
        <v>#REF!</v>
      </c>
      <c r="AD11" s="68" t="e">
        <f>(((AB11-AB10)+($AC$2*AC11))/J11)*POWER(10,9)</f>
        <v>#REF!</v>
      </c>
      <c r="AE11" s="68"/>
      <c r="AL11" s="67"/>
    </row>
    <row r="12" spans="1:39" s="69" customFormat="1" x14ac:dyDescent="0.25">
      <c r="A12" s="48">
        <v>8</v>
      </c>
      <c r="B12" s="64">
        <v>43538</v>
      </c>
      <c r="C12" s="65">
        <v>0.65277777777777779</v>
      </c>
      <c r="D12" s="48">
        <f t="shared" si="14"/>
        <v>1491.2500000001164</v>
      </c>
      <c r="E12" s="48">
        <f t="shared" si="15"/>
        <v>25.666666666686069</v>
      </c>
      <c r="F12" s="49">
        <v>1500000</v>
      </c>
      <c r="G12" s="49">
        <v>400000</v>
      </c>
      <c r="H12" s="49" t="e">
        <f>#REF!+#REF!</f>
        <v>#REF!</v>
      </c>
      <c r="I12" s="66" t="e">
        <f>(#REF!/H12)</f>
        <v>#REF!</v>
      </c>
      <c r="J12" s="49" t="e">
        <f>(((#REF!+#REF!)/2)*(D12-D11))+J11</f>
        <v>#REF!</v>
      </c>
      <c r="K12" s="49" t="e">
        <f t="shared" si="17"/>
        <v>#REF!</v>
      </c>
      <c r="L12" s="49" t="e">
        <f>LN(#REF!/#REF!)</f>
        <v>#REF!</v>
      </c>
      <c r="M12" s="50" t="e">
        <f>(LN(#REF!/#REF!))/(D12-D11)</f>
        <v>#REF!</v>
      </c>
      <c r="N12" s="51" t="e">
        <f t="shared" si="2"/>
        <v>#REF!</v>
      </c>
      <c r="O12" s="51"/>
      <c r="P12" s="48"/>
      <c r="Q12" s="52" t="e">
        <f t="shared" si="3"/>
        <v>#DIV/0!</v>
      </c>
      <c r="R12" s="52" t="e">
        <f t="shared" si="4"/>
        <v>#DIV/0!</v>
      </c>
      <c r="S12" s="66" t="e">
        <f t="shared" si="11"/>
        <v>#DIV/0!</v>
      </c>
      <c r="T12" s="49" t="e">
        <f t="shared" si="5"/>
        <v>#REF!</v>
      </c>
      <c r="U12" s="49" t="e">
        <f t="shared" si="6"/>
        <v>#REF!</v>
      </c>
      <c r="V12" s="67"/>
      <c r="W12" s="68"/>
      <c r="Y12" s="68"/>
      <c r="AA12" s="68"/>
      <c r="AC12" s="68"/>
      <c r="AD12" s="68"/>
      <c r="AE12" s="68"/>
      <c r="AL12" s="67"/>
    </row>
    <row r="13" spans="1:39" s="69" customFormat="1" x14ac:dyDescent="0.25">
      <c r="A13" s="48">
        <v>9</v>
      </c>
      <c r="B13" s="64">
        <v>43539</v>
      </c>
      <c r="C13" s="65">
        <v>0.4548611111111111</v>
      </c>
      <c r="D13" s="48">
        <f t="shared" si="14"/>
        <v>1510.5</v>
      </c>
      <c r="E13" s="48">
        <f t="shared" si="15"/>
        <v>19.249999999883585</v>
      </c>
      <c r="F13" s="49">
        <v>1820000</v>
      </c>
      <c r="G13" s="49">
        <v>1220000</v>
      </c>
      <c r="H13" s="49" t="e">
        <f>#REF!+#REF!</f>
        <v>#REF!</v>
      </c>
      <c r="I13" s="66" t="e">
        <f>(#REF!/H13)</f>
        <v>#REF!</v>
      </c>
      <c r="J13" s="49" t="e">
        <f>(((#REF!+#REF!)/2)*(D13-D12))+J12</f>
        <v>#REF!</v>
      </c>
      <c r="K13" s="49" t="e">
        <f t="shared" si="17"/>
        <v>#REF!</v>
      </c>
      <c r="L13" s="49" t="e">
        <f>LN(#REF!/#REF!)</f>
        <v>#REF!</v>
      </c>
      <c r="M13" s="50" t="e">
        <f>(LN(#REF!/#REF!))/(D13-D12)</f>
        <v>#REF!</v>
      </c>
      <c r="N13" s="51" t="e">
        <f t="shared" si="2"/>
        <v>#REF!</v>
      </c>
      <c r="O13" s="51"/>
      <c r="P13" s="48"/>
      <c r="Q13" s="52" t="e">
        <f t="shared" si="3"/>
        <v>#DIV/0!</v>
      </c>
      <c r="R13" s="52" t="e">
        <f t="shared" si="4"/>
        <v>#DIV/0!</v>
      </c>
      <c r="S13" s="66" t="e">
        <f t="shared" si="11"/>
        <v>#DIV/0!</v>
      </c>
      <c r="T13" s="49" t="e">
        <f t="shared" si="5"/>
        <v>#REF!</v>
      </c>
      <c r="U13" s="49" t="e">
        <f t="shared" si="6"/>
        <v>#REF!</v>
      </c>
      <c r="V13" s="67"/>
      <c r="W13" s="68"/>
      <c r="Y13" s="68"/>
      <c r="AA13" s="68"/>
      <c r="AC13" s="68"/>
      <c r="AD13" s="68"/>
      <c r="AE13" s="68"/>
      <c r="AL13" s="67"/>
    </row>
    <row r="15" spans="1:39" s="33" customFormat="1" x14ac:dyDescent="0.25"/>
    <row r="16" spans="1:39" s="33" customFormat="1" x14ac:dyDescent="0.25">
      <c r="A16" s="1" t="s">
        <v>72</v>
      </c>
      <c r="I16" s="33" t="s">
        <v>0</v>
      </c>
      <c r="AB16" s="33" t="s">
        <v>40</v>
      </c>
      <c r="AC16" s="33">
        <v>3.2000000000000002E-3</v>
      </c>
    </row>
    <row r="17" spans="1:38" s="33" customFormat="1" x14ac:dyDescent="0.25">
      <c r="A17" s="4" t="s">
        <v>1</v>
      </c>
      <c r="B17" s="4" t="s">
        <v>2</v>
      </c>
      <c r="C17" s="4" t="s">
        <v>9</v>
      </c>
      <c r="D17" s="4" t="s">
        <v>3</v>
      </c>
      <c r="E17" s="4" t="s">
        <v>16</v>
      </c>
      <c r="F17" s="7" t="s">
        <v>10</v>
      </c>
      <c r="G17" s="4" t="s">
        <v>11</v>
      </c>
      <c r="H17" s="4" t="s">
        <v>28</v>
      </c>
      <c r="I17" s="4" t="s">
        <v>29</v>
      </c>
      <c r="J17" s="4" t="s">
        <v>6</v>
      </c>
      <c r="K17" s="4" t="s">
        <v>64</v>
      </c>
      <c r="L17" s="4" t="s">
        <v>65</v>
      </c>
      <c r="M17" s="8" t="s">
        <v>13</v>
      </c>
      <c r="N17" s="4" t="s">
        <v>8</v>
      </c>
      <c r="O17" s="4" t="s">
        <v>18</v>
      </c>
      <c r="P17" s="4" t="s">
        <v>19</v>
      </c>
      <c r="Q17" s="4" t="s">
        <v>20</v>
      </c>
      <c r="R17" s="4" t="s">
        <v>21</v>
      </c>
      <c r="S17" s="4" t="s">
        <v>27</v>
      </c>
      <c r="T17" s="4" t="s">
        <v>62</v>
      </c>
      <c r="U17" s="4" t="s">
        <v>63</v>
      </c>
      <c r="V17" s="4" t="s">
        <v>23</v>
      </c>
      <c r="W17" s="3" t="s">
        <v>24</v>
      </c>
      <c r="X17" s="4" t="s">
        <v>31</v>
      </c>
      <c r="Y17" s="4" t="s">
        <v>32</v>
      </c>
      <c r="Z17" s="4" t="s">
        <v>34</v>
      </c>
      <c r="AA17" s="4" t="s">
        <v>33</v>
      </c>
      <c r="AB17" s="4" t="s">
        <v>35</v>
      </c>
      <c r="AC17" s="4" t="s">
        <v>39</v>
      </c>
      <c r="AD17" s="4" t="s">
        <v>36</v>
      </c>
      <c r="AE17" s="4"/>
      <c r="AF17" s="92" t="s">
        <v>74</v>
      </c>
      <c r="AG17" s="92"/>
      <c r="AH17" s="92" t="s">
        <v>95</v>
      </c>
      <c r="AI17" s="92"/>
      <c r="AJ17" s="92" t="s">
        <v>96</v>
      </c>
      <c r="AK17" s="92"/>
    </row>
    <row r="18" spans="1:38" s="33" customFormat="1" x14ac:dyDescent="0.25">
      <c r="A18" s="4">
        <v>0</v>
      </c>
      <c r="B18" s="11">
        <v>43502</v>
      </c>
      <c r="C18" s="10">
        <v>0.69444444444444453</v>
      </c>
      <c r="D18" s="6">
        <v>0</v>
      </c>
      <c r="E18" s="6">
        <v>0</v>
      </c>
      <c r="F18" s="12">
        <v>343000</v>
      </c>
      <c r="G18" s="12">
        <v>20000</v>
      </c>
      <c r="H18" s="12">
        <f>F18+G18</f>
        <v>363000</v>
      </c>
      <c r="I18" s="13">
        <f>(F18/H18)</f>
        <v>0.94490358126721763</v>
      </c>
      <c r="J18" s="12">
        <v>0</v>
      </c>
      <c r="K18" s="18">
        <f>LN(F18)</f>
        <v>12.745485726148077</v>
      </c>
      <c r="L18" s="12"/>
      <c r="M18" s="6"/>
      <c r="N18" s="6"/>
      <c r="O18" s="6"/>
      <c r="P18" s="6"/>
      <c r="Q18" s="18">
        <v>0</v>
      </c>
      <c r="R18" s="18"/>
      <c r="S18" s="18"/>
      <c r="T18" s="18"/>
      <c r="U18" s="18"/>
      <c r="V18" s="48">
        <v>0</v>
      </c>
      <c r="W18" s="69"/>
      <c r="X18" s="5">
        <v>25</v>
      </c>
      <c r="Y18" s="5"/>
      <c r="Z18" s="5">
        <v>0</v>
      </c>
      <c r="AA18" s="5"/>
      <c r="AB18" s="5">
        <v>6</v>
      </c>
      <c r="AC18" s="5"/>
      <c r="AD18" s="5"/>
      <c r="AE18" s="5"/>
      <c r="AF18" s="5"/>
      <c r="AG18" s="5"/>
      <c r="AH18" s="5"/>
      <c r="AI18" s="5"/>
      <c r="AJ18" s="5"/>
      <c r="AK18" s="5"/>
    </row>
    <row r="19" spans="1:38" s="33" customFormat="1" x14ac:dyDescent="0.25">
      <c r="A19" s="4">
        <v>1</v>
      </c>
      <c r="B19" s="11">
        <v>43503</v>
      </c>
      <c r="C19" s="10">
        <v>0.39583333333333331</v>
      </c>
      <c r="D19" s="18">
        <f>((B19+C19)-($B$18+$C$18))*24</f>
        <v>16.833333333372138</v>
      </c>
      <c r="E19" s="6">
        <f>D19-D18</f>
        <v>16.833333333372138</v>
      </c>
      <c r="F19" s="12">
        <v>520000</v>
      </c>
      <c r="G19" s="12">
        <v>25000</v>
      </c>
      <c r="H19" s="12">
        <f t="shared" ref="H19:H20" si="18">F19+G19</f>
        <v>545000</v>
      </c>
      <c r="I19" s="13">
        <f t="shared" ref="I19:I20" si="19">(F19/H19)</f>
        <v>0.95412844036697253</v>
      </c>
      <c r="J19" s="12">
        <f>(((F19+F18)/2)*(D19-D18))+J18</f>
        <v>7263583.3333500773</v>
      </c>
      <c r="K19" s="18">
        <f>LN(F19)</f>
        <v>13.161584090557611</v>
      </c>
      <c r="L19" s="18">
        <f>LN(F19/F18)</f>
        <v>0.41609836440953318</v>
      </c>
      <c r="M19" s="14">
        <f>(L19)/(D19-D18)</f>
        <v>2.471871471734103E-2</v>
      </c>
      <c r="N19" s="14">
        <f t="shared" ref="N19:N27" si="20">(1/J19*(POWER(10,6)))*24</f>
        <v>3.3041542856411104</v>
      </c>
      <c r="O19" s="18"/>
      <c r="P19" s="18"/>
      <c r="Q19" s="18" t="e">
        <f t="shared" ref="Q19:Q25" si="21">AVERAGE(O19:P19)</f>
        <v>#DIV/0!</v>
      </c>
      <c r="R19" s="18" t="e">
        <f t="shared" ref="R19:R25" si="22">STDEV(O19:P19)</f>
        <v>#DIV/0!</v>
      </c>
      <c r="S19" s="13" t="e">
        <f>R19/Q19</f>
        <v>#DIV/0!</v>
      </c>
      <c r="T19" s="12">
        <f t="shared" ref="T19:T27" si="23">(O19-O18)/(J19-J18)</f>
        <v>0</v>
      </c>
      <c r="U19" s="12">
        <f t="shared" ref="U19:U27" si="24">(P19-P18)/(J19-J18)</f>
        <v>0</v>
      </c>
      <c r="V19" s="77" t="e">
        <f t="shared" ref="V19:V27" si="25">(Q19-Q18)/(J19-J18)</f>
        <v>#DIV/0!</v>
      </c>
      <c r="W19" s="68" t="e">
        <f>V19*24*POWER(10,6)</f>
        <v>#DIV/0!</v>
      </c>
      <c r="X19" s="72">
        <v>24.404979174803589</v>
      </c>
      <c r="Y19" s="72"/>
      <c r="Z19" s="72">
        <v>9.2439329940593211</v>
      </c>
      <c r="AA19" s="72"/>
      <c r="AB19" s="72">
        <v>5.1726665795507527</v>
      </c>
      <c r="AC19" s="72">
        <f>((AB19+AB18)/2)*(D19-D18)</f>
        <v>94.036610378102282</v>
      </c>
      <c r="AD19" s="72"/>
      <c r="AE19" s="72"/>
      <c r="AF19" s="5"/>
      <c r="AG19" s="5"/>
      <c r="AH19" s="5"/>
      <c r="AI19" s="5"/>
      <c r="AJ19" s="5"/>
      <c r="AK19" s="5"/>
    </row>
    <row r="20" spans="1:38" s="33" customFormat="1" x14ac:dyDescent="0.25">
      <c r="A20" s="4">
        <v>2</v>
      </c>
      <c r="B20" s="11">
        <v>43504</v>
      </c>
      <c r="C20" s="10">
        <v>0.4375</v>
      </c>
      <c r="D20" s="18">
        <f t="shared" ref="D20:D27" si="26">((B20+C20)-($B$18+$C$18))*24</f>
        <v>41.833333333313931</v>
      </c>
      <c r="E20" s="6">
        <f t="shared" ref="E20:E25" si="27">D20-D19</f>
        <v>24.999999999941792</v>
      </c>
      <c r="F20" s="12">
        <v>1355000</v>
      </c>
      <c r="G20" s="12">
        <v>45000</v>
      </c>
      <c r="H20" s="12">
        <f t="shared" si="18"/>
        <v>1400000</v>
      </c>
      <c r="I20" s="13">
        <f t="shared" si="19"/>
        <v>0.96785714285714286</v>
      </c>
      <c r="J20" s="12">
        <f t="shared" ref="J20:J27" si="28">(((F20+F19)/2)*(D20-D19))+J19</f>
        <v>30701083.333295509</v>
      </c>
      <c r="K20" s="18">
        <f t="shared" ref="K20:K27" si="29">LN(F20)</f>
        <v>14.119312012295937</v>
      </c>
      <c r="L20" s="18">
        <f t="shared" ref="L20:L27" si="30">LN(F20/F19)</f>
        <v>0.95772792173832821</v>
      </c>
      <c r="M20" s="14">
        <f t="shared" ref="M20:M27" si="31">(L20)/(D20-D19)</f>
        <v>3.8309116869622323E-2</v>
      </c>
      <c r="N20" s="14">
        <f>(1/J20*(POWER(10,6)))*24</f>
        <v>0.78173137212952537</v>
      </c>
      <c r="O20" s="18"/>
      <c r="P20" s="18"/>
      <c r="Q20" s="18" t="e">
        <f t="shared" si="21"/>
        <v>#DIV/0!</v>
      </c>
      <c r="R20" s="18" t="e">
        <f t="shared" si="22"/>
        <v>#DIV/0!</v>
      </c>
      <c r="S20" s="13" t="e">
        <f t="shared" ref="S20:S25" si="32">R20/Q20</f>
        <v>#DIV/0!</v>
      </c>
      <c r="T20" s="12">
        <f t="shared" si="23"/>
        <v>0</v>
      </c>
      <c r="U20" s="12">
        <f t="shared" si="24"/>
        <v>0</v>
      </c>
      <c r="V20" s="77" t="e">
        <f t="shared" si="25"/>
        <v>#DIV/0!</v>
      </c>
      <c r="W20" s="68" t="e">
        <f t="shared" ref="W20:W27" si="33">V20*24*POWER(10,6)</f>
        <v>#DIV/0!</v>
      </c>
      <c r="X20" s="72">
        <v>18.385187551012269</v>
      </c>
      <c r="Y20" s="72"/>
      <c r="Z20" s="72">
        <v>19.879136756038772</v>
      </c>
      <c r="AA20" s="72"/>
      <c r="AB20" s="72">
        <v>4.0218362436001005</v>
      </c>
      <c r="AC20" s="72">
        <f>(((AB20+AB19)/2)*(D20-D19))+AC19</f>
        <v>208.96789566722035</v>
      </c>
      <c r="AD20" s="72"/>
      <c r="AE20" s="72"/>
      <c r="AF20" s="5"/>
      <c r="AG20" s="5"/>
      <c r="AH20" s="5"/>
      <c r="AI20" s="5"/>
      <c r="AJ20" s="5"/>
      <c r="AK20" s="5"/>
      <c r="AL20" s="19"/>
    </row>
    <row r="21" spans="1:38" s="33" customFormat="1" x14ac:dyDescent="0.25">
      <c r="A21" s="4">
        <v>3</v>
      </c>
      <c r="B21" s="11">
        <v>43505</v>
      </c>
      <c r="C21" s="10">
        <v>0.34027777777777773</v>
      </c>
      <c r="D21" s="18">
        <f t="shared" si="26"/>
        <v>63.500000000058208</v>
      </c>
      <c r="E21" s="6">
        <f t="shared" si="27"/>
        <v>21.666666666744277</v>
      </c>
      <c r="F21" s="12">
        <v>1553333.3333333333</v>
      </c>
      <c r="G21" s="12">
        <v>103000</v>
      </c>
      <c r="H21" s="12">
        <f t="shared" ref="H21:H27" si="34">F21+G21</f>
        <v>1656333.3333333333</v>
      </c>
      <c r="I21" s="13">
        <f t="shared" ref="I21:I27" si="35">(F21/H21)</f>
        <v>0.93781444958744209</v>
      </c>
      <c r="J21" s="12">
        <f t="shared" si="28"/>
        <v>62208027.777852803</v>
      </c>
      <c r="K21" s="18">
        <f t="shared" si="29"/>
        <v>14.255913717433719</v>
      </c>
      <c r="L21" s="18">
        <f t="shared" si="30"/>
        <v>0.13660170513778061</v>
      </c>
      <c r="M21" s="14">
        <f t="shared" si="31"/>
        <v>6.3046940832595984E-3</v>
      </c>
      <c r="N21" s="14">
        <f t="shared" si="20"/>
        <v>0.38580229686279233</v>
      </c>
      <c r="O21" s="18"/>
      <c r="P21" s="18"/>
      <c r="Q21" s="18" t="e">
        <f t="shared" si="21"/>
        <v>#DIV/0!</v>
      </c>
      <c r="R21" s="18" t="e">
        <f t="shared" si="22"/>
        <v>#DIV/0!</v>
      </c>
      <c r="S21" s="13" t="e">
        <f t="shared" si="32"/>
        <v>#DIV/0!</v>
      </c>
      <c r="T21" s="12">
        <f t="shared" si="23"/>
        <v>0</v>
      </c>
      <c r="U21" s="12">
        <f t="shared" si="24"/>
        <v>0</v>
      </c>
      <c r="V21" s="77" t="e">
        <f t="shared" si="25"/>
        <v>#DIV/0!</v>
      </c>
      <c r="W21" s="68" t="e">
        <f t="shared" si="33"/>
        <v>#DIV/0!</v>
      </c>
      <c r="X21" s="72">
        <v>16.342078332695461</v>
      </c>
      <c r="Y21" s="72"/>
      <c r="Z21" s="72">
        <v>23.378597550287676</v>
      </c>
      <c r="AA21" s="72"/>
      <c r="AB21" s="5">
        <v>3.257697274364137</v>
      </c>
      <c r="AC21" s="72">
        <f t="shared" ref="AC21:AC22" si="36">(((AB21+AB20)/2)*(D21-D20))+AC20</f>
        <v>287.82950877878204</v>
      </c>
      <c r="AD21" s="5"/>
      <c r="AE21" s="5"/>
      <c r="AF21" s="5"/>
      <c r="AG21" s="5"/>
      <c r="AH21" s="5"/>
      <c r="AI21" s="5"/>
      <c r="AJ21" s="5"/>
      <c r="AK21" s="5"/>
      <c r="AL21" s="19"/>
    </row>
    <row r="22" spans="1:38" s="33" customFormat="1" x14ac:dyDescent="0.25">
      <c r="A22" s="4">
        <v>4</v>
      </c>
      <c r="B22" s="11">
        <v>43506</v>
      </c>
      <c r="C22" s="10">
        <v>0.33680555555555558</v>
      </c>
      <c r="D22" s="18">
        <f t="shared" si="26"/>
        <v>87.416666666627862</v>
      </c>
      <c r="E22" s="6">
        <f t="shared" si="27"/>
        <v>23.916666666569654</v>
      </c>
      <c r="F22" s="12">
        <v>2100000</v>
      </c>
      <c r="G22" s="12">
        <v>157000</v>
      </c>
      <c r="H22" s="12">
        <f t="shared" si="34"/>
        <v>2257000</v>
      </c>
      <c r="I22" s="13">
        <f t="shared" si="35"/>
        <v>0.93043863535666815</v>
      </c>
      <c r="J22" s="12">
        <f t="shared" si="28"/>
        <v>105895805.55545336</v>
      </c>
      <c r="K22" s="18">
        <f t="shared" si="29"/>
        <v>14.557447902693651</v>
      </c>
      <c r="L22" s="18">
        <f t="shared" si="30"/>
        <v>0.30153418525993247</v>
      </c>
      <c r="M22" s="14">
        <f t="shared" si="31"/>
        <v>1.2607701125901975E-2</v>
      </c>
      <c r="N22" s="14">
        <f t="shared" si="20"/>
        <v>0.2266378717656779</v>
      </c>
      <c r="O22" s="18"/>
      <c r="P22" s="18"/>
      <c r="Q22" s="18" t="e">
        <f t="shared" si="21"/>
        <v>#DIV/0!</v>
      </c>
      <c r="R22" s="18" t="e">
        <f t="shared" si="22"/>
        <v>#DIV/0!</v>
      </c>
      <c r="S22" s="13" t="e">
        <f t="shared" si="32"/>
        <v>#DIV/0!</v>
      </c>
      <c r="T22" s="12">
        <f t="shared" si="23"/>
        <v>0</v>
      </c>
      <c r="U22" s="12">
        <f t="shared" si="24"/>
        <v>0</v>
      </c>
      <c r="V22" s="77" t="e">
        <f t="shared" si="25"/>
        <v>#DIV/0!</v>
      </c>
      <c r="W22" s="68" t="e">
        <f t="shared" si="33"/>
        <v>#DIV/0!</v>
      </c>
      <c r="X22" s="5">
        <v>14.335697843107726</v>
      </c>
      <c r="Y22" s="72"/>
      <c r="Z22" s="5">
        <v>23.256311169019458</v>
      </c>
      <c r="AA22" s="72"/>
      <c r="AB22" s="5">
        <v>2.460237801726219</v>
      </c>
      <c r="AC22" s="72">
        <f t="shared" si="36"/>
        <v>356.20648239675188</v>
      </c>
      <c r="AD22" s="5"/>
      <c r="AE22" s="5"/>
      <c r="AF22" s="5"/>
      <c r="AG22" s="5"/>
      <c r="AH22" s="5"/>
      <c r="AI22" s="5"/>
      <c r="AJ22" s="5"/>
      <c r="AK22" s="5"/>
      <c r="AL22" s="19"/>
    </row>
    <row r="23" spans="1:38" s="33" customFormat="1" x14ac:dyDescent="0.25">
      <c r="A23" s="4">
        <v>5</v>
      </c>
      <c r="B23" s="11">
        <v>43507</v>
      </c>
      <c r="C23" s="10">
        <v>0.625</v>
      </c>
      <c r="D23" s="18">
        <f t="shared" si="26"/>
        <v>118.33333333331393</v>
      </c>
      <c r="E23" s="6">
        <f t="shared" si="27"/>
        <v>30.916666666686069</v>
      </c>
      <c r="F23" s="12">
        <v>3790000</v>
      </c>
      <c r="G23" s="12">
        <v>170000</v>
      </c>
      <c r="H23" s="12">
        <f t="shared" si="34"/>
        <v>3960000</v>
      </c>
      <c r="I23" s="13">
        <f t="shared" si="35"/>
        <v>0.95707070707070707</v>
      </c>
      <c r="J23" s="12">
        <f t="shared" si="28"/>
        <v>196945388.88884383</v>
      </c>
      <c r="K23" s="18">
        <f t="shared" si="29"/>
        <v>15.147876577058609</v>
      </c>
      <c r="L23" s="18">
        <f t="shared" si="30"/>
        <v>0.59042867436495772</v>
      </c>
      <c r="M23" s="14">
        <f t="shared" si="31"/>
        <v>1.9097423429582334E-2</v>
      </c>
      <c r="N23" s="14">
        <f t="shared" si="20"/>
        <v>0.12186119276722758</v>
      </c>
      <c r="O23" s="14"/>
      <c r="P23" s="6"/>
      <c r="Q23" s="18" t="e">
        <f t="shared" si="21"/>
        <v>#DIV/0!</v>
      </c>
      <c r="R23" s="18" t="e">
        <f t="shared" si="22"/>
        <v>#DIV/0!</v>
      </c>
      <c r="S23" s="13" t="e">
        <f t="shared" si="32"/>
        <v>#DIV/0!</v>
      </c>
      <c r="T23" s="12">
        <f t="shared" si="23"/>
        <v>0</v>
      </c>
      <c r="U23" s="12">
        <f t="shared" si="24"/>
        <v>0</v>
      </c>
      <c r="V23" s="77" t="e">
        <f t="shared" si="25"/>
        <v>#DIV/0!</v>
      </c>
      <c r="W23" s="68" t="e">
        <f t="shared" si="33"/>
        <v>#DIV/0!</v>
      </c>
      <c r="X23" s="5">
        <v>7.6953005097214069</v>
      </c>
      <c r="Y23" s="34">
        <f>(-(((X23-X18)/(D23-D18))/AVERAGE(F23,F18)))*POWER(10,9)</f>
        <v>70.765495814647878</v>
      </c>
      <c r="Z23" s="5">
        <f>AVERAGE(Z24,Z22)</f>
        <v>24.298622634997564</v>
      </c>
      <c r="AA23" s="34">
        <f>(((Z23-Z18)/(D23-D18))/AVERAGE(F18,F23))*POWER(10,9)</f>
        <v>99.366306785310471</v>
      </c>
      <c r="AB23" s="5">
        <v>0.85079430673828582</v>
      </c>
      <c r="AC23" s="72">
        <f>(((AB23+AB22)/2)*(D23-D22))+AC22</f>
        <v>407.38952040679783</v>
      </c>
      <c r="AD23" s="72">
        <f>-(((AB23-AB18)+($AC$2*AC23))/J23)*POWER(10,9)</f>
        <v>19.526018099009153</v>
      </c>
      <c r="AE23" s="34">
        <f>((-(((AB23-AB18)/(D23-D18))+$AC$2*AVERAGE(AB23,AB18)))/AVERAGE(F18,F23))*POWER(10,9)</f>
        <v>15.752791395344689</v>
      </c>
      <c r="AF23" s="34">
        <f>Z23/(X18-X23)</f>
        <v>1.4041632244840776</v>
      </c>
      <c r="AG23" s="34">
        <f>AA23/Y23</f>
        <v>1.4041632244840778</v>
      </c>
      <c r="AH23" s="129">
        <f>(-((F23-F18)/(X23-X18)))/POWER(10,6)</f>
        <v>0.19919444437255035</v>
      </c>
      <c r="AI23" s="129">
        <f>M23/Y23*POWER(10,3)</f>
        <v>0.26986913904486942</v>
      </c>
      <c r="AJ23" s="129">
        <f>(-((F23-F18)/(AB23-AB18)))/POWER(10,6)</f>
        <v>0.66942363644761127</v>
      </c>
      <c r="AK23" s="129">
        <f>M23/AE23*POWER(10,3)</f>
        <v>1.2123199597009875</v>
      </c>
      <c r="AL23" s="19"/>
    </row>
    <row r="24" spans="1:38" s="33" customFormat="1" x14ac:dyDescent="0.25">
      <c r="A24" s="4">
        <v>6</v>
      </c>
      <c r="B24" s="11">
        <v>43508</v>
      </c>
      <c r="C24" s="10">
        <v>0.44444444444444442</v>
      </c>
      <c r="D24" s="18">
        <f t="shared" si="26"/>
        <v>138</v>
      </c>
      <c r="E24" s="6">
        <f t="shared" si="27"/>
        <v>19.666666666686069</v>
      </c>
      <c r="F24" s="12">
        <v>2820000</v>
      </c>
      <c r="G24" s="12">
        <v>220000</v>
      </c>
      <c r="H24" s="12">
        <f t="shared" si="34"/>
        <v>3040000</v>
      </c>
      <c r="I24" s="13">
        <f t="shared" si="35"/>
        <v>0.92763157894736847</v>
      </c>
      <c r="J24" s="12">
        <f t="shared" si="28"/>
        <v>261943722.22224128</v>
      </c>
      <c r="K24" s="18">
        <f t="shared" si="29"/>
        <v>14.852247442914296</v>
      </c>
      <c r="L24" s="18">
        <f t="shared" si="30"/>
        <v>-0.29562913414431269</v>
      </c>
      <c r="M24" s="14">
        <f t="shared" si="31"/>
        <v>-1.5031989871729884E-2</v>
      </c>
      <c r="N24" s="14">
        <f t="shared" si="20"/>
        <v>9.1622734060553837E-2</v>
      </c>
      <c r="O24" s="14"/>
      <c r="P24" s="6"/>
      <c r="Q24" s="18" t="e">
        <f t="shared" si="21"/>
        <v>#DIV/0!</v>
      </c>
      <c r="R24" s="18" t="e">
        <f t="shared" si="22"/>
        <v>#DIV/0!</v>
      </c>
      <c r="S24" s="13" t="e">
        <f t="shared" si="32"/>
        <v>#DIV/0!</v>
      </c>
      <c r="T24" s="12">
        <f t="shared" si="23"/>
        <v>0</v>
      </c>
      <c r="U24" s="12">
        <f t="shared" si="24"/>
        <v>0</v>
      </c>
      <c r="V24" s="77" t="e">
        <f t="shared" si="25"/>
        <v>#DIV/0!</v>
      </c>
      <c r="W24" s="68" t="e">
        <f t="shared" si="33"/>
        <v>#DIV/0!</v>
      </c>
      <c r="X24" s="5">
        <v>10.276953512050001</v>
      </c>
      <c r="Y24" s="72"/>
      <c r="Z24" s="5">
        <v>25.340934100975666</v>
      </c>
      <c r="AA24" s="72"/>
      <c r="AB24" s="5">
        <v>1.055330250370722</v>
      </c>
      <c r="AC24" s="72">
        <f t="shared" ref="AC24:AC27" si="37">(((AB24+AB23)/2)*(D24-D23))+AC23</f>
        <v>426.13307855172155</v>
      </c>
      <c r="AD24" s="72"/>
      <c r="AE24" s="72"/>
      <c r="AF24" s="5"/>
      <c r="AG24" s="5"/>
      <c r="AL24" s="19"/>
    </row>
    <row r="25" spans="1:38" s="33" customFormat="1" x14ac:dyDescent="0.25">
      <c r="A25" s="4">
        <v>7</v>
      </c>
      <c r="B25" s="11">
        <v>43509</v>
      </c>
      <c r="C25" s="10">
        <v>0.54861111111111105</v>
      </c>
      <c r="D25" s="18">
        <f t="shared" si="26"/>
        <v>164.49999999994179</v>
      </c>
      <c r="E25" s="6">
        <f t="shared" si="27"/>
        <v>26.499999999941792</v>
      </c>
      <c r="F25" s="12">
        <v>2370000</v>
      </c>
      <c r="G25" s="12">
        <v>360000</v>
      </c>
      <c r="H25" s="12">
        <f t="shared" si="34"/>
        <v>2730000</v>
      </c>
      <c r="I25" s="13">
        <f t="shared" si="35"/>
        <v>0.86813186813186816</v>
      </c>
      <c r="J25" s="12">
        <f t="shared" si="28"/>
        <v>330711222.22209024</v>
      </c>
      <c r="K25" s="18">
        <f t="shared" si="29"/>
        <v>14.678400513111313</v>
      </c>
      <c r="L25" s="18">
        <f t="shared" si="30"/>
        <v>-0.17384692980298236</v>
      </c>
      <c r="M25" s="14">
        <f t="shared" si="31"/>
        <v>-6.5602615020137443E-3</v>
      </c>
      <c r="N25" s="14">
        <f t="shared" si="20"/>
        <v>7.2570866627207228E-2</v>
      </c>
      <c r="O25" s="14"/>
      <c r="P25" s="6"/>
      <c r="Q25" s="18" t="e">
        <f t="shared" si="21"/>
        <v>#DIV/0!</v>
      </c>
      <c r="R25" s="18" t="e">
        <f t="shared" si="22"/>
        <v>#DIV/0!</v>
      </c>
      <c r="S25" s="13" t="e">
        <f t="shared" si="32"/>
        <v>#DIV/0!</v>
      </c>
      <c r="T25" s="12">
        <f t="shared" si="23"/>
        <v>0</v>
      </c>
      <c r="U25" s="12">
        <f t="shared" si="24"/>
        <v>0</v>
      </c>
      <c r="V25" s="77" t="e">
        <f t="shared" si="25"/>
        <v>#DIV/0!</v>
      </c>
      <c r="W25" s="68" t="e">
        <f t="shared" si="33"/>
        <v>#DIV/0!</v>
      </c>
      <c r="X25" s="5">
        <v>6.8783323849915927</v>
      </c>
      <c r="Y25" s="72"/>
      <c r="Z25" s="5">
        <v>22.096499355131463</v>
      </c>
      <c r="AA25" s="72"/>
      <c r="AB25" s="5">
        <v>0.71699064278007008</v>
      </c>
      <c r="AC25" s="72">
        <f t="shared" si="37"/>
        <v>449.61633038591799</v>
      </c>
      <c r="AD25" s="72"/>
      <c r="AE25" s="72"/>
      <c r="AF25" s="5"/>
      <c r="AG25" s="5"/>
      <c r="AL25" s="19"/>
    </row>
    <row r="26" spans="1:38" s="33" customFormat="1" x14ac:dyDescent="0.25">
      <c r="A26" s="4"/>
      <c r="B26" s="11">
        <v>43510</v>
      </c>
      <c r="C26" s="10">
        <v>0.45833333333333331</v>
      </c>
      <c r="D26" s="18">
        <f t="shared" si="26"/>
        <v>186.33333333337214</v>
      </c>
      <c r="E26" s="6">
        <f>D26-D25</f>
        <v>21.833333333430346</v>
      </c>
      <c r="F26" s="12">
        <v>1730000</v>
      </c>
      <c r="G26" s="12">
        <v>740000</v>
      </c>
      <c r="H26" s="12">
        <f t="shared" si="34"/>
        <v>2470000</v>
      </c>
      <c r="I26" s="13">
        <f t="shared" si="35"/>
        <v>0.70040485829959509</v>
      </c>
      <c r="J26" s="12">
        <f>(((F26+F25)/2)*(D26-D25))+J25</f>
        <v>375469555.55562246</v>
      </c>
      <c r="K26" s="18">
        <f t="shared" si="29"/>
        <v>14.363631966473962</v>
      </c>
      <c r="L26" s="18">
        <f t="shared" si="30"/>
        <v>-0.31476854663735226</v>
      </c>
      <c r="M26" s="14">
        <f t="shared" si="31"/>
        <v>-1.4416879998593297E-2</v>
      </c>
      <c r="N26" s="14">
        <f t="shared" si="20"/>
        <v>6.3919962737017749E-2</v>
      </c>
      <c r="O26" s="14"/>
      <c r="P26" s="6"/>
      <c r="Q26" s="18" t="e">
        <f>AVERAGE(O26:P26)</f>
        <v>#DIV/0!</v>
      </c>
      <c r="R26" s="18" t="e">
        <f>STDEV(O26:P26)</f>
        <v>#DIV/0!</v>
      </c>
      <c r="S26" s="13" t="e">
        <f>R26/Q26</f>
        <v>#DIV/0!</v>
      </c>
      <c r="T26" s="12">
        <f t="shared" si="23"/>
        <v>0</v>
      </c>
      <c r="U26" s="12">
        <f t="shared" si="24"/>
        <v>0</v>
      </c>
      <c r="V26" s="77" t="e">
        <f t="shared" si="25"/>
        <v>#DIV/0!</v>
      </c>
      <c r="W26" s="68" t="e">
        <f t="shared" si="33"/>
        <v>#DIV/0!</v>
      </c>
      <c r="X26" s="5">
        <v>5.9528388511098322</v>
      </c>
      <c r="Y26" s="72"/>
      <c r="Z26" s="5">
        <v>26.849899798635914</v>
      </c>
      <c r="AA26" s="72"/>
      <c r="AB26" s="5">
        <v>0.83996448289119352</v>
      </c>
      <c r="AC26" s="72">
        <f t="shared" si="37"/>
        <v>466.61309050790481</v>
      </c>
      <c r="AD26" s="72"/>
      <c r="AE26" s="72"/>
      <c r="AF26" s="5"/>
      <c r="AG26" s="5"/>
      <c r="AH26" s="129"/>
      <c r="AI26" s="129"/>
      <c r="AJ26" s="129"/>
      <c r="AK26" s="129"/>
      <c r="AL26" s="19"/>
    </row>
    <row r="27" spans="1:38" s="33" customFormat="1" x14ac:dyDescent="0.25">
      <c r="A27" s="4"/>
      <c r="B27" s="11">
        <v>43511</v>
      </c>
      <c r="C27" s="10">
        <v>0.41666666666666669</v>
      </c>
      <c r="D27" s="18">
        <f t="shared" si="26"/>
        <v>209.33333333325572</v>
      </c>
      <c r="E27" s="6">
        <f>D27-D26</f>
        <v>22.999999999883585</v>
      </c>
      <c r="F27" s="12">
        <v>1630000</v>
      </c>
      <c r="G27" s="12">
        <v>1470000</v>
      </c>
      <c r="H27" s="12">
        <f t="shared" si="34"/>
        <v>3100000</v>
      </c>
      <c r="I27" s="13">
        <f t="shared" si="35"/>
        <v>0.52580645161290318</v>
      </c>
      <c r="J27" s="12">
        <f t="shared" si="28"/>
        <v>414109555.5554269</v>
      </c>
      <c r="K27" s="18">
        <f t="shared" si="29"/>
        <v>14.304090572782945</v>
      </c>
      <c r="L27" s="18">
        <f t="shared" si="30"/>
        <v>-5.9541393691016582E-2</v>
      </c>
      <c r="M27" s="14">
        <f t="shared" si="31"/>
        <v>-2.5887562474486065E-3</v>
      </c>
      <c r="N27" s="14">
        <f t="shared" si="20"/>
        <v>5.7955677858748889E-2</v>
      </c>
      <c r="O27" s="14"/>
      <c r="P27" s="6"/>
      <c r="Q27" s="18" t="e">
        <f>AVERAGE(O27:P27)</f>
        <v>#DIV/0!</v>
      </c>
      <c r="R27" s="18" t="e">
        <f>STDEV(O27:P27)</f>
        <v>#DIV/0!</v>
      </c>
      <c r="S27" s="13" t="e">
        <f>R27/Q27</f>
        <v>#DIV/0!</v>
      </c>
      <c r="T27" s="12">
        <f t="shared" si="23"/>
        <v>0</v>
      </c>
      <c r="U27" s="12">
        <f t="shared" si="24"/>
        <v>0</v>
      </c>
      <c r="V27" s="91" t="e">
        <f t="shared" si="25"/>
        <v>#DIV/0!</v>
      </c>
      <c r="W27" s="72" t="e">
        <f t="shared" si="33"/>
        <v>#DIV/0!</v>
      </c>
      <c r="X27" s="5">
        <v>4.4654726715084374</v>
      </c>
      <c r="Y27" s="133">
        <f>(-(((X27-X23)/(D27-D23))/AVERAGE(F27,F23)))*POWER(10,9)</f>
        <v>13.096905389947834</v>
      </c>
      <c r="Z27" s="5">
        <v>26.989511051860507</v>
      </c>
      <c r="AA27" s="133">
        <f>(((Z27-Z23)/(D27-D23))/AVERAGE(F23,F27))*POWER(10,9)</f>
        <v>10.911513794512246</v>
      </c>
      <c r="AB27" s="5">
        <v>0.72904548731128793</v>
      </c>
      <c r="AC27" s="72">
        <f t="shared" si="37"/>
        <v>484.656705165142</v>
      </c>
      <c r="AD27" s="72">
        <f>-(((AB27-AB23)+($AC$2*AC27))/J27)*POWER(10,9)</f>
        <v>-3.4511462436180622</v>
      </c>
      <c r="AE27" s="34">
        <f>((-(((AB27-AB23)/(D27-D23))+$AC$2*AVERAGE(AB27,AB23)))/AVERAGE(F23,F27))*POWER(10,9)</f>
        <v>-0.43905703169596599</v>
      </c>
      <c r="AF27" s="34">
        <f>-((Z27-Z23)/(X27-X23))</f>
        <v>0.83313679603176138</v>
      </c>
      <c r="AG27" s="34">
        <f>AA27/Y27</f>
        <v>0.8331367960317615</v>
      </c>
      <c r="AH27" s="129">
        <f>(-((F27-F23)/(X27-X23)))/POWER(10,6)</f>
        <v>-0.66876629597542447</v>
      </c>
      <c r="AI27" s="129">
        <f>M27/Y27*POWER(10,3)</f>
        <v>-0.19766167429410725</v>
      </c>
      <c r="AJ27" s="129">
        <f>(-((F27-F23)/(AB27-AB23)))/POWER(10,6)</f>
        <v>-17.741445134054569</v>
      </c>
      <c r="AK27" s="129"/>
      <c r="AL27" s="19"/>
    </row>
    <row r="28" spans="1:38" s="44" customFormat="1" x14ac:dyDescent="0.25">
      <c r="A28" s="17"/>
      <c r="B28" s="35"/>
      <c r="C28" s="36"/>
      <c r="D28" s="37"/>
      <c r="E28" s="37"/>
      <c r="F28" s="38"/>
      <c r="G28" s="38"/>
      <c r="H28" s="38"/>
      <c r="I28" s="39"/>
      <c r="J28" s="38"/>
      <c r="K28" s="38"/>
      <c r="L28" s="38"/>
      <c r="M28" s="40"/>
      <c r="N28" s="41"/>
      <c r="O28" s="41"/>
      <c r="P28" s="17"/>
      <c r="Q28" s="16"/>
      <c r="R28" s="16"/>
      <c r="S28" s="39"/>
      <c r="T28" s="38"/>
      <c r="U28" s="38"/>
      <c r="V28" s="42"/>
      <c r="W28" s="43"/>
      <c r="Y28" s="43"/>
      <c r="AA28" s="43"/>
      <c r="AC28" s="43"/>
      <c r="AD28" s="43"/>
      <c r="AE28" s="43"/>
      <c r="AL28" s="42"/>
    </row>
    <row r="29" spans="1:38" s="44" customFormat="1" x14ac:dyDescent="0.25">
      <c r="A29" s="17"/>
      <c r="B29" s="35"/>
      <c r="C29" s="36"/>
      <c r="D29" s="37"/>
      <c r="E29" s="37"/>
      <c r="F29" s="38"/>
      <c r="G29" s="38"/>
      <c r="H29" s="38"/>
      <c r="I29" s="39"/>
      <c r="J29" s="38"/>
      <c r="K29" s="38"/>
      <c r="L29" s="38"/>
      <c r="M29" s="40"/>
      <c r="N29" s="41"/>
      <c r="O29" s="41"/>
      <c r="P29" s="17"/>
      <c r="Q29" s="16"/>
      <c r="R29" s="16"/>
      <c r="S29" s="39"/>
      <c r="T29" s="38"/>
      <c r="U29" s="38"/>
      <c r="V29" s="42"/>
      <c r="W29" s="43"/>
      <c r="Y29" s="43"/>
      <c r="AA29" s="43"/>
      <c r="AC29" s="43"/>
      <c r="AD29" s="43"/>
      <c r="AE29" s="43"/>
      <c r="AL29" s="42"/>
    </row>
    <row r="30" spans="1:38" s="44" customFormat="1" x14ac:dyDescent="0.25">
      <c r="A30" s="17"/>
      <c r="B30" s="35"/>
      <c r="C30" s="36"/>
      <c r="D30" s="37"/>
      <c r="E30" s="37"/>
      <c r="F30" s="38"/>
      <c r="G30" s="38"/>
      <c r="H30" s="38"/>
      <c r="I30" s="39"/>
      <c r="J30" s="38"/>
      <c r="K30" s="38"/>
      <c r="L30" s="38"/>
      <c r="M30" s="40"/>
      <c r="N30" s="41"/>
      <c r="O30" s="41"/>
      <c r="P30" s="17"/>
      <c r="Q30" s="16"/>
      <c r="R30" s="16"/>
      <c r="S30" s="39"/>
      <c r="T30" s="38"/>
      <c r="U30" s="38"/>
      <c r="V30" s="42"/>
      <c r="W30" s="43"/>
      <c r="Y30" s="43"/>
      <c r="AA30" s="43"/>
      <c r="AC30" s="43"/>
      <c r="AD30" s="43"/>
      <c r="AE30" s="43"/>
      <c r="AL30" s="42"/>
    </row>
    <row r="31" spans="1:38" s="44" customFormat="1" x14ac:dyDescent="0.25">
      <c r="A31" s="17"/>
      <c r="B31" s="35"/>
      <c r="C31" s="36"/>
      <c r="D31" s="37"/>
      <c r="E31" s="37"/>
      <c r="F31" s="38"/>
      <c r="G31" s="38"/>
      <c r="H31" s="38"/>
      <c r="I31" s="39"/>
      <c r="J31" s="38"/>
      <c r="K31" s="38"/>
      <c r="L31" s="38"/>
      <c r="M31" s="40"/>
      <c r="N31" s="41"/>
      <c r="O31" s="41"/>
      <c r="P31" s="17"/>
      <c r="Q31" s="16"/>
      <c r="R31" s="16"/>
      <c r="S31" s="39"/>
      <c r="T31" s="38"/>
      <c r="U31" s="38"/>
      <c r="V31" s="42"/>
      <c r="W31" s="43"/>
      <c r="Y31" s="43"/>
      <c r="AA31" s="43"/>
      <c r="AC31" s="43"/>
      <c r="AD31" s="43"/>
      <c r="AE31" s="43"/>
      <c r="AL31" s="42"/>
    </row>
    <row r="32" spans="1:38" x14ac:dyDescent="0.25">
      <c r="A32" s="1" t="s">
        <v>73</v>
      </c>
    </row>
    <row r="33" spans="1:65" x14ac:dyDescent="0.25">
      <c r="A33" s="4" t="s">
        <v>1</v>
      </c>
      <c r="B33" s="4" t="s">
        <v>2</v>
      </c>
      <c r="C33" s="4"/>
      <c r="D33" s="4" t="s">
        <v>3</v>
      </c>
      <c r="E33" s="4"/>
      <c r="F33" s="7" t="s">
        <v>4</v>
      </c>
      <c r="G33" s="4" t="s">
        <v>11</v>
      </c>
      <c r="H33" s="4" t="s">
        <v>28</v>
      </c>
      <c r="I33" s="4" t="s">
        <v>29</v>
      </c>
      <c r="J33" s="4" t="s">
        <v>6</v>
      </c>
      <c r="K33" s="4"/>
      <c r="L33" s="4"/>
      <c r="M33" s="8" t="s">
        <v>15</v>
      </c>
      <c r="N33" s="4" t="s">
        <v>8</v>
      </c>
      <c r="O33" s="4" t="s">
        <v>18</v>
      </c>
      <c r="P33" s="4" t="s">
        <v>19</v>
      </c>
      <c r="Q33" s="4" t="s">
        <v>20</v>
      </c>
      <c r="R33" s="4" t="s">
        <v>21</v>
      </c>
      <c r="S33" s="4" t="s">
        <v>27</v>
      </c>
      <c r="T33" s="4" t="s">
        <v>62</v>
      </c>
      <c r="U33" s="4" t="s">
        <v>63</v>
      </c>
      <c r="V33" s="4" t="s">
        <v>23</v>
      </c>
      <c r="W33" s="3" t="s">
        <v>24</v>
      </c>
      <c r="X33" s="4" t="s">
        <v>31</v>
      </c>
      <c r="Y33" s="4" t="s">
        <v>32</v>
      </c>
      <c r="Z33" s="4" t="s">
        <v>34</v>
      </c>
      <c r="AA33" s="4" t="s">
        <v>33</v>
      </c>
      <c r="AB33" s="4" t="s">
        <v>35</v>
      </c>
      <c r="AC33" s="4" t="s">
        <v>39</v>
      </c>
      <c r="AD33" s="4" t="s">
        <v>36</v>
      </c>
      <c r="AE33" s="4"/>
      <c r="AF33" s="92" t="s">
        <v>74</v>
      </c>
      <c r="AG33" s="92"/>
      <c r="AH33" s="92" t="s">
        <v>95</v>
      </c>
      <c r="AI33" s="92"/>
      <c r="AJ33" s="92" t="s">
        <v>96</v>
      </c>
      <c r="AK33" s="92"/>
    </row>
    <row r="34" spans="1:65" x14ac:dyDescent="0.25">
      <c r="A34" s="4">
        <v>0</v>
      </c>
      <c r="B34" s="11">
        <v>43514</v>
      </c>
      <c r="C34" s="10">
        <v>0.49305555555555558</v>
      </c>
      <c r="D34" s="6">
        <v>0</v>
      </c>
      <c r="E34" s="6">
        <v>0</v>
      </c>
      <c r="F34" s="12">
        <v>476000</v>
      </c>
      <c r="G34" s="12">
        <v>14000</v>
      </c>
      <c r="H34" s="12">
        <f t="shared" ref="H34" si="38">F34+G34</f>
        <v>490000</v>
      </c>
      <c r="I34" s="13">
        <f t="shared" ref="I34" si="39">(F34/H34)</f>
        <v>0.97142857142857142</v>
      </c>
      <c r="J34" s="12"/>
      <c r="K34" s="18">
        <f t="shared" ref="K34" si="40">LN(F34)</f>
        <v>13.073173133213556</v>
      </c>
      <c r="L34" s="12"/>
      <c r="M34" s="6"/>
      <c r="N34" s="6"/>
      <c r="O34" s="6"/>
      <c r="P34" s="6"/>
      <c r="Q34" s="18">
        <v>0</v>
      </c>
      <c r="R34" s="18"/>
      <c r="S34" s="18"/>
      <c r="T34" s="18"/>
      <c r="U34" s="18"/>
      <c r="V34" s="18"/>
      <c r="W34" s="18"/>
      <c r="X34" s="33">
        <v>25</v>
      </c>
      <c r="Z34" s="33">
        <v>0</v>
      </c>
      <c r="AB34" s="33">
        <v>6</v>
      </c>
    </row>
    <row r="35" spans="1:65" x14ac:dyDescent="0.25">
      <c r="A35" s="4">
        <v>1</v>
      </c>
      <c r="B35" s="11">
        <v>43515</v>
      </c>
      <c r="C35" s="10">
        <v>0.62152777777777779</v>
      </c>
      <c r="D35" s="18">
        <f>((B35+C35)-($B$34+$C$34))*24</f>
        <v>27.083333333430346</v>
      </c>
      <c r="E35" s="6">
        <f>D35-D34</f>
        <v>27.083333333430346</v>
      </c>
      <c r="F35" s="12">
        <v>627500</v>
      </c>
      <c r="G35" s="12">
        <v>35000</v>
      </c>
      <c r="H35" s="12">
        <f t="shared" ref="H35:H41" si="41">F35+G35</f>
        <v>662500</v>
      </c>
      <c r="I35" s="13">
        <f t="shared" ref="I35:I41" si="42">(F35/H35)</f>
        <v>0.94716981132075473</v>
      </c>
      <c r="J35" s="12">
        <f t="shared" ref="J35:J41" si="43">(((F35+F34)/2)*(D35-D34))+J34</f>
        <v>14943229.166720193</v>
      </c>
      <c r="K35" s="18">
        <f t="shared" ref="K35:K41" si="44">LN(F35)</f>
        <v>13.349498949988076</v>
      </c>
      <c r="L35" s="18">
        <f t="shared" ref="L35" si="45">LN(F35/F34)</f>
        <v>0.27632581677451895</v>
      </c>
      <c r="M35" s="14">
        <f t="shared" ref="M35" si="46">(L35)/(D35-D34)</f>
        <v>1.0202799388561076E-2</v>
      </c>
      <c r="N35" s="14">
        <f t="shared" ref="N35" si="47">(1/J35*(POWER(10,6)))*24</f>
        <v>1.6060785612155359</v>
      </c>
      <c r="O35" s="18"/>
      <c r="P35" s="18"/>
      <c r="Q35" s="18" t="e">
        <f t="shared" ref="Q35:Q41" si="48">AVERAGE(O35:P35)</f>
        <v>#DIV/0!</v>
      </c>
      <c r="R35" s="18" t="e">
        <f t="shared" ref="R35:R41" si="49">STDEV(O35:P35)</f>
        <v>#DIV/0!</v>
      </c>
      <c r="S35" s="13" t="e">
        <f t="shared" ref="S35:S41" si="50">R35/Q35</f>
        <v>#DIV/0!</v>
      </c>
      <c r="T35" s="12">
        <f t="shared" ref="T35:T41" si="51">(O35-O34)/(J35-J34)</f>
        <v>0</v>
      </c>
      <c r="U35" s="12">
        <f t="shared" ref="U35:U41" si="52">(P35-P34)/(J35-J34)</f>
        <v>0</v>
      </c>
      <c r="V35" s="18" t="e">
        <f>(Q35-Q34)/(J35-J34)</f>
        <v>#DIV/0!</v>
      </c>
      <c r="W35" s="18" t="e">
        <f>V35*24*POWER(10,6)</f>
        <v>#DIV/0!</v>
      </c>
      <c r="X35" s="34">
        <v>17.481724591037263</v>
      </c>
      <c r="Y35" s="34"/>
      <c r="Z35" s="34">
        <v>9.3053617373425226</v>
      </c>
      <c r="AA35" s="34"/>
      <c r="AB35" s="34">
        <v>3.5429996234798606</v>
      </c>
      <c r="AC35" s="34">
        <f>((AB35+AB34)/2)*(D35-D34)</f>
        <v>129.22811990175268</v>
      </c>
      <c r="AD35" s="34"/>
      <c r="AE35" s="34"/>
      <c r="AL35" s="19"/>
    </row>
    <row r="36" spans="1:65" x14ac:dyDescent="0.25">
      <c r="A36" s="4">
        <v>2</v>
      </c>
      <c r="B36" s="11">
        <v>43516</v>
      </c>
      <c r="C36" s="10">
        <v>0.54166666666666663</v>
      </c>
      <c r="D36" s="18">
        <f t="shared" ref="D36:D41" si="53">((B36+C36)-($B$34+$C$34))*24</f>
        <v>49.166666666627862</v>
      </c>
      <c r="E36" s="6">
        <f t="shared" ref="E36:E41" si="54">D36-D35</f>
        <v>22.083333333197515</v>
      </c>
      <c r="F36" s="12">
        <v>705000.68500000006</v>
      </c>
      <c r="G36" s="12">
        <v>75000</v>
      </c>
      <c r="H36" s="12">
        <f t="shared" si="41"/>
        <v>780000.68500000006</v>
      </c>
      <c r="I36" s="13">
        <f t="shared" si="42"/>
        <v>0.90384623828888044</v>
      </c>
      <c r="J36" s="12">
        <f t="shared" si="43"/>
        <v>29656257.563504703</v>
      </c>
      <c r="K36" s="18">
        <f t="shared" si="44"/>
        <v>13.46595405342514</v>
      </c>
      <c r="L36" s="18">
        <f t="shared" ref="L36:L41" si="55">LN(F36/F35)</f>
        <v>0.11645510343706338</v>
      </c>
      <c r="M36" s="14">
        <f t="shared" ref="M36:M41" si="56">(L36)/(D36-D35)</f>
        <v>5.2734386462390762E-3</v>
      </c>
      <c r="N36" s="14">
        <f t="shared" ref="N36:N41" si="57">(1/J36*(POWER(10,6)))*24</f>
        <v>0.80927271246573773</v>
      </c>
      <c r="O36" s="18"/>
      <c r="P36" s="18"/>
      <c r="Q36" s="18" t="e">
        <f t="shared" si="48"/>
        <v>#DIV/0!</v>
      </c>
      <c r="R36" s="18" t="e">
        <f t="shared" si="49"/>
        <v>#DIV/0!</v>
      </c>
      <c r="S36" s="13" t="e">
        <f t="shared" si="50"/>
        <v>#DIV/0!</v>
      </c>
      <c r="T36" s="12">
        <f t="shared" si="51"/>
        <v>0</v>
      </c>
      <c r="U36" s="12">
        <f t="shared" si="52"/>
        <v>0</v>
      </c>
      <c r="V36" s="18" t="e">
        <f t="shared" ref="V36:V41" si="58">(Q36-Q35)/(J36-J35)</f>
        <v>#DIV/0!</v>
      </c>
      <c r="W36" s="18" t="e">
        <f t="shared" ref="W36:W41" si="59">V36*24*POWER(10,6)</f>
        <v>#DIV/0!</v>
      </c>
      <c r="X36" s="34">
        <v>16.586087960686903</v>
      </c>
      <c r="Y36" s="34"/>
      <c r="Z36" s="34">
        <v>21.249822927024208</v>
      </c>
      <c r="AA36" s="34"/>
      <c r="AB36" s="34">
        <v>3.5736997430866224</v>
      </c>
      <c r="AC36" s="34">
        <f>(((AB36+AB35)/2)*(D36-D35))+AC35</f>
        <v>207.8083420737743</v>
      </c>
      <c r="AD36" s="34"/>
      <c r="AE36" s="34"/>
      <c r="AL36" s="19"/>
    </row>
    <row r="37" spans="1:65" x14ac:dyDescent="0.25">
      <c r="A37" s="4">
        <v>3</v>
      </c>
      <c r="B37" s="11">
        <v>43517</v>
      </c>
      <c r="C37" s="10">
        <v>0.5</v>
      </c>
      <c r="D37" s="18">
        <f t="shared" si="53"/>
        <v>72.166666666686069</v>
      </c>
      <c r="E37" s="6">
        <f t="shared" si="54"/>
        <v>23.000000000058208</v>
      </c>
      <c r="F37" s="12">
        <v>1946666.6666666667</v>
      </c>
      <c r="G37" s="12">
        <v>130000</v>
      </c>
      <c r="H37" s="12">
        <f t="shared" si="41"/>
        <v>2076666.6666666667</v>
      </c>
      <c r="I37" s="13">
        <f t="shared" si="42"/>
        <v>0.9373996789727127</v>
      </c>
      <c r="J37" s="12">
        <f t="shared" si="43"/>
        <v>60150432.107748538</v>
      </c>
      <c r="K37" s="18">
        <f t="shared" si="44"/>
        <v>14.4816290661363</v>
      </c>
      <c r="L37" s="18">
        <f t="shared" si="55"/>
        <v>1.0156750127111607</v>
      </c>
      <c r="M37" s="14">
        <f t="shared" si="56"/>
        <v>4.4159783161243055E-2</v>
      </c>
      <c r="N37" s="14">
        <f t="shared" si="57"/>
        <v>0.39899962741761152</v>
      </c>
      <c r="O37" s="18"/>
      <c r="P37" s="18"/>
      <c r="Q37" s="18" t="e">
        <f t="shared" si="48"/>
        <v>#DIV/0!</v>
      </c>
      <c r="R37" s="18" t="e">
        <f t="shared" si="49"/>
        <v>#DIV/0!</v>
      </c>
      <c r="S37" s="13" t="e">
        <f t="shared" si="50"/>
        <v>#DIV/0!</v>
      </c>
      <c r="T37" s="12">
        <f t="shared" si="51"/>
        <v>0</v>
      </c>
      <c r="U37" s="12">
        <f t="shared" si="52"/>
        <v>0</v>
      </c>
      <c r="V37" s="18" t="e">
        <f t="shared" si="58"/>
        <v>#DIV/0!</v>
      </c>
      <c r="W37" s="18" t="e">
        <f t="shared" si="59"/>
        <v>#DIV/0!</v>
      </c>
      <c r="X37" s="34">
        <v>11.271995307253304</v>
      </c>
      <c r="Y37" s="34"/>
      <c r="Z37" s="33">
        <v>15.75394045662143</v>
      </c>
      <c r="AA37" s="34"/>
      <c r="AB37" s="33">
        <v>2.1203574901424309</v>
      </c>
      <c r="AC37" s="34">
        <f t="shared" ref="AC37:AC41" si="60">(((AB37+AB36)/2)*(D37-D36))+AC36</f>
        <v>273.29000025607411</v>
      </c>
      <c r="AL37" s="19"/>
    </row>
    <row r="38" spans="1:65" x14ac:dyDescent="0.25">
      <c r="A38" s="4">
        <v>4</v>
      </c>
      <c r="B38" s="11">
        <v>43518</v>
      </c>
      <c r="C38" s="10">
        <v>0.33333333333333331</v>
      </c>
      <c r="D38" s="18">
        <f t="shared" si="53"/>
        <v>92.166666666744277</v>
      </c>
      <c r="E38" s="6">
        <f t="shared" si="54"/>
        <v>20.000000000058208</v>
      </c>
      <c r="F38" s="12">
        <v>3210000</v>
      </c>
      <c r="G38" s="12">
        <v>140000</v>
      </c>
      <c r="H38" s="12">
        <f t="shared" si="41"/>
        <v>3350000</v>
      </c>
      <c r="I38" s="13">
        <f t="shared" si="42"/>
        <v>0.95820895522388061</v>
      </c>
      <c r="J38" s="12">
        <f t="shared" si="43"/>
        <v>111717098.77456528</v>
      </c>
      <c r="K38" s="18">
        <f t="shared" si="44"/>
        <v>14.981781495106199</v>
      </c>
      <c r="L38" s="18">
        <f t="shared" si="55"/>
        <v>0.50015242896989853</v>
      </c>
      <c r="M38" s="14">
        <f t="shared" si="56"/>
        <v>2.5007621448422144E-2</v>
      </c>
      <c r="N38" s="14">
        <f t="shared" si="57"/>
        <v>0.21482835003108847</v>
      </c>
      <c r="O38" s="18"/>
      <c r="P38" s="18"/>
      <c r="Q38" s="18" t="e">
        <f t="shared" si="48"/>
        <v>#DIV/0!</v>
      </c>
      <c r="R38" s="18" t="e">
        <f t="shared" si="49"/>
        <v>#DIV/0!</v>
      </c>
      <c r="S38" s="13" t="e">
        <f t="shared" si="50"/>
        <v>#DIV/0!</v>
      </c>
      <c r="T38" s="12">
        <f t="shared" si="51"/>
        <v>0</v>
      </c>
      <c r="U38" s="12">
        <f t="shared" si="52"/>
        <v>0</v>
      </c>
      <c r="V38" s="18" t="e">
        <f t="shared" si="58"/>
        <v>#DIV/0!</v>
      </c>
      <c r="W38" s="18" t="e">
        <f t="shared" si="59"/>
        <v>#DIV/0!</v>
      </c>
      <c r="X38" s="34">
        <v>9.9173642928515147</v>
      </c>
      <c r="Y38" s="34">
        <f>(-(((X38-X34)/(D38-D34))/AVERAGE(F38,F34)))*POWER(10,9)</f>
        <v>88.792856056506963</v>
      </c>
      <c r="Z38" s="33">
        <v>15.907431858273471</v>
      </c>
      <c r="AA38" s="34">
        <f>(((Z38-Z34)/(D38-D34))/AVERAGE(F34,F38))*POWER(10,9)</f>
        <v>93.648506444462114</v>
      </c>
      <c r="AB38" s="33">
        <v>1.3630335003497576</v>
      </c>
      <c r="AC38" s="34">
        <f t="shared" si="60"/>
        <v>308.1239101610974</v>
      </c>
      <c r="AD38" s="34">
        <f>-(((AB38-AB34)+($AC$2*AC38))/J38)*POWER(10,9)</f>
        <v>32.680494097882445</v>
      </c>
      <c r="AE38" s="34">
        <f>((-(((AB38-AB34)/(D38-D34))+$AC$2*AVERAGE(AB38,AB34)))/AVERAGE(F34,F38))*POWER(10,9)</f>
        <v>20.906030203495714</v>
      </c>
      <c r="AF38" s="34">
        <f>Z38/(X34-X38)</f>
        <v>1.0546851470220202</v>
      </c>
      <c r="AG38" s="34">
        <f>AA38/Y38</f>
        <v>1.0546851470220202</v>
      </c>
      <c r="AH38" s="129">
        <f>(-((F38-F34)/(X38-X34)))/POWER(10,6)</f>
        <v>0.18126805242032121</v>
      </c>
      <c r="AI38" s="129">
        <f>M38/Y38*POWER(10,3)</f>
        <v>0.28164001654037935</v>
      </c>
      <c r="AJ38" s="129">
        <f>(-((F38-F34)/(AB38-AB34)))/POWER(10,6)</f>
        <v>0.58960960796378858</v>
      </c>
      <c r="AK38" s="129">
        <f>M38/AE38*POWER(10,3)</f>
        <v>1.1961917784008844</v>
      </c>
      <c r="AL38" s="19"/>
    </row>
    <row r="39" spans="1:65" x14ac:dyDescent="0.25">
      <c r="A39" s="4">
        <v>5</v>
      </c>
      <c r="B39" s="11">
        <v>43519</v>
      </c>
      <c r="C39" s="10">
        <v>0.60416666666666663</v>
      </c>
      <c r="D39" s="18">
        <f t="shared" si="53"/>
        <v>122.66666666662786</v>
      </c>
      <c r="E39" s="6">
        <f t="shared" si="54"/>
        <v>30.499999999883585</v>
      </c>
      <c r="F39" s="12">
        <v>3135000</v>
      </c>
      <c r="G39" s="12">
        <v>575000</v>
      </c>
      <c r="H39" s="12">
        <f t="shared" si="41"/>
        <v>3710000</v>
      </c>
      <c r="I39" s="13">
        <f t="shared" si="42"/>
        <v>0.84501347708894881</v>
      </c>
      <c r="J39" s="12">
        <f t="shared" si="43"/>
        <v>208478348.77419597</v>
      </c>
      <c r="K39" s="18">
        <f t="shared" si="44"/>
        <v>14.958139732049158</v>
      </c>
      <c r="L39" s="18">
        <f t="shared" si="55"/>
        <v>-2.3641763057040424E-2</v>
      </c>
      <c r="M39" s="14">
        <f t="shared" si="56"/>
        <v>-7.7513977236493979E-4</v>
      </c>
      <c r="N39" s="14">
        <f t="shared" si="57"/>
        <v>0.11511986803960411</v>
      </c>
      <c r="O39" s="14"/>
      <c r="P39" s="6"/>
      <c r="Q39" s="18" t="e">
        <f t="shared" si="48"/>
        <v>#DIV/0!</v>
      </c>
      <c r="R39" s="18" t="e">
        <f t="shared" si="49"/>
        <v>#DIV/0!</v>
      </c>
      <c r="S39" s="13" t="e">
        <f t="shared" si="50"/>
        <v>#DIV/0!</v>
      </c>
      <c r="T39" s="12">
        <f t="shared" si="51"/>
        <v>0</v>
      </c>
      <c r="U39" s="12">
        <f t="shared" si="52"/>
        <v>0</v>
      </c>
      <c r="V39" s="18" t="e">
        <f t="shared" si="58"/>
        <v>#DIV/0!</v>
      </c>
      <c r="W39" s="18" t="e">
        <f t="shared" si="59"/>
        <v>#DIV/0!</v>
      </c>
      <c r="X39" s="34">
        <v>8.959612983577518</v>
      </c>
      <c r="Y39" s="34"/>
      <c r="Z39" s="34">
        <v>22.313922327726594</v>
      </c>
      <c r="AA39" s="34"/>
      <c r="AB39" s="33">
        <v>0.78346558127245181</v>
      </c>
      <c r="AC39" s="34">
        <f t="shared" si="60"/>
        <v>340.85802115571113</v>
      </c>
      <c r="AD39" s="34"/>
      <c r="AE39" s="34"/>
      <c r="AL39" s="19"/>
    </row>
    <row r="40" spans="1:65" x14ac:dyDescent="0.25">
      <c r="A40" s="4">
        <v>6</v>
      </c>
      <c r="B40" s="11">
        <v>43520</v>
      </c>
      <c r="C40" s="10">
        <v>0.6875</v>
      </c>
      <c r="D40" s="18">
        <f t="shared" si="53"/>
        <v>148.66666666668607</v>
      </c>
      <c r="E40" s="6">
        <f t="shared" si="54"/>
        <v>26.000000000058208</v>
      </c>
      <c r="F40" s="12">
        <v>2430000</v>
      </c>
      <c r="G40" s="12">
        <v>1470000</v>
      </c>
      <c r="H40" s="12">
        <f t="shared" si="41"/>
        <v>3900000</v>
      </c>
      <c r="I40" s="13">
        <f t="shared" si="42"/>
        <v>0.62307692307692308</v>
      </c>
      <c r="J40" s="12">
        <f t="shared" si="43"/>
        <v>280823348.77435791</v>
      </c>
      <c r="K40" s="18">
        <f t="shared" si="44"/>
        <v>14.703401815316731</v>
      </c>
      <c r="L40" s="18">
        <f t="shared" si="55"/>
        <v>-0.25473791673242685</v>
      </c>
      <c r="M40" s="14">
        <f t="shared" si="56"/>
        <v>-9.7976121819944827E-3</v>
      </c>
      <c r="N40" s="14">
        <f t="shared" si="57"/>
        <v>8.5462979145954299E-2</v>
      </c>
      <c r="O40" s="14"/>
      <c r="P40" s="6"/>
      <c r="Q40" s="18" t="e">
        <f t="shared" si="48"/>
        <v>#DIV/0!</v>
      </c>
      <c r="R40" s="18" t="e">
        <f t="shared" si="49"/>
        <v>#DIV/0!</v>
      </c>
      <c r="S40" s="13" t="e">
        <f t="shared" si="50"/>
        <v>#DIV/0!</v>
      </c>
      <c r="T40" s="12">
        <f t="shared" si="51"/>
        <v>0</v>
      </c>
      <c r="U40" s="12">
        <f t="shared" si="52"/>
        <v>0</v>
      </c>
      <c r="V40" s="18" t="e">
        <f t="shared" si="58"/>
        <v>#DIV/0!</v>
      </c>
      <c r="W40" s="18" t="e">
        <f t="shared" si="59"/>
        <v>#DIV/0!</v>
      </c>
      <c r="X40" s="34">
        <v>8.228553467605451</v>
      </c>
      <c r="Y40" s="34"/>
      <c r="Z40" s="34">
        <v>10.602169035402941</v>
      </c>
      <c r="AA40" s="34"/>
      <c r="AB40" s="33">
        <v>1.1664476982509377</v>
      </c>
      <c r="AC40" s="34">
        <f t="shared" si="60"/>
        <v>366.20689378957195</v>
      </c>
      <c r="AD40" s="34"/>
      <c r="AE40" s="34"/>
      <c r="AL40" s="19"/>
    </row>
    <row r="41" spans="1:65" ht="18.75" x14ac:dyDescent="0.3">
      <c r="A41" s="4">
        <v>7</v>
      </c>
      <c r="B41" s="11">
        <v>43521</v>
      </c>
      <c r="C41" s="10">
        <v>0.3888888888888889</v>
      </c>
      <c r="D41" s="18">
        <f t="shared" si="53"/>
        <v>165.50000000005821</v>
      </c>
      <c r="E41" s="6">
        <f t="shared" si="54"/>
        <v>16.833333333372138</v>
      </c>
      <c r="F41" s="12">
        <v>1510000</v>
      </c>
      <c r="G41" s="12">
        <v>1860000</v>
      </c>
      <c r="H41" s="12">
        <f t="shared" si="41"/>
        <v>3370000</v>
      </c>
      <c r="I41" s="13">
        <f t="shared" si="42"/>
        <v>0.44807121661721067</v>
      </c>
      <c r="J41" s="12">
        <f t="shared" si="43"/>
        <v>313985015.44110101</v>
      </c>
      <c r="K41" s="18">
        <f t="shared" si="44"/>
        <v>14.227620208791107</v>
      </c>
      <c r="L41" s="18">
        <f t="shared" si="55"/>
        <v>-0.47578160652562423</v>
      </c>
      <c r="M41" s="14">
        <f t="shared" si="56"/>
        <v>-2.8264253852942223E-2</v>
      </c>
      <c r="N41" s="14">
        <f t="shared" si="57"/>
        <v>7.6436768698288554E-2</v>
      </c>
      <c r="O41" s="14"/>
      <c r="P41" s="6"/>
      <c r="Q41" s="18" t="e">
        <f t="shared" si="48"/>
        <v>#DIV/0!</v>
      </c>
      <c r="R41" s="18" t="e">
        <f t="shared" si="49"/>
        <v>#DIV/0!</v>
      </c>
      <c r="S41" s="13" t="e">
        <f t="shared" si="50"/>
        <v>#DIV/0!</v>
      </c>
      <c r="T41" s="12">
        <f t="shared" si="51"/>
        <v>0</v>
      </c>
      <c r="U41" s="12">
        <f t="shared" si="52"/>
        <v>0</v>
      </c>
      <c r="V41" s="18" t="e">
        <f t="shared" si="58"/>
        <v>#DIV/0!</v>
      </c>
      <c r="W41" s="18" t="e">
        <f t="shared" si="59"/>
        <v>#DIV/0!</v>
      </c>
      <c r="X41" s="34">
        <v>4.924776131980118</v>
      </c>
      <c r="Y41" s="34">
        <f>(-(((X41-X38)/(D41-D38))/AVERAGE(F41,F38)))*POWER(10,9)</f>
        <v>28.84777442723065</v>
      </c>
      <c r="Z41" s="34">
        <v>25.041663228161063</v>
      </c>
      <c r="AA41" s="34">
        <f>(((Z41-Z38)/(D41-D38))/AVERAGE(F38,F41))*POWER(10,9)</f>
        <v>52.778686651906831</v>
      </c>
      <c r="AB41" s="33">
        <v>0.39427303443992384</v>
      </c>
      <c r="AC41" s="34">
        <f t="shared" si="60"/>
        <v>379.34295995641696</v>
      </c>
      <c r="AD41" s="34">
        <f>-(((AB41-AB38)+($AC$2*AC41))/J41)*POWER(10,9)</f>
        <v>-0.78072835930186257</v>
      </c>
      <c r="AE41" s="34">
        <f>((-(((AB41-AB38)/(D41-D38))+$AC$2*AVERAGE(AB41,AB38)))/AVERAGE(F38,F41))*POWER(10,9)</f>
        <v>4.4062201415337103</v>
      </c>
      <c r="AF41" s="34">
        <f>-(Z41-Z38)/(X41-X38)</f>
        <v>1.8295583524144161</v>
      </c>
      <c r="AG41" s="34">
        <f>AA41/Y41</f>
        <v>1.8295583524144159</v>
      </c>
      <c r="AH41" s="129">
        <f>(-((F41-F38)/(X41-X38)))/POWER(10,6)</f>
        <v>-0.34050475329078322</v>
      </c>
      <c r="AI41" s="129">
        <f>M41/Y41*POWER(10,3)</f>
        <v>-0.97977242314618151</v>
      </c>
      <c r="AJ41" s="129">
        <f>(-((F41-F38)/(AB41-AB38)))/POWER(10,6)</f>
        <v>-1.7548197514474395</v>
      </c>
      <c r="AK41" s="129"/>
      <c r="AL41" s="19"/>
      <c r="BF41" s="138" t="s">
        <v>80</v>
      </c>
      <c r="BG41" s="138"/>
      <c r="BH41" s="138"/>
    </row>
    <row r="42" spans="1:65" ht="15.75" thickBot="1" x14ac:dyDescent="0.3">
      <c r="J42" s="62"/>
      <c r="K42" s="62"/>
      <c r="L42" s="62"/>
      <c r="M42" s="53"/>
      <c r="N42" s="53"/>
      <c r="O42" s="53"/>
      <c r="P42" s="53"/>
      <c r="Q42" s="2"/>
      <c r="R42" s="2"/>
      <c r="S42" s="2"/>
      <c r="T42" s="2"/>
      <c r="U42" s="2"/>
      <c r="Y42" s="33" t="s">
        <v>75</v>
      </c>
      <c r="AA42" s="33" t="s">
        <v>75</v>
      </c>
      <c r="AC42" s="130"/>
      <c r="AD42" s="130" t="s">
        <v>75</v>
      </c>
      <c r="AF42" s="130" t="s">
        <v>75</v>
      </c>
      <c r="AG42" s="130"/>
      <c r="AH42" s="130" t="s">
        <v>75</v>
      </c>
      <c r="AI42" s="130" t="s">
        <v>75</v>
      </c>
      <c r="AJ42" s="130" t="s">
        <v>75</v>
      </c>
      <c r="AK42" s="130"/>
    </row>
    <row r="43" spans="1:65" ht="24" thickBot="1" x14ac:dyDescent="0.3">
      <c r="J43" s="62"/>
      <c r="K43" s="62"/>
      <c r="L43" s="62"/>
      <c r="M43" s="53"/>
      <c r="N43" s="53"/>
      <c r="O43" s="53"/>
      <c r="P43" s="53"/>
      <c r="Q43" s="2"/>
      <c r="R43" s="2"/>
      <c r="S43" s="2"/>
      <c r="T43" s="2"/>
      <c r="U43" s="2"/>
      <c r="X43" s="33" t="s">
        <v>67</v>
      </c>
      <c r="Y43" s="34">
        <f>AVERAGE(Y7,Y23,Y38)</f>
        <v>84.377635238640508</v>
      </c>
      <c r="Z43" s="33" t="s">
        <v>67</v>
      </c>
      <c r="AA43" s="34">
        <f>AVERAGE(AA7,AA23)</f>
        <v>85.423690237900885</v>
      </c>
      <c r="AC43" s="130" t="s">
        <v>67</v>
      </c>
      <c r="AD43" s="34">
        <f>AVERAGE(AE7,AE23,AE38)</f>
        <v>20.967611633767049</v>
      </c>
      <c r="AE43" s="130" t="s">
        <v>67</v>
      </c>
      <c r="AF43" s="34">
        <f>AVERAGE(AF7,AF23,AF38)</f>
        <v>1.0742475763456756</v>
      </c>
      <c r="AG43" s="34"/>
      <c r="AH43" s="34">
        <f>AVERAGE(AH7,AH23,AH38)</f>
        <v>0.19476502967208853</v>
      </c>
      <c r="AI43" s="34">
        <f>AVERAGE(AI7,AI23,AI38)</f>
        <v>0.25697771048451118</v>
      </c>
      <c r="AJ43" s="34">
        <f>AVERAGE(AJ7,AJ23,AJ38)</f>
        <v>0.62119829790061798</v>
      </c>
      <c r="AK43" s="34"/>
      <c r="AW43" s="79" t="s">
        <v>66</v>
      </c>
      <c r="AX43" s="80" t="s">
        <v>13</v>
      </c>
      <c r="AY43" s="81" t="s">
        <v>26</v>
      </c>
      <c r="BC43" t="s">
        <v>68</v>
      </c>
      <c r="BF43" s="24" t="s">
        <v>66</v>
      </c>
      <c r="BG43" s="25" t="s">
        <v>69</v>
      </c>
      <c r="BH43" s="25" t="s">
        <v>13</v>
      </c>
      <c r="BI43" s="25" t="s">
        <v>70</v>
      </c>
      <c r="BJ43" s="26" t="s">
        <v>74</v>
      </c>
      <c r="BK43" s="95"/>
      <c r="BL43" s="26"/>
    </row>
    <row r="44" spans="1:65" s="5" customFormat="1" ht="23.25" x14ac:dyDescent="0.25">
      <c r="X44" s="5" t="s">
        <v>30</v>
      </c>
      <c r="Y44" s="72">
        <f>STDEV(Y7,Y23,Y38)</f>
        <v>12.028462628624753</v>
      </c>
      <c r="Z44" s="5" t="s">
        <v>30</v>
      </c>
      <c r="AA44" s="72">
        <f>STDEV(AA7,AA23)</f>
        <v>19.717837416314172</v>
      </c>
      <c r="AC44" s="131" t="s">
        <v>30</v>
      </c>
      <c r="AD44" s="72">
        <f>STDEV(AE7,AE23,AE38)</f>
        <v>5.2458820498085492</v>
      </c>
      <c r="AE44" s="131" t="s">
        <v>30</v>
      </c>
      <c r="AF44" s="72">
        <f>STDEV(AF7,AF23,AF38)</f>
        <v>0.32058239499097491</v>
      </c>
      <c r="AG44" s="72"/>
      <c r="AH44" s="72">
        <f>STDEV(AH7,AH23,AH38)</f>
        <v>1.1916559909328505E-2</v>
      </c>
      <c r="AI44" s="72">
        <f>STDEV(AI7,AI23,AI38)</f>
        <v>3.3050728085369963E-2</v>
      </c>
      <c r="AJ44" s="72">
        <f>STDEV(AJ7,AJ23,AJ38)</f>
        <v>4.2428214002449706E-2</v>
      </c>
      <c r="AK44" s="72"/>
      <c r="AW44" s="29" t="s">
        <v>77</v>
      </c>
      <c r="AX44" s="23">
        <v>2.53E-2</v>
      </c>
      <c r="AY44" s="30">
        <v>0.98</v>
      </c>
      <c r="BF44" s="99" t="s">
        <v>77</v>
      </c>
      <c r="BG44" s="100">
        <f>F7</f>
        <v>3622500</v>
      </c>
      <c r="BH44" s="101">
        <v>2.53E-2</v>
      </c>
      <c r="BI44" s="102">
        <f>N8</f>
        <v>0.12422220937814321</v>
      </c>
      <c r="BJ44" s="103">
        <f>AF7</f>
        <v>0.76389435753092849</v>
      </c>
      <c r="BK44" s="96"/>
      <c r="BL44" s="93"/>
      <c r="BM44" s="93"/>
    </row>
    <row r="45" spans="1:65" s="5" customFormat="1" ht="23.25" x14ac:dyDescent="0.25">
      <c r="A45" s="53"/>
      <c r="B45" s="53"/>
      <c r="C45" s="53"/>
      <c r="D45" s="53"/>
      <c r="E45" s="53"/>
      <c r="F45" s="54"/>
      <c r="G45" s="53"/>
      <c r="H45" s="53"/>
      <c r="I45" s="53"/>
      <c r="J45" s="53"/>
      <c r="K45" s="53"/>
      <c r="L45" s="53"/>
      <c r="M45" s="55"/>
      <c r="N45" s="53"/>
      <c r="O45" s="53"/>
      <c r="P45" s="53"/>
      <c r="Q45" s="53"/>
      <c r="R45" s="53"/>
      <c r="S45" s="53"/>
      <c r="T45" s="53"/>
      <c r="U45" s="53"/>
      <c r="V45" s="53"/>
      <c r="X45" s="53" t="s">
        <v>27</v>
      </c>
      <c r="Y45" s="59">
        <f>Y44/Y43</f>
        <v>0.14255510473368127</v>
      </c>
      <c r="Z45" s="53" t="s">
        <v>27</v>
      </c>
      <c r="AA45" s="59">
        <f>AA44/AA43</f>
        <v>0.23082399462492126</v>
      </c>
      <c r="AB45" s="53"/>
      <c r="AC45" s="132" t="s">
        <v>27</v>
      </c>
      <c r="AD45" s="59">
        <f>AD44/AD43</f>
        <v>0.25018977561375561</v>
      </c>
      <c r="AE45" s="132" t="s">
        <v>27</v>
      </c>
      <c r="AF45" s="59">
        <f>AF44/AF43</f>
        <v>0.29842505773344807</v>
      </c>
      <c r="AG45" s="59"/>
      <c r="AH45" s="59">
        <f>AH44/AH43</f>
        <v>6.1184289240175896E-2</v>
      </c>
      <c r="AI45" s="59">
        <f>AI44/AI43</f>
        <v>0.12861320938323961</v>
      </c>
      <c r="AJ45" s="59">
        <f>AJ44/AJ43</f>
        <v>6.8300596034855138E-2</v>
      </c>
      <c r="AK45" s="59"/>
      <c r="AW45" s="29" t="s">
        <v>78</v>
      </c>
      <c r="AX45" s="70">
        <v>1.9699999999999999E-2</v>
      </c>
      <c r="AY45" s="71">
        <v>0.95</v>
      </c>
      <c r="BF45" s="86" t="s">
        <v>78</v>
      </c>
      <c r="BG45" s="104">
        <f>F23</f>
        <v>3790000</v>
      </c>
      <c r="BH45" s="70">
        <v>1.9699999999999999E-2</v>
      </c>
      <c r="BI45" s="97">
        <f>N23</f>
        <v>0.12186119276722758</v>
      </c>
      <c r="BJ45" s="105">
        <f>AF23</f>
        <v>1.4041632244840776</v>
      </c>
      <c r="BK45" s="96"/>
      <c r="BL45" s="93"/>
      <c r="BM45" s="93"/>
    </row>
    <row r="46" spans="1:65" s="5" customFormat="1" ht="24" thickBot="1" x14ac:dyDescent="0.3">
      <c r="A46" s="53"/>
      <c r="B46" s="56"/>
      <c r="C46" s="57"/>
      <c r="D46" s="53"/>
      <c r="E46" s="53"/>
      <c r="F46" s="58"/>
      <c r="G46" s="58"/>
      <c r="H46" s="58"/>
      <c r="I46" s="59"/>
      <c r="J46" s="58"/>
      <c r="K46" s="58"/>
      <c r="L46" s="58"/>
      <c r="M46" s="53"/>
      <c r="N46" s="53"/>
      <c r="O46" s="53"/>
      <c r="P46" s="53"/>
      <c r="Q46" s="62"/>
      <c r="R46" s="62"/>
      <c r="S46" s="62"/>
      <c r="T46" s="62"/>
      <c r="U46" s="62"/>
      <c r="V46" s="62"/>
      <c r="W46" s="62"/>
      <c r="Y46" s="5" t="s">
        <v>76</v>
      </c>
      <c r="AA46" s="5" t="s">
        <v>76</v>
      </c>
      <c r="AC46" s="131"/>
      <c r="AD46" s="131" t="s">
        <v>76</v>
      </c>
      <c r="AE46" s="131"/>
      <c r="AF46" s="131" t="s">
        <v>76</v>
      </c>
      <c r="AG46" s="131"/>
      <c r="AH46" s="131" t="s">
        <v>76</v>
      </c>
      <c r="AI46" s="131" t="s">
        <v>76</v>
      </c>
      <c r="AJ46" s="131" t="s">
        <v>76</v>
      </c>
      <c r="AK46" s="131"/>
      <c r="AW46" s="29" t="s">
        <v>79</v>
      </c>
      <c r="AX46" s="75">
        <v>2.1299999999999999E-2</v>
      </c>
      <c r="AY46" s="76">
        <v>0.9</v>
      </c>
      <c r="BF46" s="87" t="s">
        <v>79</v>
      </c>
      <c r="BG46" s="112">
        <f>F38</f>
        <v>3210000</v>
      </c>
      <c r="BH46" s="75">
        <v>2.1299999999999999E-2</v>
      </c>
      <c r="BI46" s="113">
        <f>N39</f>
        <v>0.11511986803960411</v>
      </c>
      <c r="BJ46" s="114">
        <f>AF38</f>
        <v>1.0546851470220202</v>
      </c>
      <c r="BK46" s="96"/>
      <c r="BL46" s="93"/>
      <c r="BM46" s="93"/>
    </row>
    <row r="47" spans="1:65" s="5" customFormat="1" ht="23.25" x14ac:dyDescent="0.25">
      <c r="A47" s="53"/>
      <c r="B47" s="56"/>
      <c r="C47" s="57"/>
      <c r="D47" s="53"/>
      <c r="E47" s="53"/>
      <c r="F47" s="58"/>
      <c r="G47" s="58"/>
      <c r="H47" s="58"/>
      <c r="I47" s="59"/>
      <c r="J47" s="58"/>
      <c r="K47" s="58"/>
      <c r="L47" s="58"/>
      <c r="M47" s="60"/>
      <c r="N47" s="61"/>
      <c r="O47" s="62"/>
      <c r="P47" s="62"/>
      <c r="Q47" s="62"/>
      <c r="R47" s="62"/>
      <c r="S47" s="59"/>
      <c r="T47" s="58"/>
      <c r="U47" s="58"/>
      <c r="V47" s="62"/>
      <c r="W47" s="62"/>
      <c r="X47" s="33" t="s">
        <v>67</v>
      </c>
      <c r="Y47" s="34">
        <f>AVERAGE(Y10,Y41)</f>
        <v>26.485903533271063</v>
      </c>
      <c r="Z47" s="33" t="s">
        <v>67</v>
      </c>
      <c r="AA47" s="34">
        <f>AVERAGE(AA10,AA41)</f>
        <v>49.5112003217859</v>
      </c>
      <c r="AB47" s="72"/>
      <c r="AC47" s="130" t="s">
        <v>67</v>
      </c>
      <c r="AD47" s="34">
        <f>AVERAGE(AE10,AE27,AE41)</f>
        <v>1.8596703485363744</v>
      </c>
      <c r="AE47" s="130" t="s">
        <v>67</v>
      </c>
      <c r="AF47" s="34">
        <f>AVERAGE(AF10,AF41)</f>
        <v>1.8732365511219689</v>
      </c>
      <c r="AG47" s="34"/>
      <c r="AH47" s="34">
        <f>AVERAGE(AH10,AH27,AH41)</f>
        <v>-0.47534335234232367</v>
      </c>
      <c r="AI47" s="34">
        <f>AVERAGE(AI10,AI27,AI41)</f>
        <v>-0.57419804972082245</v>
      </c>
      <c r="AJ47" s="34">
        <f>AVERAGE(AJ10,AJ27,AJ41)</f>
        <v>-7.8474449151775119</v>
      </c>
      <c r="AK47" s="34"/>
      <c r="AL47" s="73"/>
      <c r="AW47" s="78" t="s">
        <v>67</v>
      </c>
      <c r="AX47" s="134">
        <f>AVERAGE(AX44:AX46)</f>
        <v>2.2099999999999998E-2</v>
      </c>
      <c r="AY47" s="135"/>
      <c r="BF47" s="88" t="s">
        <v>67</v>
      </c>
      <c r="BG47" s="108">
        <f>AVERAGE(BG44:BG46)</f>
        <v>3540833.3333333335</v>
      </c>
      <c r="BH47" s="109">
        <f>AVERAGE(BH44:BH46)</f>
        <v>2.2099999999999998E-2</v>
      </c>
      <c r="BI47" s="110">
        <f>AVERAGE(BI44:BI46)</f>
        <v>0.12040109006165829</v>
      </c>
      <c r="BJ47" s="111">
        <f>AVERAGE(BJ44:BJ46)</f>
        <v>1.0742475763456756</v>
      </c>
    </row>
    <row r="48" spans="1:65" s="5" customFormat="1" ht="24" thickBot="1" x14ac:dyDescent="0.3">
      <c r="A48" s="53"/>
      <c r="B48" s="56"/>
      <c r="C48" s="57"/>
      <c r="D48" s="53"/>
      <c r="E48" s="53"/>
      <c r="F48" s="58"/>
      <c r="G48" s="58"/>
      <c r="H48" s="58"/>
      <c r="I48" s="59"/>
      <c r="J48" s="58"/>
      <c r="K48" s="58"/>
      <c r="L48" s="58"/>
      <c r="M48" s="60"/>
      <c r="N48" s="61"/>
      <c r="O48" s="62"/>
      <c r="P48" s="62"/>
      <c r="Q48" s="62"/>
      <c r="R48" s="62"/>
      <c r="S48" s="59"/>
      <c r="T48" s="58"/>
      <c r="U48" s="58"/>
      <c r="V48" s="62"/>
      <c r="W48" s="62"/>
      <c r="X48" s="5" t="s">
        <v>30</v>
      </c>
      <c r="Y48" s="72">
        <f>STDEV(Y10,Y41)</f>
        <v>3.3401898508119165</v>
      </c>
      <c r="Z48" s="5" t="s">
        <v>30</v>
      </c>
      <c r="AA48" s="72">
        <f>STDEV(AA10,AA41)</f>
        <v>4.6209234829257131</v>
      </c>
      <c r="AB48" s="72"/>
      <c r="AC48" s="131" t="s">
        <v>30</v>
      </c>
      <c r="AD48" s="72">
        <f>STDEV(AD10,AD27,AD41)</f>
        <v>1.3994169704979689</v>
      </c>
      <c r="AE48" s="131" t="s">
        <v>30</v>
      </c>
      <c r="AF48" s="72">
        <f>STDEV(AF10,AF41)</f>
        <v>6.1770300992248076E-2</v>
      </c>
      <c r="AG48" s="72"/>
      <c r="AH48" s="72">
        <f>STDEV(AH10,AH27,AH41)</f>
        <v>0.17179349281612313</v>
      </c>
      <c r="AI48" s="72">
        <f>STDEV(AI10,AI27,AI41)</f>
        <v>0.39186312643997917</v>
      </c>
      <c r="AJ48" s="72">
        <f>STDEV(AJ10,AJ27,AJ41)</f>
        <v>8.6447028296740758</v>
      </c>
      <c r="AK48" s="72"/>
      <c r="AL48" s="73"/>
      <c r="AW48" s="74" t="s">
        <v>30</v>
      </c>
      <c r="AX48" s="136">
        <f>STDEV(AX44:AX46)</f>
        <v>2.8844410203711919E-3</v>
      </c>
      <c r="AY48" s="137"/>
      <c r="BF48" s="89" t="s">
        <v>30</v>
      </c>
      <c r="BG48" s="106">
        <f>STDEV(BG44:BG46)</f>
        <v>298499.72082622343</v>
      </c>
      <c r="BH48" s="83">
        <f>STDEV(BH44:BH46)</f>
        <v>2.8844410203711919E-3</v>
      </c>
      <c r="BI48" s="98">
        <f>STDEV(BI44:BI46)</f>
        <v>4.7235663850450421E-3</v>
      </c>
      <c r="BJ48" s="94">
        <f>STDEV(BJ44:BJ46)</f>
        <v>0.32058239499097491</v>
      </c>
    </row>
    <row r="49" spans="1:62" s="5" customFormat="1" ht="24" thickBot="1" x14ac:dyDescent="0.3">
      <c r="A49" s="53"/>
      <c r="B49" s="56"/>
      <c r="C49" s="57"/>
      <c r="D49" s="53"/>
      <c r="E49" s="53"/>
      <c r="F49" s="58"/>
      <c r="G49" s="58"/>
      <c r="H49" s="58"/>
      <c r="I49" s="59"/>
      <c r="J49" s="58"/>
      <c r="K49" s="58"/>
      <c r="L49" s="58"/>
      <c r="M49" s="60"/>
      <c r="N49" s="61"/>
      <c r="O49" s="62"/>
      <c r="P49" s="62"/>
      <c r="Q49" s="62"/>
      <c r="R49" s="62"/>
      <c r="S49" s="59"/>
      <c r="T49" s="58"/>
      <c r="U49" s="58"/>
      <c r="V49" s="62"/>
      <c r="W49" s="62"/>
      <c r="X49" s="53" t="s">
        <v>27</v>
      </c>
      <c r="Y49" s="59">
        <f>Y48/Y47</f>
        <v>0.12611198430954174</v>
      </c>
      <c r="Z49" s="53" t="s">
        <v>27</v>
      </c>
      <c r="AA49" s="59">
        <f>AA48/AA47</f>
        <v>9.3330871659203465E-2</v>
      </c>
      <c r="AC49" s="132" t="s">
        <v>27</v>
      </c>
      <c r="AD49" s="59">
        <f>AD48/AD47</f>
        <v>0.75250808381139112</v>
      </c>
      <c r="AE49" s="132" t="s">
        <v>27</v>
      </c>
      <c r="AF49" s="59">
        <f>AF48/AF47</f>
        <v>3.2975173880336127E-2</v>
      </c>
      <c r="AG49" s="59"/>
      <c r="AH49" s="59">
        <f>AH48/AH47</f>
        <v>-0.3614092675738193</v>
      </c>
      <c r="AI49" s="59">
        <f>AI48/AI47</f>
        <v>-0.68245290389005098</v>
      </c>
      <c r="AJ49" s="59">
        <f>AJ48/AJ47</f>
        <v>-1.1015945856408129</v>
      </c>
      <c r="AK49" s="59"/>
      <c r="AL49" s="73"/>
      <c r="BF49" s="90" t="s">
        <v>27</v>
      </c>
      <c r="BG49" s="107">
        <f>BG48/BG47</f>
        <v>8.4302109906205722E-2</v>
      </c>
      <c r="BH49" s="84">
        <f>BH48/BH47</f>
        <v>0.13051769322946571</v>
      </c>
      <c r="BI49" s="84">
        <f>BI48/BI47</f>
        <v>3.9231923752734037E-2</v>
      </c>
      <c r="BJ49" s="85">
        <f>BJ48/BJ47</f>
        <v>0.29842505773344807</v>
      </c>
    </row>
    <row r="50" spans="1:62" s="5" customFormat="1" x14ac:dyDescent="0.25">
      <c r="A50" s="53"/>
      <c r="B50" s="56"/>
      <c r="C50" s="57"/>
      <c r="D50" s="53"/>
      <c r="E50" s="53"/>
      <c r="F50" s="58"/>
      <c r="G50" s="58"/>
      <c r="H50" s="58"/>
      <c r="I50" s="59"/>
      <c r="J50" s="58"/>
      <c r="K50" s="58"/>
      <c r="L50" s="58"/>
      <c r="M50" s="60"/>
      <c r="N50" s="61"/>
      <c r="O50" s="62"/>
      <c r="P50" s="62"/>
      <c r="Q50" s="62"/>
      <c r="R50" s="62"/>
      <c r="S50" s="59"/>
      <c r="T50" s="58"/>
      <c r="U50" s="58"/>
      <c r="V50" s="62"/>
      <c r="W50" s="62"/>
      <c r="X50" s="72"/>
      <c r="Y50" s="72"/>
      <c r="AA50" s="72"/>
      <c r="AL50" s="73"/>
      <c r="AX50" s="5" t="s">
        <v>27</v>
      </c>
      <c r="AY50" s="82">
        <f>AX48/AX47</f>
        <v>0.13051769322946571</v>
      </c>
    </row>
    <row r="51" spans="1:62" s="5" customFormat="1" x14ac:dyDescent="0.25">
      <c r="A51" s="53"/>
      <c r="B51" s="56"/>
      <c r="C51" s="57"/>
      <c r="D51" s="53"/>
      <c r="E51" s="53"/>
      <c r="F51" s="58"/>
      <c r="G51" s="58"/>
      <c r="H51" s="58"/>
      <c r="I51" s="59"/>
      <c r="J51" s="58"/>
      <c r="K51" s="58"/>
      <c r="L51" s="58"/>
      <c r="M51" s="60"/>
      <c r="N51" s="61"/>
      <c r="O51" s="61"/>
      <c r="P51" s="53"/>
      <c r="Q51" s="62"/>
      <c r="R51" s="62"/>
      <c r="S51" s="59"/>
      <c r="T51" s="58"/>
      <c r="U51" s="58"/>
      <c r="V51" s="62"/>
      <c r="W51" s="62"/>
      <c r="X51" s="72"/>
      <c r="Y51" s="72"/>
      <c r="Z51" s="72"/>
      <c r="AA51" s="72"/>
      <c r="AC51" s="72"/>
      <c r="AD51" s="72"/>
      <c r="AE51" s="72"/>
      <c r="AL51" s="73"/>
    </row>
    <row r="52" spans="1:62" s="5" customFormat="1" ht="18.75" x14ac:dyDescent="0.3">
      <c r="A52" s="53"/>
      <c r="B52" s="56"/>
      <c r="C52" s="57"/>
      <c r="D52" s="53"/>
      <c r="E52" s="53"/>
      <c r="F52" s="58"/>
      <c r="G52" s="58"/>
      <c r="H52" s="58"/>
      <c r="I52" s="59"/>
      <c r="J52" s="58"/>
      <c r="K52" s="58"/>
      <c r="L52" s="58"/>
      <c r="M52" s="60"/>
      <c r="N52" s="61"/>
      <c r="O52" s="61"/>
      <c r="P52" s="53"/>
      <c r="Q52" s="62"/>
      <c r="R52" s="62"/>
      <c r="S52" s="59"/>
      <c r="T52" s="58"/>
      <c r="U52" s="58"/>
      <c r="V52" s="62"/>
      <c r="W52" s="62"/>
      <c r="X52" s="72"/>
      <c r="Y52" s="72"/>
      <c r="Z52" s="72"/>
      <c r="AA52" s="72"/>
      <c r="AC52" s="72"/>
      <c r="AD52" s="72"/>
      <c r="AE52" s="72"/>
      <c r="AL52" s="73"/>
      <c r="BF52" s="115" t="s">
        <v>81</v>
      </c>
      <c r="BG52" s="115"/>
      <c r="BH52" s="115"/>
    </row>
    <row r="53" spans="1:62" s="5" customFormat="1" ht="15.75" thickBot="1" x14ac:dyDescent="0.3">
      <c r="A53" s="53"/>
      <c r="B53" s="56"/>
      <c r="C53" s="57"/>
      <c r="D53" s="53"/>
      <c r="E53" s="53"/>
      <c r="F53" s="58"/>
      <c r="G53" s="58"/>
      <c r="H53" s="58"/>
      <c r="I53" s="59"/>
      <c r="J53" s="58"/>
      <c r="K53" s="58"/>
      <c r="L53" s="58"/>
      <c r="M53" s="60"/>
      <c r="N53" s="61"/>
      <c r="O53" s="61"/>
      <c r="P53" s="53"/>
      <c r="Q53" s="62"/>
      <c r="R53" s="62"/>
      <c r="S53" s="59"/>
      <c r="T53" s="58"/>
      <c r="U53" s="58"/>
      <c r="V53" s="62"/>
      <c r="W53" s="62"/>
      <c r="X53" s="72"/>
      <c r="Y53" s="72"/>
      <c r="Z53" s="72"/>
      <c r="AA53" s="72"/>
      <c r="AC53" s="72"/>
      <c r="AD53" s="72"/>
      <c r="AE53" s="72"/>
      <c r="AL53" s="73"/>
    </row>
    <row r="54" spans="1:62" s="5" customFormat="1" ht="15.75" thickBot="1" x14ac:dyDescent="0.3">
      <c r="A54" s="53"/>
      <c r="B54" s="56"/>
      <c r="C54" s="57"/>
      <c r="D54" s="53"/>
      <c r="E54" s="53"/>
      <c r="F54" s="58"/>
      <c r="G54" s="58"/>
      <c r="H54" s="58"/>
      <c r="I54" s="59"/>
      <c r="J54" s="58"/>
      <c r="K54" s="58"/>
      <c r="L54" s="58"/>
      <c r="M54" s="60"/>
      <c r="N54" s="61"/>
      <c r="O54" s="61"/>
      <c r="P54" s="53"/>
      <c r="Q54" s="62"/>
      <c r="R54" s="62"/>
      <c r="S54" s="59"/>
      <c r="T54" s="58"/>
      <c r="U54" s="58"/>
      <c r="V54" s="62"/>
      <c r="W54" s="62"/>
      <c r="X54" s="72"/>
      <c r="Y54" s="72"/>
      <c r="Z54" s="72"/>
      <c r="AA54" s="72"/>
      <c r="AC54" s="72"/>
      <c r="AD54" s="72"/>
      <c r="AE54" s="72"/>
      <c r="AL54" s="73"/>
      <c r="BF54" s="118" t="s">
        <v>82</v>
      </c>
      <c r="BG54" s="119" t="s">
        <v>83</v>
      </c>
      <c r="BH54" s="120" t="s">
        <v>84</v>
      </c>
    </row>
    <row r="55" spans="1:62" s="5" customFormat="1" x14ac:dyDescent="0.25">
      <c r="A55" s="53"/>
      <c r="B55" s="56"/>
      <c r="C55" s="57"/>
      <c r="D55" s="53"/>
      <c r="E55" s="53"/>
      <c r="F55" s="58"/>
      <c r="G55" s="58"/>
      <c r="H55" s="58"/>
      <c r="I55" s="59"/>
      <c r="J55" s="58"/>
      <c r="K55" s="58"/>
      <c r="L55" s="58"/>
      <c r="M55" s="60"/>
      <c r="N55" s="61"/>
      <c r="O55" s="61"/>
      <c r="P55" s="53"/>
      <c r="Q55" s="62"/>
      <c r="R55" s="62"/>
      <c r="S55" s="59"/>
      <c r="T55" s="58"/>
      <c r="U55" s="58"/>
      <c r="V55" s="62"/>
      <c r="W55" s="62"/>
      <c r="X55" s="72"/>
      <c r="Y55" s="72"/>
      <c r="Z55" s="72"/>
      <c r="AA55" s="72"/>
      <c r="AC55" s="72"/>
      <c r="AD55" s="72"/>
      <c r="AE55" s="72"/>
      <c r="AL55" s="73"/>
      <c r="BF55" s="121" t="s">
        <v>85</v>
      </c>
      <c r="BG55" s="117">
        <v>0</v>
      </c>
      <c r="BH55" s="122">
        <v>4.29</v>
      </c>
    </row>
    <row r="56" spans="1:62" s="5" customFormat="1" x14ac:dyDescent="0.25">
      <c r="BF56" s="123" t="s">
        <v>86</v>
      </c>
      <c r="BG56" s="116">
        <v>0</v>
      </c>
      <c r="BH56" s="124">
        <v>4.0999999999999996</v>
      </c>
    </row>
    <row r="57" spans="1:62" x14ac:dyDescent="0.25">
      <c r="BF57" s="123" t="s">
        <v>87</v>
      </c>
      <c r="BG57" s="116">
        <v>0</v>
      </c>
      <c r="BH57" s="125">
        <v>3.48</v>
      </c>
    </row>
    <row r="58" spans="1:62" x14ac:dyDescent="0.25">
      <c r="BF58" s="123" t="s">
        <v>88</v>
      </c>
      <c r="BG58" s="116">
        <v>0</v>
      </c>
      <c r="BH58" s="125">
        <v>3.48</v>
      </c>
    </row>
    <row r="59" spans="1:6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BF59" s="123" t="s">
        <v>89</v>
      </c>
      <c r="BG59" s="116">
        <v>0</v>
      </c>
      <c r="BH59" s="125">
        <v>3.12</v>
      </c>
    </row>
    <row r="60" spans="1:62" x14ac:dyDescent="0.25">
      <c r="A60" s="53"/>
      <c r="B60" s="53"/>
      <c r="C60" s="53"/>
      <c r="D60" s="53"/>
      <c r="E60" s="53"/>
      <c r="F60" s="54"/>
      <c r="G60" s="53"/>
      <c r="H60" s="53"/>
      <c r="I60" s="53"/>
      <c r="J60" s="53"/>
      <c r="K60" s="53"/>
      <c r="L60" s="53"/>
      <c r="M60" s="55"/>
      <c r="N60" s="53"/>
      <c r="O60" s="53"/>
      <c r="P60" s="53"/>
      <c r="Q60" s="53"/>
      <c r="R60" s="53"/>
      <c r="S60" s="53"/>
      <c r="T60" s="53"/>
      <c r="U60" s="53"/>
      <c r="V60" s="53"/>
      <c r="W60" s="5"/>
      <c r="X60" s="53"/>
      <c r="Y60" s="53"/>
      <c r="Z60" s="53"/>
      <c r="AA60" s="53"/>
      <c r="AB60" s="53"/>
      <c r="AC60" s="53"/>
      <c r="AD60" s="53"/>
      <c r="AE60" s="53"/>
      <c r="AF60" s="3" t="s">
        <v>37</v>
      </c>
      <c r="AG60" s="3"/>
      <c r="AH60" s="3" t="s">
        <v>37</v>
      </c>
      <c r="AI60" s="3"/>
      <c r="AJ60" s="3" t="s">
        <v>38</v>
      </c>
      <c r="AK60" s="3"/>
      <c r="BF60" s="123" t="s">
        <v>90</v>
      </c>
      <c r="BG60" s="116">
        <v>0</v>
      </c>
      <c r="BH60" s="125">
        <v>2.94</v>
      </c>
    </row>
    <row r="61" spans="1:62" x14ac:dyDescent="0.25">
      <c r="A61" s="53"/>
      <c r="B61" s="56"/>
      <c r="C61" s="57"/>
      <c r="D61" s="53"/>
      <c r="E61" s="53"/>
      <c r="F61" s="58"/>
      <c r="G61" s="58"/>
      <c r="H61" s="58"/>
      <c r="I61" s="59"/>
      <c r="J61" s="58"/>
      <c r="K61" s="58"/>
      <c r="L61" s="58"/>
      <c r="M61" s="53"/>
      <c r="N61" s="53"/>
      <c r="O61" s="53"/>
      <c r="P61" s="53"/>
      <c r="Q61" s="62"/>
      <c r="R61" s="62"/>
      <c r="S61" s="62"/>
      <c r="T61" s="62"/>
      <c r="U61" s="62"/>
      <c r="V61" s="5"/>
      <c r="W61" s="5"/>
      <c r="X61" s="5"/>
      <c r="Y61" s="5"/>
      <c r="Z61" s="5"/>
      <c r="AA61" s="5"/>
      <c r="AB61" s="5"/>
      <c r="AC61" s="5"/>
      <c r="AD61" s="5"/>
      <c r="AE61" s="5"/>
      <c r="BF61" s="123" t="s">
        <v>91</v>
      </c>
      <c r="BG61" s="116">
        <v>0.01</v>
      </c>
      <c r="BH61" s="125">
        <v>2.29</v>
      </c>
    </row>
    <row r="62" spans="1:62" x14ac:dyDescent="0.25">
      <c r="A62" s="53"/>
      <c r="B62" s="56"/>
      <c r="C62" s="57"/>
      <c r="D62" s="53"/>
      <c r="E62" s="53"/>
      <c r="F62" s="58"/>
      <c r="G62" s="58"/>
      <c r="H62" s="58"/>
      <c r="I62" s="59"/>
      <c r="J62" s="58"/>
      <c r="K62" s="58"/>
      <c r="L62" s="58"/>
      <c r="M62" s="60"/>
      <c r="N62" s="61"/>
      <c r="O62" s="62"/>
      <c r="P62" s="62"/>
      <c r="Q62" s="62"/>
      <c r="R62" s="62"/>
      <c r="S62" s="59"/>
      <c r="T62" s="58"/>
      <c r="U62" s="58"/>
      <c r="V62" s="62"/>
      <c r="W62" s="62"/>
      <c r="X62" s="72"/>
      <c r="Y62" s="72"/>
      <c r="Z62" s="72"/>
      <c r="AA62" s="72"/>
      <c r="AB62" s="72"/>
      <c r="AC62" s="72"/>
      <c r="AD62" s="72"/>
      <c r="AE62" s="72"/>
      <c r="AF62" s="33">
        <v>349</v>
      </c>
      <c r="AH62" s="33">
        <v>339.5</v>
      </c>
      <c r="AL62" s="19" t="e">
        <f t="shared" ref="AL62:AL68" si="61">(Q62-Q61)/J62</f>
        <v>#DIV/0!</v>
      </c>
      <c r="BF62" s="123" t="s">
        <v>92</v>
      </c>
      <c r="BG62" s="116">
        <v>0.01</v>
      </c>
      <c r="BH62" s="125">
        <v>2.15</v>
      </c>
    </row>
    <row r="63" spans="1:62" x14ac:dyDescent="0.25">
      <c r="A63" s="53"/>
      <c r="B63" s="56"/>
      <c r="C63" s="57"/>
      <c r="D63" s="53"/>
      <c r="E63" s="53"/>
      <c r="F63" s="58"/>
      <c r="G63" s="58"/>
      <c r="H63" s="58"/>
      <c r="I63" s="59"/>
      <c r="J63" s="58"/>
      <c r="K63" s="58"/>
      <c r="L63" s="58"/>
      <c r="M63" s="60"/>
      <c r="N63" s="61"/>
      <c r="O63" s="62"/>
      <c r="P63" s="62"/>
      <c r="Q63" s="62"/>
      <c r="R63" s="62"/>
      <c r="S63" s="59"/>
      <c r="T63" s="58"/>
      <c r="U63" s="58"/>
      <c r="V63" s="62"/>
      <c r="W63" s="62"/>
      <c r="X63" s="72"/>
      <c r="Y63" s="72"/>
      <c r="Z63" s="72"/>
      <c r="AA63" s="72"/>
      <c r="AB63" s="72"/>
      <c r="AC63" s="72"/>
      <c r="AD63" s="72"/>
      <c r="AE63" s="72"/>
      <c r="AF63" s="33">
        <v>348.5</v>
      </c>
      <c r="AH63" s="33">
        <v>349.5</v>
      </c>
      <c r="AL63" s="19" t="e">
        <f t="shared" si="61"/>
        <v>#DIV/0!</v>
      </c>
      <c r="BF63" s="123" t="s">
        <v>93</v>
      </c>
      <c r="BG63" s="116">
        <v>0.02</v>
      </c>
      <c r="BH63" s="125">
        <v>1.81</v>
      </c>
    </row>
    <row r="64" spans="1:62" ht="15.75" thickBot="1" x14ac:dyDescent="0.3">
      <c r="A64" s="53"/>
      <c r="B64" s="56"/>
      <c r="C64" s="57"/>
      <c r="D64" s="53"/>
      <c r="E64" s="53"/>
      <c r="F64" s="58"/>
      <c r="G64" s="58"/>
      <c r="H64" s="58"/>
      <c r="I64" s="59"/>
      <c r="J64" s="58"/>
      <c r="K64" s="58"/>
      <c r="L64" s="58"/>
      <c r="M64" s="60"/>
      <c r="N64" s="61"/>
      <c r="O64" s="62"/>
      <c r="P64" s="62"/>
      <c r="Q64" s="62"/>
      <c r="R64" s="62"/>
      <c r="S64" s="59"/>
      <c r="T64" s="58"/>
      <c r="U64" s="58"/>
      <c r="V64" s="62"/>
      <c r="W64" s="62"/>
      <c r="X64" s="72"/>
      <c r="Y64" s="72"/>
      <c r="Z64" s="5"/>
      <c r="AA64" s="72"/>
      <c r="AB64" s="5"/>
      <c r="AC64" s="5"/>
      <c r="AD64" s="5"/>
      <c r="AE64" s="5"/>
      <c r="AL64" s="19" t="e">
        <f t="shared" si="61"/>
        <v>#DIV/0!</v>
      </c>
      <c r="BF64" s="126" t="s">
        <v>94</v>
      </c>
      <c r="BG64" s="127">
        <v>0.2</v>
      </c>
      <c r="BH64" s="128">
        <v>1.75</v>
      </c>
    </row>
    <row r="65" spans="1:52" ht="15.75" thickBot="1" x14ac:dyDescent="0.3">
      <c r="A65" s="53"/>
      <c r="B65" s="56"/>
      <c r="C65" s="57"/>
      <c r="D65" s="53"/>
      <c r="E65" s="53"/>
      <c r="F65" s="58"/>
      <c r="G65" s="58"/>
      <c r="H65" s="58"/>
      <c r="I65" s="59"/>
      <c r="J65" s="58"/>
      <c r="K65" s="58"/>
      <c r="L65" s="58"/>
      <c r="M65" s="60"/>
      <c r="N65" s="61"/>
      <c r="O65" s="62"/>
      <c r="P65" s="62"/>
      <c r="Q65" s="62"/>
      <c r="R65" s="62"/>
      <c r="S65" s="59"/>
      <c r="T65" s="58"/>
      <c r="U65" s="58"/>
      <c r="V65" s="62"/>
      <c r="W65" s="62"/>
      <c r="X65" s="72"/>
      <c r="Y65" s="72"/>
      <c r="Z65" s="5"/>
      <c r="AA65" s="72"/>
      <c r="AB65" s="5"/>
      <c r="AC65" s="5"/>
      <c r="AD65" s="5"/>
      <c r="AE65" s="5"/>
      <c r="AL65" s="19" t="e">
        <f t="shared" si="61"/>
        <v>#DIV/0!</v>
      </c>
    </row>
    <row r="66" spans="1:52" ht="24" thickBot="1" x14ac:dyDescent="0.3">
      <c r="A66" s="53"/>
      <c r="B66" s="56"/>
      <c r="C66" s="57"/>
      <c r="D66" s="63"/>
      <c r="E66" s="63"/>
      <c r="F66" s="58"/>
      <c r="G66" s="58"/>
      <c r="H66" s="58"/>
      <c r="I66" s="59"/>
      <c r="J66" s="58"/>
      <c r="K66" s="58"/>
      <c r="L66" s="58"/>
      <c r="M66" s="60"/>
      <c r="N66" s="61"/>
      <c r="O66" s="61"/>
      <c r="P66" s="53"/>
      <c r="Q66" s="62"/>
      <c r="R66" s="62"/>
      <c r="S66" s="59"/>
      <c r="T66" s="58"/>
      <c r="U66" s="58"/>
      <c r="V66" s="62"/>
      <c r="W66" s="62"/>
      <c r="X66" s="72"/>
      <c r="Y66" s="72"/>
      <c r="Z66" s="5"/>
      <c r="AA66" s="72"/>
      <c r="AB66" s="5"/>
      <c r="AC66" s="72"/>
      <c r="AD66" s="72"/>
      <c r="AE66" s="72"/>
      <c r="AF66" s="33">
        <v>398</v>
      </c>
      <c r="AH66" s="33">
        <v>400</v>
      </c>
      <c r="AL66" s="19" t="e">
        <f t="shared" si="61"/>
        <v>#DIV/0!</v>
      </c>
      <c r="AW66" s="24" t="s">
        <v>25</v>
      </c>
      <c r="AX66" s="25" t="s">
        <v>24</v>
      </c>
      <c r="AY66" s="26" t="s">
        <v>26</v>
      </c>
      <c r="AZ66" s="31" t="s">
        <v>22</v>
      </c>
    </row>
    <row r="67" spans="1:52" ht="24" thickBot="1" x14ac:dyDescent="0.3">
      <c r="A67" s="53"/>
      <c r="B67" s="56"/>
      <c r="C67" s="57"/>
      <c r="D67" s="63"/>
      <c r="E67" s="63"/>
      <c r="F67" s="58"/>
      <c r="G67" s="58"/>
      <c r="H67" s="58"/>
      <c r="I67" s="59"/>
      <c r="J67" s="58"/>
      <c r="K67" s="58"/>
      <c r="L67" s="58"/>
      <c r="M67" s="60"/>
      <c r="N67" s="61"/>
      <c r="O67" s="61"/>
      <c r="P67" s="53"/>
      <c r="Q67" s="62"/>
      <c r="R67" s="62"/>
      <c r="S67" s="59"/>
      <c r="T67" s="58"/>
      <c r="U67" s="58"/>
      <c r="V67" s="62"/>
      <c r="W67" s="62"/>
      <c r="X67" s="72"/>
      <c r="Y67" s="72"/>
      <c r="Z67" s="5"/>
      <c r="AA67" s="72"/>
      <c r="AB67" s="5"/>
      <c r="AC67" s="72"/>
      <c r="AD67" s="72"/>
      <c r="AE67" s="72"/>
      <c r="AF67" s="33">
        <v>411</v>
      </c>
      <c r="AH67" s="33">
        <v>411</v>
      </c>
      <c r="AL67" s="19" t="e">
        <f t="shared" si="61"/>
        <v>#DIV/0!</v>
      </c>
      <c r="AW67" s="27" t="s">
        <v>0</v>
      </c>
      <c r="AX67" s="32">
        <f>AZ67*POWER(10,6)*24</f>
        <v>2.3016000000000001</v>
      </c>
      <c r="AY67" s="28">
        <v>0.99399999999999999</v>
      </c>
      <c r="AZ67" s="19">
        <v>9.5900000000000005E-8</v>
      </c>
    </row>
    <row r="68" spans="1:52" ht="24" thickBot="1" x14ac:dyDescent="0.3">
      <c r="A68" s="53"/>
      <c r="B68" s="56"/>
      <c r="C68" s="57"/>
      <c r="D68" s="63"/>
      <c r="E68" s="63"/>
      <c r="F68" s="58"/>
      <c r="G68" s="58"/>
      <c r="H68" s="58"/>
      <c r="I68" s="59"/>
      <c r="J68" s="58"/>
      <c r="K68" s="58"/>
      <c r="L68" s="58"/>
      <c r="M68" s="60"/>
      <c r="N68" s="61"/>
      <c r="O68" s="61"/>
      <c r="P68" s="53"/>
      <c r="Q68" s="62"/>
      <c r="R68" s="62"/>
      <c r="S68" s="59"/>
      <c r="T68" s="58"/>
      <c r="U68" s="58"/>
      <c r="V68" s="62"/>
      <c r="W68" s="62"/>
      <c r="X68" s="72"/>
      <c r="Y68" s="72"/>
      <c r="Z68" s="5"/>
      <c r="AA68" s="72"/>
      <c r="AB68" s="5"/>
      <c r="AC68" s="72"/>
      <c r="AD68" s="72"/>
      <c r="AE68" s="72"/>
      <c r="AF68" s="33">
        <v>437</v>
      </c>
      <c r="AH68" s="33">
        <v>433</v>
      </c>
      <c r="AL68" s="19" t="e">
        <f t="shared" si="61"/>
        <v>#DIV/0!</v>
      </c>
      <c r="AW68" s="29" t="s">
        <v>14</v>
      </c>
      <c r="AX68" s="32">
        <f t="shared" ref="AX68:AX73" si="62">AZ68*POWER(10,6)*24</f>
        <v>3.3840000000000003</v>
      </c>
      <c r="AY68" s="30">
        <v>0.995</v>
      </c>
      <c r="AZ68" s="19">
        <v>1.4100000000000001E-7</v>
      </c>
    </row>
    <row r="69" spans="1:52" s="33" customFormat="1" ht="24" thickBot="1" x14ac:dyDescent="0.3">
      <c r="A69" s="53"/>
      <c r="B69" s="56"/>
      <c r="C69" s="57"/>
      <c r="D69" s="63"/>
      <c r="E69" s="63"/>
      <c r="F69" s="58"/>
      <c r="G69" s="58"/>
      <c r="H69" s="58"/>
      <c r="I69" s="59"/>
      <c r="J69" s="58"/>
      <c r="K69" s="58"/>
      <c r="L69" s="58"/>
      <c r="M69" s="60"/>
      <c r="N69" s="61"/>
      <c r="O69" s="61"/>
      <c r="P69" s="53"/>
      <c r="Q69" s="62"/>
      <c r="R69" s="62"/>
      <c r="S69" s="59"/>
      <c r="T69" s="58"/>
      <c r="U69" s="58"/>
      <c r="V69" s="62"/>
      <c r="W69" s="62"/>
      <c r="X69" s="72"/>
      <c r="Y69" s="72"/>
      <c r="Z69" s="5"/>
      <c r="AA69" s="72"/>
      <c r="AB69" s="5"/>
      <c r="AC69" s="72"/>
      <c r="AD69" s="72"/>
      <c r="AE69" s="72"/>
      <c r="AL69" s="19"/>
      <c r="AW69" s="29"/>
      <c r="AX69" s="32"/>
      <c r="AY69" s="30"/>
      <c r="AZ69" s="19"/>
    </row>
    <row r="70" spans="1:52" s="33" customFormat="1" ht="24" thickBot="1" x14ac:dyDescent="0.3">
      <c r="A70" s="53"/>
      <c r="B70" s="56"/>
      <c r="C70" s="57"/>
      <c r="D70" s="63"/>
      <c r="E70" s="63"/>
      <c r="F70" s="58"/>
      <c r="G70" s="58"/>
      <c r="H70" s="58"/>
      <c r="I70" s="59"/>
      <c r="J70" s="58"/>
      <c r="K70" s="58"/>
      <c r="L70" s="58"/>
      <c r="M70" s="60"/>
      <c r="N70" s="61"/>
      <c r="O70" s="61"/>
      <c r="P70" s="53"/>
      <c r="Q70" s="62"/>
      <c r="R70" s="62"/>
      <c r="S70" s="59"/>
      <c r="T70" s="58"/>
      <c r="U70" s="58"/>
      <c r="V70" s="62"/>
      <c r="W70" s="62"/>
      <c r="X70" s="72"/>
      <c r="Y70" s="72"/>
      <c r="Z70" s="5"/>
      <c r="AA70" s="72"/>
      <c r="AB70" s="5"/>
      <c r="AC70" s="72"/>
      <c r="AD70" s="72"/>
      <c r="AE70" s="72"/>
      <c r="AL70" s="19"/>
      <c r="AW70" s="29"/>
      <c r="AX70" s="32"/>
      <c r="AY70" s="30"/>
      <c r="AZ70" s="19"/>
    </row>
    <row r="71" spans="1:52" s="33" customFormat="1" ht="24" thickBot="1" x14ac:dyDescent="0.3">
      <c r="A71" s="53"/>
      <c r="B71" s="56"/>
      <c r="C71" s="57"/>
      <c r="D71" s="63"/>
      <c r="E71" s="63"/>
      <c r="F71" s="58"/>
      <c r="G71" s="58"/>
      <c r="H71" s="58"/>
      <c r="I71" s="59"/>
      <c r="J71" s="58"/>
      <c r="K71" s="58"/>
      <c r="L71" s="58"/>
      <c r="M71" s="60"/>
      <c r="N71" s="61"/>
      <c r="O71" s="61"/>
      <c r="P71" s="53"/>
      <c r="Q71" s="62"/>
      <c r="R71" s="62"/>
      <c r="S71" s="59"/>
      <c r="T71" s="58"/>
      <c r="U71" s="58"/>
      <c r="V71" s="62"/>
      <c r="W71" s="62"/>
      <c r="X71" s="72"/>
      <c r="Y71" s="72"/>
      <c r="Z71" s="5"/>
      <c r="AA71" s="72"/>
      <c r="AB71" s="5"/>
      <c r="AC71" s="72"/>
      <c r="AD71" s="72"/>
      <c r="AE71" s="72"/>
      <c r="AL71" s="19"/>
      <c r="AW71" s="29"/>
      <c r="AX71" s="32"/>
      <c r="AY71" s="30"/>
      <c r="AZ71" s="19"/>
    </row>
    <row r="72" spans="1:52" ht="24" thickBot="1" x14ac:dyDescent="0.3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W72" s="29" t="s">
        <v>7</v>
      </c>
      <c r="AX72" s="32">
        <f t="shared" si="62"/>
        <v>4.08</v>
      </c>
      <c r="AY72" s="30">
        <v>0.99299999999999999</v>
      </c>
      <c r="AZ72" s="19">
        <v>1.6999999999999999E-7</v>
      </c>
    </row>
    <row r="73" spans="1:52" ht="23.25" x14ac:dyDescent="0.25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W73" s="29" t="s">
        <v>17</v>
      </c>
      <c r="AX73" s="32">
        <f t="shared" si="62"/>
        <v>5.2320000000000002</v>
      </c>
      <c r="AY73" s="30">
        <v>0.99399999999999999</v>
      </c>
      <c r="AZ73" s="19">
        <v>2.1799999999999999E-7</v>
      </c>
    </row>
    <row r="74" spans="1:52" s="33" customForma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52" s="33" customFormat="1" x14ac:dyDescent="0.25">
      <c r="A75" s="53"/>
      <c r="B75" s="53"/>
      <c r="C75" s="53"/>
      <c r="D75" s="53"/>
      <c r="E75" s="53"/>
      <c r="F75" s="54"/>
      <c r="G75" s="53"/>
      <c r="H75" s="53"/>
      <c r="I75" s="53"/>
      <c r="J75" s="53"/>
      <c r="K75" s="53"/>
      <c r="L75" s="53"/>
      <c r="M75" s="55"/>
      <c r="N75" s="53"/>
      <c r="O75" s="53"/>
      <c r="P75" s="53"/>
      <c r="Q75" s="53"/>
      <c r="R75" s="53"/>
      <c r="S75" s="53"/>
      <c r="T75" s="53"/>
      <c r="U75" s="53"/>
      <c r="V75" s="53"/>
      <c r="W75" s="5"/>
      <c r="X75" s="53"/>
      <c r="Y75" s="53"/>
      <c r="Z75" s="53"/>
      <c r="AA75" s="53"/>
      <c r="AB75" s="53"/>
      <c r="AC75" s="53"/>
      <c r="AD75" s="53"/>
      <c r="AE75" s="53"/>
      <c r="AF75" s="3" t="s">
        <v>37</v>
      </c>
      <c r="AG75" s="3"/>
      <c r="AH75" s="3" t="s">
        <v>37</v>
      </c>
      <c r="AI75" s="3"/>
      <c r="AJ75" s="3" t="s">
        <v>38</v>
      </c>
      <c r="AK75" s="3"/>
    </row>
    <row r="76" spans="1:52" s="33" customFormat="1" x14ac:dyDescent="0.25">
      <c r="A76" s="53"/>
      <c r="B76" s="56"/>
      <c r="C76" s="57"/>
      <c r="D76" s="53"/>
      <c r="E76" s="53"/>
      <c r="F76" s="58"/>
      <c r="G76" s="58"/>
      <c r="H76" s="58"/>
      <c r="I76" s="59"/>
      <c r="J76" s="58"/>
      <c r="K76" s="58"/>
      <c r="L76" s="58"/>
      <c r="M76" s="53"/>
      <c r="N76" s="53"/>
      <c r="O76" s="53"/>
      <c r="P76" s="53"/>
      <c r="Q76" s="62"/>
      <c r="R76" s="62"/>
      <c r="S76" s="62"/>
      <c r="T76" s="62"/>
      <c r="U76" s="62"/>
      <c r="V76" s="62"/>
      <c r="W76" s="62"/>
      <c r="X76" s="5"/>
      <c r="Y76" s="5"/>
      <c r="Z76" s="5"/>
      <c r="AA76" s="5"/>
      <c r="AB76" s="5"/>
      <c r="AC76" s="5"/>
      <c r="AD76" s="5"/>
      <c r="AE76" s="5"/>
    </row>
    <row r="77" spans="1:52" s="33" customFormat="1" x14ac:dyDescent="0.25">
      <c r="A77" s="53"/>
      <c r="B77" s="56"/>
      <c r="C77" s="57"/>
      <c r="D77" s="53"/>
      <c r="E77" s="53"/>
      <c r="F77" s="58"/>
      <c r="G77" s="58"/>
      <c r="H77" s="58"/>
      <c r="I77" s="59"/>
      <c r="J77" s="58"/>
      <c r="K77" s="58"/>
      <c r="L77" s="58"/>
      <c r="M77" s="60"/>
      <c r="N77" s="61"/>
      <c r="O77" s="62"/>
      <c r="P77" s="62"/>
      <c r="Q77" s="62"/>
      <c r="R77" s="62"/>
      <c r="S77" s="59"/>
      <c r="T77" s="58"/>
      <c r="U77" s="58"/>
      <c r="V77" s="62"/>
      <c r="W77" s="62"/>
      <c r="X77" s="72"/>
      <c r="Y77" s="72"/>
      <c r="Z77" s="72"/>
      <c r="AA77" s="72"/>
      <c r="AB77" s="72"/>
      <c r="AC77" s="72"/>
      <c r="AD77" s="72"/>
      <c r="AE77" s="72"/>
      <c r="AF77" s="33">
        <v>349</v>
      </c>
      <c r="AH77" s="33">
        <v>339.5</v>
      </c>
      <c r="AL77" s="19" t="e">
        <f t="shared" ref="AL77:AL80" si="63">(Q77-Q76)/J77</f>
        <v>#DIV/0!</v>
      </c>
    </row>
    <row r="78" spans="1:52" s="33" customFormat="1" x14ac:dyDescent="0.25">
      <c r="A78" s="53"/>
      <c r="B78" s="56"/>
      <c r="C78" s="57"/>
      <c r="D78" s="53"/>
      <c r="E78" s="53"/>
      <c r="F78" s="58"/>
      <c r="G78" s="58"/>
      <c r="H78" s="58"/>
      <c r="I78" s="59"/>
      <c r="J78" s="58"/>
      <c r="K78" s="58"/>
      <c r="L78" s="58"/>
      <c r="M78" s="60"/>
      <c r="N78" s="61"/>
      <c r="O78" s="62"/>
      <c r="P78" s="62"/>
      <c r="Q78" s="62"/>
      <c r="R78" s="62"/>
      <c r="S78" s="13" t="e">
        <f t="shared" ref="S78:S80" si="64">R78/Q78</f>
        <v>#DIV/0!</v>
      </c>
      <c r="T78" s="12" t="e">
        <f t="shared" ref="T78:T80" si="65">(O78-O77)/(J78-J77)</f>
        <v>#DIV/0!</v>
      </c>
      <c r="U78" s="12" t="e">
        <f t="shared" ref="U78:U80" si="66">(P78-P77)/(J78-J77)</f>
        <v>#DIV/0!</v>
      </c>
      <c r="V78" s="18" t="e">
        <f t="shared" ref="V78:V80" si="67">(Q78-Q77)/(J78-J77)</f>
        <v>#DIV/0!</v>
      </c>
      <c r="W78" s="18" t="e">
        <f t="shared" ref="W78:W80" si="68">(R78-R77)/(M78-M77)</f>
        <v>#DIV/0!</v>
      </c>
      <c r="X78" s="34" t="e">
        <f>#REF!</f>
        <v>#REF!</v>
      </c>
      <c r="Y78" s="34" t="e">
        <f>((X78-X77)/(Control!J78))*POWER(10,9)</f>
        <v>#REF!</v>
      </c>
      <c r="Z78" s="34" t="e">
        <f>#REF!</f>
        <v>#REF!</v>
      </c>
      <c r="AA78" s="34" t="e">
        <f>((Z78-Z77)/(Control!J78))*POWER(10,9)</f>
        <v>#REF!</v>
      </c>
      <c r="AB78" s="34" t="e">
        <f>#REF!</f>
        <v>#REF!</v>
      </c>
      <c r="AC78" s="34" t="e">
        <f>(((AB78+AB77)/2)*(D78-D77))+AC77</f>
        <v>#REF!</v>
      </c>
      <c r="AD78" s="34" t="e">
        <f>(((AB78-AB77)+($AC$2*AC78))/J78)*POWER(10,9)</f>
        <v>#REF!</v>
      </c>
      <c r="AE78" s="34"/>
      <c r="AF78" s="33">
        <v>348.5</v>
      </c>
      <c r="AH78" s="33">
        <v>349.5</v>
      </c>
      <c r="AL78" s="19" t="e">
        <f t="shared" si="63"/>
        <v>#DIV/0!</v>
      </c>
    </row>
    <row r="79" spans="1:52" s="33" customFormat="1" x14ac:dyDescent="0.25">
      <c r="A79" s="53"/>
      <c r="B79" s="56"/>
      <c r="C79" s="57"/>
      <c r="D79" s="53"/>
      <c r="E79" s="53"/>
      <c r="F79" s="58"/>
      <c r="G79" s="58"/>
      <c r="H79" s="58"/>
      <c r="I79" s="59"/>
      <c r="J79" s="58"/>
      <c r="K79" s="58"/>
      <c r="L79" s="58"/>
      <c r="M79" s="60"/>
      <c r="N79" s="61"/>
      <c r="O79" s="62"/>
      <c r="P79" s="62"/>
      <c r="Q79" s="62"/>
      <c r="R79" s="62"/>
      <c r="S79" s="13" t="e">
        <f t="shared" si="64"/>
        <v>#DIV/0!</v>
      </c>
      <c r="T79" s="12" t="e">
        <f t="shared" si="65"/>
        <v>#DIV/0!</v>
      </c>
      <c r="U79" s="12" t="e">
        <f t="shared" si="66"/>
        <v>#DIV/0!</v>
      </c>
      <c r="V79" s="18" t="e">
        <f t="shared" si="67"/>
        <v>#DIV/0!</v>
      </c>
      <c r="W79" s="18" t="e">
        <f t="shared" si="68"/>
        <v>#DIV/0!</v>
      </c>
      <c r="X79" s="34"/>
      <c r="Y79" s="34"/>
      <c r="AA79" s="34"/>
      <c r="AL79" s="19" t="e">
        <f t="shared" si="63"/>
        <v>#DIV/0!</v>
      </c>
    </row>
    <row r="80" spans="1:52" s="33" customFormat="1" ht="15.75" thickBot="1" x14ac:dyDescent="0.3">
      <c r="A80" s="53"/>
      <c r="B80" s="56"/>
      <c r="C80" s="57"/>
      <c r="D80" s="53"/>
      <c r="E80" s="53"/>
      <c r="F80" s="58"/>
      <c r="G80" s="58"/>
      <c r="H80" s="58"/>
      <c r="I80" s="59"/>
      <c r="J80" s="58"/>
      <c r="K80" s="58"/>
      <c r="L80" s="58"/>
      <c r="M80" s="60"/>
      <c r="N80" s="61"/>
      <c r="O80" s="62"/>
      <c r="P80" s="62"/>
      <c r="Q80" s="62"/>
      <c r="R80" s="62"/>
      <c r="S80" s="13" t="e">
        <f t="shared" si="64"/>
        <v>#DIV/0!</v>
      </c>
      <c r="T80" s="12" t="e">
        <f t="shared" si="65"/>
        <v>#DIV/0!</v>
      </c>
      <c r="U80" s="12" t="e">
        <f t="shared" si="66"/>
        <v>#DIV/0!</v>
      </c>
      <c r="V80" s="18" t="e">
        <f t="shared" si="67"/>
        <v>#DIV/0!</v>
      </c>
      <c r="W80" s="18" t="e">
        <f t="shared" si="68"/>
        <v>#DIV/0!</v>
      </c>
      <c r="X80" s="34"/>
      <c r="Y80" s="34"/>
      <c r="AA80" s="34"/>
      <c r="AL80" s="19" t="e">
        <f t="shared" si="63"/>
        <v>#DIV/0!</v>
      </c>
    </row>
    <row r="81" spans="1:52" s="33" customFormat="1" ht="24" thickBot="1" x14ac:dyDescent="0.3">
      <c r="A81" s="53"/>
      <c r="B81" s="56"/>
      <c r="C81" s="57"/>
      <c r="D81" s="63"/>
      <c r="E81" s="63"/>
      <c r="F81" s="58"/>
      <c r="G81" s="58"/>
      <c r="H81" s="58"/>
      <c r="I81" s="59"/>
      <c r="J81" s="58"/>
      <c r="K81" s="58"/>
      <c r="L81" s="58"/>
      <c r="M81" s="60"/>
      <c r="N81" s="61"/>
      <c r="O81" s="61"/>
      <c r="P81" s="53"/>
      <c r="Q81" s="62"/>
      <c r="R81" s="62"/>
      <c r="S81" s="13"/>
      <c r="T81" s="12"/>
      <c r="U81" s="12"/>
      <c r="V81" s="18"/>
      <c r="W81" s="18"/>
      <c r="X81" s="34"/>
      <c r="Y81" s="34"/>
      <c r="AA81" s="34"/>
      <c r="AC81" s="34"/>
      <c r="AD81" s="34"/>
      <c r="AE81" s="34"/>
      <c r="AL81" s="19"/>
      <c r="AW81" s="24"/>
      <c r="AX81" s="25"/>
      <c r="AY81" s="26"/>
      <c r="AZ81" s="31"/>
    </row>
    <row r="82" spans="1:52" s="33" customFormat="1" ht="24" thickBot="1" x14ac:dyDescent="0.3">
      <c r="A82" s="53"/>
      <c r="B82" s="56"/>
      <c r="C82" s="57"/>
      <c r="D82" s="63"/>
      <c r="E82" s="63"/>
      <c r="F82" s="58"/>
      <c r="G82" s="58"/>
      <c r="H82" s="58"/>
      <c r="I82" s="59"/>
      <c r="J82" s="58"/>
      <c r="K82" s="58"/>
      <c r="L82" s="58"/>
      <c r="M82" s="60"/>
      <c r="N82" s="61"/>
      <c r="O82" s="61"/>
      <c r="P82" s="53"/>
      <c r="Q82" s="62"/>
      <c r="R82" s="62"/>
      <c r="S82" s="13"/>
      <c r="T82" s="12"/>
      <c r="U82" s="12"/>
      <c r="V82" s="18"/>
      <c r="W82" s="18"/>
      <c r="X82" s="34"/>
      <c r="Y82" s="34"/>
      <c r="AA82" s="34"/>
      <c r="AC82" s="34"/>
      <c r="AD82" s="34"/>
      <c r="AE82" s="34"/>
      <c r="AL82" s="19"/>
      <c r="AW82" s="27"/>
      <c r="AX82" s="32"/>
      <c r="AY82" s="28"/>
      <c r="AZ82" s="19"/>
    </row>
    <row r="83" spans="1:52" s="33" customFormat="1" ht="23.25" x14ac:dyDescent="0.25">
      <c r="A83" s="53"/>
      <c r="B83" s="56"/>
      <c r="C83" s="57"/>
      <c r="D83" s="63"/>
      <c r="E83" s="63"/>
      <c r="F83" s="58"/>
      <c r="G83" s="58"/>
      <c r="H83" s="58"/>
      <c r="I83" s="59"/>
      <c r="J83" s="58"/>
      <c r="K83" s="58"/>
      <c r="L83" s="58"/>
      <c r="M83" s="60"/>
      <c r="N83" s="61"/>
      <c r="O83" s="61"/>
      <c r="P83" s="53"/>
      <c r="Q83" s="62"/>
      <c r="R83" s="62"/>
      <c r="S83" s="13"/>
      <c r="T83" s="12"/>
      <c r="U83" s="12"/>
      <c r="V83" s="18"/>
      <c r="W83" s="18"/>
      <c r="X83" s="34"/>
      <c r="Y83" s="34"/>
      <c r="AA83" s="34"/>
      <c r="AC83" s="34"/>
      <c r="AD83" s="34"/>
      <c r="AE83" s="34"/>
      <c r="AL83" s="19"/>
      <c r="AW83" s="29"/>
      <c r="AX83" s="32"/>
      <c r="AY83" s="30"/>
      <c r="AZ83" s="19"/>
    </row>
    <row r="84" spans="1:52" s="33" customFormat="1" ht="23.25" x14ac:dyDescent="0.25">
      <c r="A84" s="53"/>
      <c r="B84" s="56"/>
      <c r="C84" s="57"/>
      <c r="D84" s="63"/>
      <c r="E84" s="63"/>
      <c r="F84" s="58"/>
      <c r="G84" s="58"/>
      <c r="H84" s="58"/>
      <c r="I84" s="59"/>
      <c r="J84" s="58"/>
      <c r="K84" s="58"/>
      <c r="L84" s="58"/>
      <c r="M84" s="60"/>
      <c r="N84" s="61"/>
      <c r="O84" s="61"/>
      <c r="P84" s="53"/>
      <c r="Q84" s="62"/>
      <c r="R84" s="62"/>
      <c r="S84" s="13"/>
      <c r="T84" s="12"/>
      <c r="U84" s="12"/>
      <c r="V84" s="18"/>
      <c r="W84" s="18"/>
      <c r="X84" s="34"/>
      <c r="Y84" s="34"/>
      <c r="AA84" s="34"/>
      <c r="AC84" s="34"/>
      <c r="AD84" s="34"/>
      <c r="AE84" s="34"/>
      <c r="AL84" s="19"/>
      <c r="AW84" s="45"/>
      <c r="AX84" s="46"/>
      <c r="AY84" s="47"/>
      <c r="AZ84" s="19"/>
    </row>
    <row r="85" spans="1:52" s="33" customFormat="1" ht="23.25" x14ac:dyDescent="0.25">
      <c r="A85" s="53"/>
      <c r="B85" s="56"/>
      <c r="C85" s="57"/>
      <c r="D85" s="63"/>
      <c r="E85" s="63"/>
      <c r="F85" s="58"/>
      <c r="G85" s="58"/>
      <c r="H85" s="58"/>
      <c r="I85" s="59"/>
      <c r="J85" s="58"/>
      <c r="K85" s="58"/>
      <c r="L85" s="58"/>
      <c r="M85" s="60"/>
      <c r="N85" s="61"/>
      <c r="O85" s="61"/>
      <c r="P85" s="53"/>
      <c r="Q85" s="62"/>
      <c r="R85" s="62"/>
      <c r="S85" s="13"/>
      <c r="T85" s="12"/>
      <c r="U85" s="12"/>
      <c r="V85" s="18"/>
      <c r="W85" s="18"/>
      <c r="X85" s="34"/>
      <c r="Y85" s="34"/>
      <c r="AA85" s="34"/>
      <c r="AC85" s="34"/>
      <c r="AD85" s="34"/>
      <c r="AE85" s="34"/>
      <c r="AL85" s="19"/>
      <c r="AW85" s="45"/>
      <c r="AX85" s="46"/>
      <c r="AY85" s="47"/>
      <c r="AZ85" s="19"/>
    </row>
    <row r="86" spans="1:52" s="33" customFormat="1" ht="23.25" x14ac:dyDescent="0.25">
      <c r="A86" s="53"/>
      <c r="B86" s="56"/>
      <c r="C86" s="57"/>
      <c r="D86" s="63"/>
      <c r="E86" s="63"/>
      <c r="F86" s="58"/>
      <c r="G86" s="58"/>
      <c r="H86" s="58"/>
      <c r="I86" s="59"/>
      <c r="J86" s="58"/>
      <c r="K86" s="58"/>
      <c r="L86" s="58"/>
      <c r="M86" s="60"/>
      <c r="N86" s="61"/>
      <c r="O86" s="61"/>
      <c r="P86" s="53"/>
      <c r="Q86" s="62"/>
      <c r="R86" s="62"/>
      <c r="S86" s="13"/>
      <c r="T86" s="12"/>
      <c r="U86" s="12"/>
      <c r="V86" s="18"/>
      <c r="W86" s="18"/>
      <c r="X86" s="34"/>
      <c r="Y86" s="34"/>
      <c r="AA86" s="34"/>
      <c r="AC86" s="34"/>
      <c r="AD86" s="34"/>
      <c r="AE86" s="34"/>
      <c r="AL86" s="19"/>
      <c r="AW86" s="45"/>
      <c r="AX86" s="46"/>
      <c r="AY86" s="47"/>
      <c r="AZ86" s="19"/>
    </row>
    <row r="87" spans="1:5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95" spans="1:52" x14ac:dyDescent="0.25">
      <c r="A95" s="1"/>
      <c r="B95" s="19"/>
      <c r="C95" s="19"/>
      <c r="D95" s="20"/>
      <c r="E95" s="21"/>
      <c r="F95" s="22"/>
    </row>
    <row r="96" spans="1:52" s="33" customFormat="1" x14ac:dyDescent="0.25">
      <c r="A96" s="1"/>
      <c r="B96" s="19"/>
      <c r="C96" s="19"/>
      <c r="D96" s="20"/>
      <c r="E96" s="34"/>
      <c r="F96" s="22"/>
    </row>
    <row r="97" spans="1:7" x14ac:dyDescent="0.25">
      <c r="A97" s="1"/>
      <c r="B97" s="19"/>
      <c r="C97" s="19"/>
      <c r="D97" s="20"/>
      <c r="E97" s="21"/>
      <c r="F97" s="22"/>
    </row>
    <row r="98" spans="1:7" x14ac:dyDescent="0.25">
      <c r="A98" s="1"/>
      <c r="B98" s="19"/>
      <c r="C98" s="19"/>
      <c r="D98" s="20"/>
      <c r="E98" s="21"/>
      <c r="F98" s="22"/>
    </row>
    <row r="99" spans="1:7" x14ac:dyDescent="0.25">
      <c r="A99" s="1"/>
      <c r="B99" s="19"/>
      <c r="C99" s="19"/>
      <c r="D99" s="20"/>
      <c r="E99" s="21"/>
      <c r="F99" s="22"/>
    </row>
    <row r="100" spans="1:7" s="33" customFormat="1" x14ac:dyDescent="0.25">
      <c r="A100" s="1"/>
      <c r="B100" s="19"/>
      <c r="C100" s="19"/>
      <c r="D100" s="20"/>
      <c r="E100" s="34"/>
      <c r="F100" s="22"/>
    </row>
    <row r="101" spans="1:7" x14ac:dyDescent="0.25">
      <c r="A101" s="15"/>
      <c r="B101" s="19"/>
      <c r="C101" s="19"/>
      <c r="D101" s="20"/>
      <c r="E101" s="21"/>
      <c r="F101" s="22"/>
    </row>
    <row r="105" spans="1:7" x14ac:dyDescent="0.25">
      <c r="A105" s="1"/>
      <c r="B105" s="19"/>
      <c r="C105" s="19"/>
      <c r="D105" s="20"/>
      <c r="E105" s="21"/>
      <c r="F105" s="22"/>
    </row>
    <row r="106" spans="1:7" x14ac:dyDescent="0.25">
      <c r="A106" s="1"/>
      <c r="B106" s="19"/>
      <c r="C106" s="19"/>
      <c r="D106" s="20"/>
      <c r="E106" s="21"/>
      <c r="F106" s="22"/>
      <c r="G106" s="21"/>
    </row>
    <row r="107" spans="1:7" x14ac:dyDescent="0.25">
      <c r="A107" s="1"/>
      <c r="B107" s="19"/>
      <c r="C107" s="19"/>
      <c r="D107" s="20"/>
      <c r="E107" s="21"/>
      <c r="F107" s="22"/>
      <c r="G107" s="21"/>
    </row>
    <row r="108" spans="1:7" x14ac:dyDescent="0.25">
      <c r="A108" s="1"/>
      <c r="B108" s="19"/>
      <c r="C108" s="19"/>
      <c r="D108" s="20"/>
      <c r="E108" s="21"/>
      <c r="F108" s="22"/>
      <c r="G108" s="21"/>
    </row>
    <row r="109" spans="1:7" x14ac:dyDescent="0.25">
      <c r="A109" s="15"/>
      <c r="B109" s="19"/>
      <c r="C109" s="19"/>
      <c r="D109" s="20"/>
      <c r="E109" s="21"/>
      <c r="F109" s="22"/>
      <c r="G109" s="21"/>
    </row>
  </sheetData>
  <mergeCells count="3">
    <mergeCell ref="AX47:AY47"/>
    <mergeCell ref="AX48:AY48"/>
    <mergeCell ref="BF41:BH4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2"/>
  <sheetViews>
    <sheetView workbookViewId="0">
      <selection activeCell="C15" sqref="C15"/>
    </sheetView>
  </sheetViews>
  <sheetFormatPr baseColWidth="10" defaultRowHeight="15" x14ac:dyDescent="0.25"/>
  <sheetData>
    <row r="3" spans="2:2" x14ac:dyDescent="0.25">
      <c r="B3" t="s">
        <v>50</v>
      </c>
    </row>
    <row r="4" spans="2:2" x14ac:dyDescent="0.25">
      <c r="B4" t="s">
        <v>41</v>
      </c>
    </row>
    <row r="5" spans="2:2" x14ac:dyDescent="0.25">
      <c r="B5" t="s">
        <v>42</v>
      </c>
    </row>
    <row r="6" spans="2:2" x14ac:dyDescent="0.25">
      <c r="B6" t="s">
        <v>43</v>
      </c>
    </row>
    <row r="7" spans="2:2" x14ac:dyDescent="0.25">
      <c r="B7" t="s">
        <v>44</v>
      </c>
    </row>
    <row r="8" spans="2:2" x14ac:dyDescent="0.25">
      <c r="B8" t="s">
        <v>45</v>
      </c>
    </row>
    <row r="9" spans="2:2" x14ac:dyDescent="0.25">
      <c r="B9" t="s">
        <v>46</v>
      </c>
    </row>
    <row r="10" spans="2:2" x14ac:dyDescent="0.25">
      <c r="B10" t="s">
        <v>47</v>
      </c>
    </row>
    <row r="11" spans="2:2" x14ac:dyDescent="0.25">
      <c r="B11" t="s">
        <v>48</v>
      </c>
    </row>
    <row r="12" spans="2:2" x14ac:dyDescent="0.25">
      <c r="B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4"/>
  <sheetViews>
    <sheetView workbookViewId="0">
      <selection activeCell="B15" sqref="B15"/>
    </sheetView>
  </sheetViews>
  <sheetFormatPr baseColWidth="10" defaultRowHeight="15" x14ac:dyDescent="0.25"/>
  <sheetData>
    <row r="3" spans="2:2" x14ac:dyDescent="0.25">
      <c r="B3" t="s">
        <v>51</v>
      </c>
    </row>
    <row r="4" spans="2:2" x14ac:dyDescent="0.25">
      <c r="B4" t="s">
        <v>52</v>
      </c>
    </row>
    <row r="5" spans="2:2" x14ac:dyDescent="0.25">
      <c r="B5" t="s">
        <v>53</v>
      </c>
    </row>
    <row r="7" spans="2:2" x14ac:dyDescent="0.25">
      <c r="B7" t="s">
        <v>54</v>
      </c>
    </row>
    <row r="8" spans="2:2" x14ac:dyDescent="0.25">
      <c r="B8" t="s">
        <v>55</v>
      </c>
    </row>
    <row r="9" spans="2:2" x14ac:dyDescent="0.25">
      <c r="B9" t="s">
        <v>56</v>
      </c>
    </row>
    <row r="10" spans="2:2" x14ac:dyDescent="0.25">
      <c r="B10" t="s">
        <v>57</v>
      </c>
    </row>
    <row r="11" spans="2:2" x14ac:dyDescent="0.25">
      <c r="B11" t="s">
        <v>58</v>
      </c>
    </row>
    <row r="12" spans="2:2" x14ac:dyDescent="0.25">
      <c r="B12" t="s">
        <v>59</v>
      </c>
    </row>
    <row r="13" spans="2:2" x14ac:dyDescent="0.25">
      <c r="B13" t="s">
        <v>60</v>
      </c>
    </row>
    <row r="14" spans="2:2" x14ac:dyDescent="0.25">
      <c r="B1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"/>
  <sheetViews>
    <sheetView workbookViewId="0">
      <selection activeCell="F4" sqref="F4"/>
    </sheetView>
  </sheetViews>
  <sheetFormatPr baseColWidth="10" defaultRowHeight="15" x14ac:dyDescent="0.25"/>
  <cols>
    <col min="2" max="2" width="17.140625" bestFit="1" customWidth="1"/>
    <col min="6" max="6" width="11.42578125" style="33"/>
  </cols>
  <sheetData>
    <row r="2" spans="2:8" x14ac:dyDescent="0.25">
      <c r="H2" t="s">
        <v>107</v>
      </c>
    </row>
    <row r="3" spans="2:8" x14ac:dyDescent="0.25">
      <c r="B3" t="s">
        <v>104</v>
      </c>
      <c r="C3">
        <v>0</v>
      </c>
      <c r="D3">
        <v>19</v>
      </c>
      <c r="E3">
        <v>30</v>
      </c>
      <c r="F3" s="33">
        <v>75</v>
      </c>
      <c r="G3">
        <v>100</v>
      </c>
      <c r="H3">
        <v>100</v>
      </c>
    </row>
    <row r="4" spans="2:8" x14ac:dyDescent="0.25">
      <c r="B4" t="s">
        <v>105</v>
      </c>
      <c r="C4">
        <v>-330</v>
      </c>
      <c r="D4">
        <v>-292</v>
      </c>
      <c r="E4">
        <v>-113</v>
      </c>
      <c r="G4">
        <v>-84</v>
      </c>
      <c r="H4">
        <f>0.4758*(POWER(H3,2))-7.0394*H3-330</f>
        <v>3724.06</v>
      </c>
    </row>
    <row r="5" spans="2:8" x14ac:dyDescent="0.25">
      <c r="B5" t="s">
        <v>106</v>
      </c>
      <c r="C5">
        <v>-62</v>
      </c>
      <c r="D5">
        <v>-38</v>
      </c>
      <c r="E5">
        <v>-19</v>
      </c>
      <c r="G5">
        <v>-20</v>
      </c>
      <c r="H5" s="33">
        <f>1.4146*H3-62.772</f>
        <v>78.688000000000017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</vt:lpstr>
      <vt:lpstr>Aminoacidos esenciales</vt:lpstr>
      <vt:lpstr>AA no esenc y cond</vt:lpstr>
      <vt:lpstr>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2021-12-15T01:12:04Z</dcterms:modified>
</cp:coreProperties>
</file>