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unded organizada" sheetId="1" r:id="rId4"/>
  </sheets>
  <definedNames/>
  <calcPr/>
</workbook>
</file>

<file path=xl/sharedStrings.xml><?xml version="1.0" encoding="utf-8"?>
<sst xmlns="http://schemas.openxmlformats.org/spreadsheetml/2006/main" count="2770" uniqueCount="667">
  <si>
    <t>sequence</t>
  </si>
  <si>
    <t>replica</t>
  </si>
  <si>
    <t>id_participant</t>
  </si>
  <si>
    <t>set_of_tasks</t>
  </si>
  <si>
    <t>task</t>
  </si>
  <si>
    <t>atom</t>
  </si>
  <si>
    <t>project</t>
  </si>
  <si>
    <t>treatment</t>
  </si>
  <si>
    <t>submissions</t>
  </si>
  <si>
    <t>was_it_solved</t>
  </si>
  <si>
    <t>how_difficult</t>
  </si>
  <si>
    <t>time_in_code_secs</t>
  </si>
  <si>
    <t>num_of_fixations_in_code</t>
  </si>
  <si>
    <t>fixation_duration_in_code_secs</t>
  </si>
  <si>
    <t>total_num_of_regressions_in_code</t>
  </si>
  <si>
    <t>num_of__horizontal_regressions_in_code</t>
  </si>
  <si>
    <t>num_of__vertical_regressions_in_code</t>
  </si>
  <si>
    <t>time_in_aoi_secs</t>
  </si>
  <si>
    <t>num_of_fixations_in_aoi</t>
  </si>
  <si>
    <t>fixation_duration_in_aoi_secs</t>
  </si>
  <si>
    <t>num_of_regressions_in_aoi</t>
  </si>
  <si>
    <t>num_of_horizontal_regressions_in_aoi</t>
  </si>
  <si>
    <t>num_of_vertical_regressions_in_aoi</t>
  </si>
  <si>
    <t>num_of_entries_in_aoi</t>
  </si>
  <si>
    <t>num_of_entries_from_top</t>
  </si>
  <si>
    <t>num_of_entries_from_bottom</t>
  </si>
  <si>
    <t>num_of_exits_to_top</t>
  </si>
  <si>
    <t>num_of_exits_to_bottom</t>
  </si>
  <si>
    <t>Dificuldades no código (pt)</t>
  </si>
  <si>
    <t>difficulties in the code</t>
  </si>
  <si>
    <t>comentários</t>
  </si>
  <si>
    <t>comments</t>
  </si>
  <si>
    <t>Eye tracking, correctness, time</t>
  </si>
  <si>
    <t>código</t>
  </si>
  <si>
    <t>conceito</t>
  </si>
  <si>
    <t>Concept</t>
  </si>
  <si>
    <t>categoria</t>
  </si>
  <si>
    <t>Category</t>
  </si>
  <si>
    <t>11A</t>
  </si>
  <si>
    <t>O</t>
  </si>
  <si>
    <t>yes</t>
  </si>
  <si>
    <t>F</t>
  </si>
  <si>
    <t>018</t>
  </si>
  <si>
    <t>simples de entender</t>
  </si>
  <si>
    <t>fixou na variável final</t>
  </si>
  <si>
    <t>facilidade com atribuição na mesma linha</t>
  </si>
  <si>
    <t>atribuição múltipla na mesma linha</t>
  </si>
  <si>
    <t>estilo de código</t>
  </si>
  <si>
    <t>Code Style</t>
  </si>
  <si>
    <t>12A</t>
  </si>
  <si>
    <t>MF</t>
  </si>
  <si>
    <t>001</t>
  </si>
  <si>
    <t>não apontou dificuldade</t>
  </si>
  <si>
    <t>considerou as variáveis na mesma linha tornou a questão fácil</t>
  </si>
  <si>
    <t>017</t>
  </si>
  <si>
    <t>média e nota com o mesmo valor é melhor</t>
  </si>
  <si>
    <t>mesma atribuição facilitou</t>
  </si>
  <si>
    <t>N</t>
  </si>
  <si>
    <t>004</t>
  </si>
  <si>
    <t>primeira linha atrapalhou</t>
  </si>
  <si>
    <t>entre e sai com frequencia na aoi e volta na linha</t>
  </si>
  <si>
    <t>First line caused misundertandings</t>
  </si>
  <si>
    <t>016</t>
  </si>
  <si>
    <t>se enrolou na linha 1</t>
  </si>
  <si>
    <t>errou, entrou e saiu com frequencia na aoi, fez mais regressões</t>
  </si>
  <si>
    <t>009</t>
  </si>
  <si>
    <t>primeira linha difícil</t>
  </si>
  <si>
    <t>mais tempo na aoi e mais regressões</t>
  </si>
  <si>
    <t>First line difficult</t>
  </si>
  <si>
    <t>027</t>
  </si>
  <si>
    <t>não entendeu a primeira linha de cara</t>
  </si>
  <si>
    <t>mais tempo, regressões e entradas na aoi</t>
  </si>
  <si>
    <t>028</t>
  </si>
  <si>
    <t>se atrapalhou na linha 1</t>
  </si>
  <si>
    <t xml:space="preserve">verificou os valores na linha 1 </t>
  </si>
  <si>
    <t>Errou, fez mais regressões na aoi, e achou inicio atrapalhado</t>
  </si>
  <si>
    <t>primeira linha é confusa</t>
  </si>
  <si>
    <t>First line is confusing</t>
  </si>
  <si>
    <t>021</t>
  </si>
  <si>
    <t>a linha 1 pode causar confusão</t>
  </si>
  <si>
    <t>teve mais regressões e mais entradas na aoi</t>
  </si>
  <si>
    <t>002</t>
  </si>
  <si>
    <t>observei os valores das variáveis e verifiquei as atribuições no if</t>
  </si>
  <si>
    <t>entre e sai com frequencia na aoi</t>
  </si>
  <si>
    <t>31A</t>
  </si>
  <si>
    <t>D</t>
  </si>
  <si>
    <t>022</t>
  </si>
  <si>
    <t>tudo na mema linha fica complicado</t>
  </si>
  <si>
    <t>errou e gastou mais tempo na aoi</t>
  </si>
  <si>
    <t>tudo na mesma linha fica complicado</t>
  </si>
  <si>
    <t>010</t>
  </si>
  <si>
    <t>mal identado</t>
  </si>
  <si>
    <t>mais tempo e regressões</t>
  </si>
  <si>
    <t>mal indentado</t>
  </si>
  <si>
    <t>bad indetantion</t>
  </si>
  <si>
    <t>indentação</t>
  </si>
  <si>
    <t>22A</t>
  </si>
  <si>
    <t>003</t>
  </si>
  <si>
    <t>confundiu a identação</t>
  </si>
  <si>
    <t>gastou mais tempo</t>
  </si>
  <si>
    <t>indentação confusa</t>
  </si>
  <si>
    <t>32N</t>
  </si>
  <si>
    <t>C</t>
  </si>
  <si>
    <t>achou confusa por conta da identação</t>
  </si>
  <si>
    <t>errou, gastou mais tempo e mais regressões</t>
  </si>
  <si>
    <t>no</t>
  </si>
  <si>
    <t>se atrapalhou no else (identação) ; e {</t>
  </si>
  <si>
    <t>atrapalhou na indentação e familiaridade</t>
  </si>
  <si>
    <t>misundertood indetantion</t>
  </si>
  <si>
    <t>013</t>
  </si>
  <si>
    <t>repetição + if confundiu, principalmente o not</t>
  </si>
  <si>
    <t>muitas regressões e entradas na aoi</t>
  </si>
  <si>
    <t>avaliar if dentro de loop é difícil</t>
  </si>
  <si>
    <t>aninhamento de estruturas</t>
  </si>
  <si>
    <t>control flow</t>
  </si>
  <si>
    <t>22N</t>
  </si>
  <si>
    <t>ter que validar qhile e if complica</t>
  </si>
  <si>
    <t>errou, mais tempo e regressões</t>
  </si>
  <si>
    <t>014</t>
  </si>
  <si>
    <t>difícil por conta do while, if e da negação</t>
  </si>
  <si>
    <t>while + if complica</t>
  </si>
  <si>
    <t>51N</t>
  </si>
  <si>
    <t>while junto com o if difícil</t>
  </si>
  <si>
    <t>gastou mais tempo e mais regressões</t>
  </si>
  <si>
    <t>21N</t>
  </si>
  <si>
    <t>025</t>
  </si>
  <si>
    <t>estrutura do for com if difícil</t>
  </si>
  <si>
    <t>confundiu o while e if</t>
  </si>
  <si>
    <t>errou, gastou mais tempo</t>
  </si>
  <si>
    <t>52A</t>
  </si>
  <si>
    <t>o if com % é mais difícil na divisão</t>
  </si>
  <si>
    <t>gastou mais tempo na aoi e mais regressões</t>
  </si>
  <si>
    <t>combinação de if com módulo foram difíceis</t>
  </si>
  <si>
    <t>while + cont difícil</t>
  </si>
  <si>
    <t>while combinado com cont é difícil</t>
  </si>
  <si>
    <t>32A</t>
  </si>
  <si>
    <t>51A</t>
  </si>
  <si>
    <t>while + if + % difícil</t>
  </si>
  <si>
    <t>while e if com modulo foram difíceis</t>
  </si>
  <si>
    <t>21A</t>
  </si>
  <si>
    <t>MD</t>
  </si>
  <si>
    <t>026</t>
  </si>
  <si>
    <t>não ficou clara</t>
  </si>
  <si>
    <t>estruturação</t>
  </si>
  <si>
    <t>031</t>
  </si>
  <si>
    <t>while e if simples</t>
  </si>
  <si>
    <t>032</t>
  </si>
  <si>
    <t>if difícil</t>
  </si>
  <si>
    <t>observei a sequência de passos executados</t>
  </si>
  <si>
    <t>mais regressões na aoi</t>
  </si>
  <si>
    <t>a sequencia no if mais difícil com ternário</t>
  </si>
  <si>
    <t>estrutura condicional</t>
  </si>
  <si>
    <t>52N</t>
  </si>
  <si>
    <t>008</t>
  </si>
  <si>
    <t>if claro</t>
  </si>
  <si>
    <t>achou o if statement claro</t>
  </si>
  <si>
    <t>gastou mais tempo e fez mais regressões</t>
  </si>
  <si>
    <t>62A</t>
  </si>
  <si>
    <t>023</t>
  </si>
  <si>
    <t>condição clara</t>
  </si>
  <si>
    <t>006</t>
  </si>
  <si>
    <t>ficou claro que só entrava no if uma vez</t>
  </si>
  <si>
    <t>errou</t>
  </si>
  <si>
    <t>percebeu que só entrava uma vez no if</t>
  </si>
  <si>
    <t>if complexo</t>
  </si>
  <si>
    <t>mais tempo na aoi, mais regressões, e entra mais</t>
  </si>
  <si>
    <t>achou o if statement complexo</t>
  </si>
  <si>
    <t>007</t>
  </si>
  <si>
    <t>errou, mais tempo, regressões na aoi, e entrada</t>
  </si>
  <si>
    <t>41A</t>
  </si>
  <si>
    <t>achou o if difícil</t>
  </si>
  <si>
    <t>achou o if statement difícil</t>
  </si>
  <si>
    <t>errou e passou tempo na aoi</t>
  </si>
  <si>
    <t>if atrapalhou um pouco</t>
  </si>
  <si>
    <t>if dificultou</t>
  </si>
  <si>
    <t>validação difícil no if</t>
  </si>
  <si>
    <t>somei os valores e observei o valor de cont</t>
  </si>
  <si>
    <t xml:space="preserve">errou </t>
  </si>
  <si>
    <t>42N</t>
  </si>
  <si>
    <t>ficou em dúvida no if</t>
  </si>
  <si>
    <t>if complicado</t>
  </si>
  <si>
    <t>019</t>
  </si>
  <si>
    <t>teve dificuldade no if</t>
  </si>
  <si>
    <t>if difiícil</t>
  </si>
  <si>
    <t>o if foi difícil</t>
  </si>
  <si>
    <t>mais regressões</t>
  </si>
  <si>
    <t>41N</t>
  </si>
  <si>
    <t xml:space="preserve">001 </t>
  </si>
  <si>
    <t>if pode trazer dificuldade</t>
  </si>
  <si>
    <t>029</t>
  </si>
  <si>
    <t>errou e gastou mais tempo e entradas na aoi</t>
  </si>
  <si>
    <t>if</t>
  </si>
  <si>
    <t>errou por não saber quando entraria no if</t>
  </si>
  <si>
    <t>mais tempo e regressões na aoi</t>
  </si>
  <si>
    <t>012</t>
  </si>
  <si>
    <t>if difícil (não se ligou)</t>
  </si>
  <si>
    <t>dificuldade no if != 3</t>
  </si>
  <si>
    <t>020</t>
  </si>
  <si>
    <t>dificuldade no != 3</t>
  </si>
  <si>
    <t>verificação do if difícil</t>
  </si>
  <si>
    <t>if ternário</t>
  </si>
  <si>
    <t>enganchou no if ternário</t>
  </si>
  <si>
    <t>011</t>
  </si>
  <si>
    <t>muito difícil o if ternário</t>
  </si>
  <si>
    <t>31N</t>
  </si>
  <si>
    <t>apontou o if como difícil</t>
  </si>
  <si>
    <t>errou, gastou mais tempo e regressões na aoi</t>
  </si>
  <si>
    <t>difícil de compreender o if</t>
  </si>
  <si>
    <t>errou e gastou mais tempo</t>
  </si>
  <si>
    <t>retorno ao if complicado</t>
  </si>
  <si>
    <t>if difícil, voltar sempre</t>
  </si>
  <si>
    <t>difícil de validar o if</t>
  </si>
  <si>
    <t>024</t>
  </si>
  <si>
    <t>validação booleana fácil</t>
  </si>
  <si>
    <t>achou o if statement fácil</t>
  </si>
  <si>
    <t>de fácil compreensão != 3</t>
  </si>
  <si>
    <t>condição fácil</t>
  </si>
  <si>
    <t>validou o if (disse que foi fácil validar)</t>
  </si>
  <si>
    <t>condicional fácil</t>
  </si>
  <si>
    <t>é fácil validar o if</t>
  </si>
  <si>
    <t>015</t>
  </si>
  <si>
    <t>if fácil</t>
  </si>
  <si>
    <t>linha do if pode demorar para entender</t>
  </si>
  <si>
    <t>avaliar if statement leva mais tempo</t>
  </si>
  <si>
    <t>demorou entender o if, mas achou fácil</t>
  </si>
  <si>
    <t>mais regressões e entradas na aoi</t>
  </si>
  <si>
    <t>if atrapalhou</t>
  </si>
  <si>
    <t>avaliar if ternário atrapalhou</t>
  </si>
  <si>
    <t>misunderstood ternay if</t>
  </si>
  <si>
    <t>se atrapalhou na linha do if ternário</t>
  </si>
  <si>
    <t>gastou mais tempo na aoi e mais regessões</t>
  </si>
  <si>
    <t>verificou qual valor seria armazenado no final</t>
  </si>
  <si>
    <t>errou, mais tempo na aoi e mais regressões</t>
  </si>
  <si>
    <t>avaliar if ternário com atribuição foi difícil</t>
  </si>
  <si>
    <t>if ternário pode complicar</t>
  </si>
  <si>
    <t>avaliar if ternário complica</t>
  </si>
  <si>
    <t>evaluating ternary complicates</t>
  </si>
  <si>
    <t>if ternário confuso</t>
  </si>
  <si>
    <t>avaliar if ternário confuso</t>
  </si>
  <si>
    <t>evaluating ternary confuses</t>
  </si>
  <si>
    <t>if ternário pode confundir</t>
  </si>
  <si>
    <t>if confuso</t>
  </si>
  <si>
    <t>mais tempo na aoi</t>
  </si>
  <si>
    <t>avaliar if ternário deixou em dúvida</t>
  </si>
  <si>
    <t>evaluating ternary made me unsure</t>
  </si>
  <si>
    <t>030</t>
  </si>
  <si>
    <t>ifi ternário dificultou</t>
  </si>
  <si>
    <t>avaliou quando elem == 3</t>
  </si>
  <si>
    <t>avaliar if ternário dificultou</t>
  </si>
  <si>
    <t>005</t>
  </si>
  <si>
    <t>if ternário difícil</t>
  </si>
  <si>
    <t>if ternário difíicl</t>
  </si>
  <si>
    <t>difícil de validar</t>
  </si>
  <si>
    <t>gastou tempo na aoi</t>
  </si>
  <si>
    <t>demora mais tempo pra validar o if</t>
  </si>
  <si>
    <t>gastou tempo regular na aoi</t>
  </si>
  <si>
    <t>avaliar if ternário levou mais tempo</t>
  </si>
  <si>
    <t>evaluating ternary took more time</t>
  </si>
  <si>
    <t>if ternário demora pra validar</t>
  </si>
  <si>
    <t>verificou os valores no vetor e executou o if ternário</t>
  </si>
  <si>
    <t>demorou pra analisar o if</t>
  </si>
  <si>
    <t>42A</t>
  </si>
  <si>
    <t>se confundiu com o if</t>
  </si>
  <si>
    <t>confundiu o if statement</t>
  </si>
  <si>
    <t>if difícil de validar</t>
  </si>
  <si>
    <t>se embananou com o if</t>
  </si>
  <si>
    <t>if confundi</t>
  </si>
  <si>
    <t>se atrapalhou no else</t>
  </si>
  <si>
    <t>else difícil</t>
  </si>
  <si>
    <t>else part difficult</t>
  </si>
  <si>
    <t>verificou cont e calculou</t>
  </si>
  <si>
    <t>fácil de validar</t>
  </si>
  <si>
    <t>validou da esquerda para a direita</t>
  </si>
  <si>
    <t>fácil de validar esquerda pra direita</t>
  </si>
  <si>
    <t>disse que o if chamou a atenção, mas não considerou fácil nem difícil</t>
  </si>
  <si>
    <t>focou no if statement</t>
  </si>
  <si>
    <t>if simples</t>
  </si>
  <si>
    <t>If statement simples de validar</t>
  </si>
  <si>
    <t>faltou compreensão no if</t>
  </si>
  <si>
    <t>não entendeu o if statement, esquerda para direita</t>
  </si>
  <si>
    <t>parte do if é difícil</t>
  </si>
  <si>
    <t>se atrabalhou na validação</t>
  </si>
  <si>
    <t>se atrapalhou com if</t>
  </si>
  <si>
    <t>se atrapalhou com if statement</t>
  </si>
  <si>
    <t>se confundiu no else</t>
  </si>
  <si>
    <t>errou por conta do if</t>
  </si>
  <si>
    <t>se confundiu no if</t>
  </si>
  <si>
    <t>fácil pois teve poucas iterações</t>
  </si>
  <si>
    <t>verificou != 4</t>
  </si>
  <si>
    <t>few iterations in the loop</t>
  </si>
  <si>
    <t>estrutura de repetição</t>
  </si>
  <si>
    <t>61N</t>
  </si>
  <si>
    <t>for elem</t>
  </si>
  <si>
    <t>se confundiu com o elem</t>
  </si>
  <si>
    <t>confusão com o elem</t>
  </si>
  <si>
    <t>knowledge of idiom</t>
  </si>
  <si>
    <t>Knowledge of Idiom</t>
  </si>
  <si>
    <t>knowledge</t>
  </si>
  <si>
    <t>Knowledge</t>
  </si>
  <si>
    <t>se confundiu com o elemento</t>
  </si>
  <si>
    <t>errou, gastou mais tempo na aoi e mais regressões</t>
  </si>
  <si>
    <t>confundiu elem</t>
  </si>
  <si>
    <t>gastou mais tempo na aoi</t>
  </si>
  <si>
    <t>62N</t>
  </si>
  <si>
    <t>teve dificuldado com o vetor</t>
  </si>
  <si>
    <t>dificuldade com a lista</t>
  </si>
  <si>
    <t>não entendeu o vetor</t>
  </si>
  <si>
    <t>elem difícil</t>
  </si>
  <si>
    <t>gastou mais tempo na aoi e regrediu mais vezes</t>
  </si>
  <si>
    <t>dificuldade com elem</t>
  </si>
  <si>
    <t>dificuldade no elem</t>
  </si>
  <si>
    <t>elementos claros no vetor</t>
  </si>
  <si>
    <t>facilidade com lista</t>
  </si>
  <si>
    <t>easiness with lists</t>
  </si>
  <si>
    <t>61A</t>
  </si>
  <si>
    <t>for</t>
  </si>
  <si>
    <t>disse não ser familiarizado com o elem</t>
  </si>
  <si>
    <t>falta de familiaridade com elem</t>
  </si>
  <si>
    <t>for e elem difícil</t>
  </si>
  <si>
    <t xml:space="preserve"> </t>
  </si>
  <si>
    <t>for e elem é difícil</t>
  </si>
  <si>
    <t>if diferente</t>
  </si>
  <si>
    <t>if ternário difícil, gosta do outro estilo</t>
  </si>
  <si>
    <t>if ternário difícil, prefiro outro estilo</t>
  </si>
  <si>
    <t>linha do total é estranha</t>
  </si>
  <si>
    <t>linha final estranho</t>
  </si>
  <si>
    <t>last line is strange</t>
  </si>
  <si>
    <t>não acostumada com o if ternário</t>
  </si>
  <si>
    <t>não entendeu a lista</t>
  </si>
  <si>
    <t>mais regressões no código</t>
  </si>
  <si>
    <t>não lembrava elem</t>
  </si>
  <si>
    <t>mais tempo</t>
  </si>
  <si>
    <t>não lembrava a atribuição, apontou p o átomo</t>
  </si>
  <si>
    <t>não lembrava essa atribuição</t>
  </si>
  <si>
    <t>não lembrava o if ternário</t>
  </si>
  <si>
    <t>teve dificuldade no range</t>
  </si>
  <si>
    <t>trecho do início estranho</t>
  </si>
  <si>
    <t>snippet in the beggining is strange</t>
  </si>
  <si>
    <t>Errou, fez mais regressões na aoi, e achou inicio estranho</t>
  </si>
  <si>
    <t>*= estranho</t>
  </si>
  <si>
    <t>achou operador *= estranho</t>
  </si>
  <si>
    <t>knowledge of language</t>
  </si>
  <si>
    <t>estranhou o *=</t>
  </si>
  <si>
    <t>assimilar o array exige atenção</t>
  </si>
  <si>
    <t>tem dificuldade com lista</t>
  </si>
  <si>
    <t>dificuldade com listas</t>
  </si>
  <si>
    <t>esqueceu o !=</t>
  </si>
  <si>
    <t>esqueceu o operador de diferença</t>
  </si>
  <si>
    <t>estrutura difícil sem ; e {</t>
  </si>
  <si>
    <t>verificou a soma</t>
  </si>
  <si>
    <t>estou acostumado com a lógica</t>
  </si>
  <si>
    <t>familiaridade com a lógica</t>
  </si>
  <si>
    <t>for do python é esquisito</t>
  </si>
  <si>
    <t>for in Python is strange</t>
  </si>
  <si>
    <t>não entendeu o if %</t>
  </si>
  <si>
    <t>não entendeu o if com modulo</t>
  </si>
  <si>
    <t>não lembrava and e or</t>
  </si>
  <si>
    <t>não lembrava do and e or</t>
  </si>
  <si>
    <t>não reconheceu *=</t>
  </si>
  <si>
    <t>não reconheceu o operador *=</t>
  </si>
  <si>
    <t>partícula not estranha</t>
  </si>
  <si>
    <t>not particle is strange</t>
  </si>
  <si>
    <t>verificava quando i==4 para somar</t>
  </si>
  <si>
    <t>cálculo fácil</t>
  </si>
  <si>
    <t>cálculos matemáticos</t>
  </si>
  <si>
    <t>matemática</t>
  </si>
  <si>
    <t>Mathematics</t>
  </si>
  <si>
    <t>11N</t>
  </si>
  <si>
    <t>acertou, mais tempo, mais regressões</t>
  </si>
  <si>
    <t>cálculo simples</t>
  </si>
  <si>
    <t>é só matemática</t>
  </si>
  <si>
    <t>entrou mais vezes na aoi</t>
  </si>
  <si>
    <t>só matemática</t>
  </si>
  <si>
    <t>soma poucas x</t>
  </si>
  <si>
    <t>12N</t>
  </si>
  <si>
    <t>tranquila</t>
  </si>
  <si>
    <t>somou 1x só</t>
  </si>
  <si>
    <t>só somar, nada difícil</t>
  </si>
  <si>
    <t>se concentrou na divisão</t>
  </si>
  <si>
    <t>concentrou na divisão</t>
  </si>
  <si>
    <t>dificuldade com elem % 5</t>
  </si>
  <si>
    <t>dificuldade com variavel modulo e numero</t>
  </si>
  <si>
    <t>cálculos de resto de divisão</t>
  </si>
  <si>
    <t>difícil verificar o divisível</t>
  </si>
  <si>
    <t>difícil verificar se é divisível</t>
  </si>
  <si>
    <t>divisão pode ser difícil</t>
  </si>
  <si>
    <t>dificuldade com o resto</t>
  </si>
  <si>
    <t>dificuldade com o resto da divisão</t>
  </si>
  <si>
    <t>se confundiu com contagem</t>
  </si>
  <si>
    <t>pensou que eram 2</t>
  </si>
  <si>
    <t>confused value of the variable</t>
  </si>
  <si>
    <t>incremento</t>
  </si>
  <si>
    <t>memory load</t>
  </si>
  <si>
    <t>Memory Load</t>
  </si>
  <si>
    <t>difícil de ficar incrementando</t>
  </si>
  <si>
    <t>incrementing is difficult</t>
  </si>
  <si>
    <t>se confundiu com o incremento</t>
  </si>
  <si>
    <t>I was confused with increment</t>
  </si>
  <si>
    <t>teve dificuldade com elem</t>
  </si>
  <si>
    <t>o índice do for pode confundir</t>
  </si>
  <si>
    <t>índice do loop</t>
  </si>
  <si>
    <t>mais tempo e mais regressões</t>
  </si>
  <si>
    <t>a pessoa pode confundir o elem</t>
  </si>
  <si>
    <t>o índice do if pode confundir</t>
  </si>
  <si>
    <t>repetição confundi</t>
  </si>
  <si>
    <t>errou e teve mais regressões</t>
  </si>
  <si>
    <t>se confundiu com a repetição</t>
  </si>
  <si>
    <t>tive dificuldade com o elem</t>
  </si>
  <si>
    <t>dificuldade com o elem</t>
  </si>
  <si>
    <t>iterador</t>
  </si>
  <si>
    <t>viu quantas vezes o laço repetia e rodou o if e else</t>
  </si>
  <si>
    <t>facil de acompanhar incremento</t>
  </si>
  <si>
    <t>contador do while difícil</t>
  </si>
  <si>
    <t>índice do while difícil</t>
  </si>
  <si>
    <t>difficulties with index of while</t>
  </si>
  <si>
    <t>se atrapalhou no iterador</t>
  </si>
  <si>
    <t>se confundiu nas repetições</t>
  </si>
  <si>
    <t>se perdeu no for</t>
  </si>
  <si>
    <t>I got lost in the for loop</t>
  </si>
  <si>
    <t>se perdeu nos valores de elem</t>
  </si>
  <si>
    <t>se perdeu no iterador</t>
  </si>
  <si>
    <t>memorizar as variáveis é algo complicado</t>
  </si>
  <si>
    <t>fez mais regressões na aoi</t>
  </si>
  <si>
    <t>achou memorizar variáveis difícil</t>
  </si>
  <si>
    <t>memorização de valores</t>
  </si>
  <si>
    <t>confundiu os valores</t>
  </si>
  <si>
    <t>errou, entrou mais vezes na aoi</t>
  </si>
  <si>
    <t>confundiu valores</t>
  </si>
  <si>
    <t>atruibuição pode confundir</t>
  </si>
  <si>
    <t>confusão com atribuição</t>
  </si>
  <si>
    <t>if e else difícil (lembrar do valor de cont</t>
  </si>
  <si>
    <t>difícil lembrar valor da variável</t>
  </si>
  <si>
    <t>atribuições difíceis</t>
  </si>
  <si>
    <t>dificuldade com as variaveis e atribuições</t>
  </si>
  <si>
    <t>interpretação do resultado mais complicada</t>
  </si>
  <si>
    <t>interpretação do resultado</t>
  </si>
  <si>
    <t>memorizou os valores das variáveis</t>
  </si>
  <si>
    <t>Acertou</t>
  </si>
  <si>
    <t>organização das variáveis foi fácil</t>
  </si>
  <si>
    <t>organização das variáveis</t>
  </si>
  <si>
    <t>nenhum trecho do código foi difícil</t>
  </si>
  <si>
    <t>observei as atribuições e verifiquei os valores</t>
  </si>
  <si>
    <t xml:space="preserve">Acertou, menos tempo na aoi </t>
  </si>
  <si>
    <t>relações entre variáveis, verificou valor guardado</t>
  </si>
  <si>
    <t>relationship between variables, evaluated stored value</t>
  </si>
  <si>
    <t>relação entre variáveis foi fácil</t>
  </si>
  <si>
    <t>verificou o valor guardado em final</t>
  </si>
  <si>
    <t>Acertou, menos tempo na aoi e regressões</t>
  </si>
  <si>
    <t>muitas variáveis</t>
  </si>
  <si>
    <t>entra mais vezes na aoi</t>
  </si>
  <si>
    <t>quantidade de variáveis</t>
  </si>
  <si>
    <t>muitas atribuições, quase me confundiu</t>
  </si>
  <si>
    <t>teve mais regressões</t>
  </si>
  <si>
    <t>muitas atribuições confunde</t>
  </si>
  <si>
    <t>too many attributions confuse</t>
  </si>
  <si>
    <t>too many variables</t>
  </si>
  <si>
    <t>muitas variáveis confundem</t>
  </si>
  <si>
    <t>se perdeu por várias variáveis</t>
  </si>
  <si>
    <t>gastou mais tempo, masi regressões, mais enradas na aoi</t>
  </si>
  <si>
    <t>se confundiu nos elementos</t>
  </si>
  <si>
    <t>muitos elementos para avaliar e o if foi difícil</t>
  </si>
  <si>
    <t>too many elements</t>
  </si>
  <si>
    <t>variáveis tranquilas</t>
  </si>
  <si>
    <t>easy variables</t>
  </si>
  <si>
    <t>nada difícil</t>
  </si>
  <si>
    <t>analisou as atribuições</t>
  </si>
  <si>
    <t>sawpping variables</t>
  </si>
  <si>
    <t>Swapping Variables</t>
  </si>
  <si>
    <t>troca de valores difícil</t>
  </si>
  <si>
    <t>Dificuldade com swap das variaveis</t>
  </si>
  <si>
    <t>pode confundir no if</t>
  </si>
  <si>
    <t>confusa na condição do if</t>
  </si>
  <si>
    <t>parte do if é difícil (troca de valores)</t>
  </si>
  <si>
    <t>trecho do if foi um pouco difícil</t>
  </si>
  <si>
    <t>errou, teve mais entradas na aoi</t>
  </si>
  <si>
    <t>troca de valores pode confundir</t>
  </si>
  <si>
    <t>mais entradas na aoi</t>
  </si>
  <si>
    <t>se confundiu no cont</t>
  </si>
  <si>
    <t>dificuldade com variavel no if statement</t>
  </si>
  <si>
    <t>não entendeu no print</t>
  </si>
  <si>
    <t>não entendeu o resultado final</t>
  </si>
  <si>
    <t>se confundiu com o valor inicial</t>
  </si>
  <si>
    <t>se enrolou no cont e total</t>
  </si>
  <si>
    <t>misunderstood in the cont and total variables</t>
  </si>
  <si>
    <t>temporário desnecessário</t>
  </si>
  <si>
    <t>variavel temp desnecessaria</t>
  </si>
  <si>
    <t>variável temporaria</t>
  </si>
  <si>
    <t>if difícil por conta do % e !=</t>
  </si>
  <si>
    <t>combinação de módulo e equality operators é difícil</t>
  </si>
  <si>
    <t>combinação de operadores</t>
  </si>
  <si>
    <t>operadores</t>
  </si>
  <si>
    <t>Operators</t>
  </si>
  <si>
    <t>% e != melhor</t>
  </si>
  <si>
    <t>prefere statement com modulo explícito</t>
  </si>
  <si>
    <t>se confundiu com o != 0</t>
  </si>
  <si>
    <t>achou o explícito confuso</t>
  </si>
  <si>
    <t>operadores aritméticos</t>
  </si>
  <si>
    <t>if difícil por conta do !=</t>
  </si>
  <si>
    <t>o != facilitou</t>
  </si>
  <si>
    <t>achou o explícito fácil</t>
  </si>
  <si>
    <t>clara e fácil de incrementar</t>
  </si>
  <si>
    <t>bugou no resto da divisão</t>
  </si>
  <si>
    <t>confundiu o modulo</t>
  </si>
  <si>
    <t>errou pela matemática no if</t>
  </si>
  <si>
    <t>confundiu o resto</t>
  </si>
  <si>
    <t xml:space="preserve">se confundiu com % </t>
  </si>
  <si>
    <t>fácil porque apresenta !=0</t>
  </si>
  <si>
    <t>fácil de validar com !=</t>
  </si>
  <si>
    <t>gastou mais tempo e mais entradas nas aoi</t>
  </si>
  <si>
    <t>!= 0 facilicou</t>
  </si>
  <si>
    <t>verificou quando != 0</t>
  </si>
  <si>
    <t>!= 0 mais fácil de validar</t>
  </si>
  <si>
    <t>validou o if de forma fácil</t>
  </si>
  <si>
    <t>bugou em elem &lt; limite</t>
  </si>
  <si>
    <t>mais tempo no código</t>
  </si>
  <si>
    <t>operação de relação</t>
  </si>
  <si>
    <t>se confundiu com total+=1</t>
  </si>
  <si>
    <t>não observou o elem e errou a primeira vez</t>
  </si>
  <si>
    <t>ficou com dúvida no % (if)</t>
  </si>
  <si>
    <t>verificou &gt;=4 e somou</t>
  </si>
  <si>
    <t>módulo operator me deixou na dúvida</t>
  </si>
  <si>
    <t>ficaria mais fácil sem o resto</t>
  </si>
  <si>
    <t>resto desnecessário</t>
  </si>
  <si>
    <t>!=0 facilita</t>
  </si>
  <si>
    <t>resto facilita</t>
  </si>
  <si>
    <t>% complicado</t>
  </si>
  <si>
    <t>errou, gastou mais tempo na aoi</t>
  </si>
  <si>
    <t>achou o modulo difícil</t>
  </si>
  <si>
    <t>operador % difícil</t>
  </si>
  <si>
    <t>´% confundiu</t>
  </si>
  <si>
    <t>% difícil</t>
  </si>
  <si>
    <t>condição confundi um pouco por conta do %</t>
  </si>
  <si>
    <t>errou e fez mais regressões</t>
  </si>
  <si>
    <t>presença do % deixou difícil</t>
  </si>
  <si>
    <t>achou difícil o %</t>
  </si>
  <si>
    <t>dificuldade no resto</t>
  </si>
  <si>
    <t>if difícil pelo %</t>
  </si>
  <si>
    <t>if difícil por conta do %</t>
  </si>
  <si>
    <t>verificou x!=y</t>
  </si>
  <si>
    <t>verificou operador booleano</t>
  </si>
  <si>
    <t>operador relacional</t>
  </si>
  <si>
    <t>cont != 3 seria mais fácil</t>
  </si>
  <si>
    <t>prefere por operador</t>
  </si>
  <si>
    <t>cont!= deixou mais clara</t>
  </si>
  <si>
    <t>observou o valor de cont</t>
  </si>
  <si>
    <t>operador relacional facilitou</t>
  </si>
  <si>
    <t>mencionou o =! como complexo</t>
  </si>
  <si>
    <t>achou operador booleano complexo</t>
  </si>
  <si>
    <t>teve dificuldade no booleano</t>
  </si>
  <si>
    <t>achou o booleano difícil</t>
  </si>
  <si>
    <t>operadores lógicos</t>
  </si>
  <si>
    <t>booleano fácil</t>
  </si>
  <si>
    <t>achou o booleano fácil</t>
  </si>
  <si>
    <t>confundiu and com or</t>
  </si>
  <si>
    <t>avaliou o ou primeiro</t>
  </si>
  <si>
    <t>confundiu and com or pois avaliou o ou primeiro</t>
  </si>
  <si>
    <t>confundiu o TRUE e FALSE</t>
  </si>
  <si>
    <t>validar o and e or foi difícil</t>
  </si>
  <si>
    <t>considerou verdadeiro o teste</t>
  </si>
  <si>
    <t>difícil de validar com and e or</t>
  </si>
  <si>
    <t>não se ligou com os operadores</t>
  </si>
  <si>
    <t>o valor de and e or é dificil de verificar</t>
  </si>
  <si>
    <t>mesma dificuldade com and e or</t>
  </si>
  <si>
    <t>dificuldade com and e or</t>
  </si>
  <si>
    <t>se confundiu com and e or</t>
  </si>
  <si>
    <t>não entendeu o not</t>
  </si>
  <si>
    <t>dificuldade com o not</t>
  </si>
  <si>
    <t>not</t>
  </si>
  <si>
    <t>observou a negação da verificação do if e quantas vezes entraria na condição</t>
  </si>
  <si>
    <t>errou, gastou mais tempo na aoi, mais regressões, e mais entradas</t>
  </si>
  <si>
    <t>not difícil</t>
  </si>
  <si>
    <t>se confundiu com o not</t>
  </si>
  <si>
    <t>teve problemas no not cont</t>
  </si>
  <si>
    <t>not pode confundir</t>
  </si>
  <si>
    <t>achou difícil passar no laço (not comoplicou)</t>
  </si>
  <si>
    <t>fácil de verificar o limite</t>
  </si>
  <si>
    <t>só verificar o limite, então foi fácil</t>
  </si>
  <si>
    <t>not facilitou</t>
  </si>
  <si>
    <t>acertou, menos tempo, menos regressões</t>
  </si>
  <si>
    <t>facilidade com o not</t>
  </si>
  <si>
    <t>achou a resolução pelo not</t>
  </si>
  <si>
    <t>not ajudou a responder</t>
  </si>
  <si>
    <t>considerou o if confuso (true or true)</t>
  </si>
  <si>
    <t>dificuldade com a precedência</t>
  </si>
  <si>
    <t>operator precedence</t>
  </si>
  <si>
    <t>Operator Precedence</t>
  </si>
  <si>
    <t>ordem confunde</t>
  </si>
  <si>
    <t>precedência no if</t>
  </si>
  <si>
    <t>avaliou o valor da esquerda para a direita, depois verificou que teria que observar o AND primeiro</t>
  </si>
  <si>
    <t>sem parneteses é pior</t>
  </si>
  <si>
    <t>falta de parêntesis dificultou</t>
  </si>
  <si>
    <t>fácil de verificar com os parênteses</t>
  </si>
  <si>
    <t>sentiu falta dos parêntesis</t>
  </si>
  <si>
    <t>parênteses facilitaram</t>
  </si>
  <si>
    <t>os parênteses facilitaram</t>
  </si>
  <si>
    <t>parêteses facilitaram</t>
  </si>
  <si>
    <t>condição fácil pelos ()</t>
  </si>
  <si>
    <t>() facilitaram</t>
  </si>
  <si>
    <t>parenteses facilitou, if claro, compreendeu</t>
  </si>
  <si>
    <t>mais fácil que a anterior pelos ()</t>
  </si>
  <si>
    <t>fácil por conta dos ()</t>
  </si>
  <si>
    <t>o if apresenta (), ficou mais fácil</t>
  </si>
  <si>
    <t>melhorou com os ()</t>
  </si>
  <si>
    <t>validou o and e depois o or</t>
  </si>
  <si>
    <t>mais fácil que a anterior</t>
  </si>
  <si>
    <t>observou os parênteses e resolveu o and primeiro</t>
  </si>
  <si>
    <t>fácil por conta dos parênteses</t>
  </si>
  <si>
    <t>trás os () que facilitam</t>
  </si>
  <si>
    <t>comentou ser mais fácil que a anterior 11A</t>
  </si>
  <si>
    <t>sem dificuldade</t>
  </si>
  <si>
    <t>No difficulties</t>
  </si>
  <si>
    <t>tudo foi fácil</t>
  </si>
  <si>
    <t>tranquila no geral</t>
  </si>
  <si>
    <t>trecho chato</t>
  </si>
  <si>
    <t>nada dificil</t>
  </si>
  <si>
    <t>nenhum trecho difícil</t>
  </si>
  <si>
    <t>nenhuma dificuldade</t>
  </si>
  <si>
    <t>tranquila na condição</t>
  </si>
  <si>
    <t>não teve cálculo, foi fácil</t>
  </si>
  <si>
    <t>if fácil de validar</t>
  </si>
  <si>
    <t>fácil, só entra no if uma vez</t>
  </si>
  <si>
    <t>código simples de entender</t>
  </si>
  <si>
    <t>foi fácil validar o if porque era exclusivo</t>
  </si>
  <si>
    <t>padrão fácil</t>
  </si>
  <si>
    <t>simples de resolver</t>
  </si>
  <si>
    <t>observeou o incremento e o valor de cont</t>
  </si>
  <si>
    <t>não achou nada difícil</t>
  </si>
  <si>
    <t>tudo fácil</t>
  </si>
  <si>
    <t>elem facilitou</t>
  </si>
  <si>
    <t>verificou limite e viu se entrava no if</t>
  </si>
  <si>
    <t xml:space="preserve">verificou o limite &lt; </t>
  </si>
  <si>
    <t>avaliou o limite</t>
  </si>
  <si>
    <t>só 2 elementos eram menores que 50</t>
  </si>
  <si>
    <t>pegou total e incrementou 2x</t>
  </si>
  <si>
    <t>verificou os valores e incrementou</t>
  </si>
  <si>
    <t>achou fácil</t>
  </si>
  <si>
    <t>tranquila d+</t>
  </si>
  <si>
    <t>tranquila, organizado</t>
  </si>
  <si>
    <t>clara!</t>
  </si>
  <si>
    <t>estrutura fácil</t>
  </si>
  <si>
    <t>código claro</t>
  </si>
  <si>
    <t>clara</t>
  </si>
  <si>
    <t>fácil</t>
  </si>
  <si>
    <t>conceitos fáceis</t>
  </si>
  <si>
    <t>pode confundir um pouco</t>
  </si>
  <si>
    <t>simples, sem verificação</t>
  </si>
  <si>
    <t>linhas simples</t>
  </si>
  <si>
    <t>verificou se final maior que nota</t>
  </si>
  <si>
    <t>o código já tem valores fixos</t>
  </si>
  <si>
    <t>só olhou o valor de média</t>
  </si>
  <si>
    <t>observou o for e o i</t>
  </si>
  <si>
    <t>pessoas podem não saber o range</t>
  </si>
  <si>
    <t>loop normal</t>
  </si>
  <si>
    <t>valores fixos</t>
  </si>
  <si>
    <t>verificou o if, e quado entrava incrementava</t>
  </si>
  <si>
    <t>apresenta mais elementos claros</t>
  </si>
  <si>
    <t>lógica fácil</t>
  </si>
  <si>
    <t>fácil de compreender</t>
  </si>
  <si>
    <t>achou o if mais fácil</t>
  </si>
  <si>
    <t>viu que não era divisível</t>
  </si>
  <si>
    <t>só incremento</t>
  </si>
  <si>
    <t>resolveu de cara</t>
  </si>
  <si>
    <t>nada trouxe dificuldade</t>
  </si>
  <si>
    <t>usa bastante valor *= 1</t>
  </si>
  <si>
    <t>apenas 1 elem &gt; 30</t>
  </si>
  <si>
    <t>apenas incrementou 1x</t>
  </si>
  <si>
    <t>observou o incremento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</si>
</sst>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rgb="FF000000"/>
      <name val="Inconsolata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1" xfId="0" applyFont="1" applyNumberFormat="1"/>
    <xf borderId="0" fillId="0" fontId="1" numFmtId="2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Font="1"/>
    <xf borderId="0" fillId="0" fontId="4" numFmtId="49" xfId="0" applyFont="1" applyNumberForma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Font="1"/>
    <xf borderId="0" fillId="0" fontId="4" numFmtId="0" xfId="0" applyAlignment="1" applyFont="1">
      <alignment horizontal="center"/>
    </xf>
    <xf borderId="0" fillId="0" fontId="5" numFmtId="49" xfId="0" applyFont="1" applyNumberFormat="1"/>
    <xf borderId="0" fillId="0" fontId="5" numFmtId="2" xfId="0" applyFont="1" applyNumberFormat="1"/>
    <xf borderId="0" fillId="0" fontId="5" numFmtId="3" xfId="0" applyFont="1" applyNumberFormat="1"/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4" xfId="0" applyFont="1" applyNumberFormat="1"/>
    <xf borderId="0" fillId="2" fontId="7" numFmtId="0" xfId="0" applyAlignment="1" applyFill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horizontal="center" vertical="center"/>
    </xf>
    <xf borderId="0" fillId="0" fontId="5" numFmtId="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0" max="20" width="21.38"/>
    <col customWidth="1" min="22" max="22" width="26.13"/>
    <col customWidth="1" min="23" max="23" width="26.88"/>
    <col customWidth="1" min="26" max="26" width="27.88"/>
    <col customWidth="1" min="30" max="31" width="30.88"/>
    <col customWidth="1" min="32" max="33" width="31.63"/>
    <col customWidth="1" min="34" max="35" width="38.38"/>
    <col customWidth="1" min="36" max="37" width="46.63"/>
    <col customWidth="1" min="38" max="41" width="39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/>
      <c r="AD1" s="1" t="s">
        <v>28</v>
      </c>
      <c r="AE1" s="5" t="s">
        <v>29</v>
      </c>
      <c r="AF1" s="5" t="s">
        <v>30</v>
      </c>
      <c r="AG1" s="5" t="s">
        <v>31</v>
      </c>
      <c r="AH1" s="1" t="s">
        <v>32</v>
      </c>
      <c r="AI1" s="1" t="str">
        <f>IFERROR(__xludf.DUMMYFUNCTION("GOOGLETRANSLATE(AH1,""pt"",""en"")"),"Eye Tracking, Correctness, Time")</f>
        <v>Eye Tracking, Correctness, Time</v>
      </c>
      <c r="AJ1" s="6" t="s">
        <v>33</v>
      </c>
      <c r="AK1" s="6" t="str">
        <f>IFERROR(__xludf.DUMMYFUNCTION("GOOGLETRANSLATE(AJ1,""pt"",""en"")"),"code")</f>
        <v>code</v>
      </c>
      <c r="AL1" s="1" t="s">
        <v>34</v>
      </c>
      <c r="AM1" s="7" t="s">
        <v>35</v>
      </c>
      <c r="AN1" s="1" t="s">
        <v>36</v>
      </c>
      <c r="AO1" s="7" t="s">
        <v>37</v>
      </c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</row>
    <row r="2">
      <c r="A2" s="9">
        <v>97.0</v>
      </c>
      <c r="B2" s="10">
        <v>9.0</v>
      </c>
      <c r="C2" s="10">
        <v>18.0</v>
      </c>
      <c r="D2" s="9">
        <v>1.0</v>
      </c>
      <c r="E2" s="10" t="s">
        <v>38</v>
      </c>
      <c r="F2" s="10">
        <v>1.0</v>
      </c>
      <c r="G2" s="10">
        <v>1.0</v>
      </c>
      <c r="H2" s="10" t="s">
        <v>39</v>
      </c>
      <c r="I2" s="10">
        <v>2.0</v>
      </c>
      <c r="J2" s="10" t="s">
        <v>40</v>
      </c>
      <c r="K2" s="10" t="s">
        <v>41</v>
      </c>
      <c r="L2" s="10">
        <v>46.47</v>
      </c>
      <c r="M2" s="10">
        <v>69.0</v>
      </c>
      <c r="N2" s="10">
        <v>22.99</v>
      </c>
      <c r="O2" s="10">
        <v>22.0</v>
      </c>
      <c r="P2" s="10">
        <v>12.0</v>
      </c>
      <c r="Q2" s="10">
        <v>10.0</v>
      </c>
      <c r="R2" s="10">
        <v>3.86</v>
      </c>
      <c r="S2" s="10">
        <v>8.0</v>
      </c>
      <c r="T2" s="10">
        <v>2.72</v>
      </c>
      <c r="U2" s="10">
        <v>3.0</v>
      </c>
      <c r="V2" s="10">
        <v>3.0</v>
      </c>
      <c r="W2" s="10">
        <v>0.0</v>
      </c>
      <c r="X2" s="10">
        <v>2.0</v>
      </c>
      <c r="Y2" s="10">
        <v>0.0</v>
      </c>
      <c r="Z2" s="10">
        <v>2.0</v>
      </c>
      <c r="AA2" s="10">
        <v>0.0</v>
      </c>
      <c r="AB2" s="10">
        <v>3.0</v>
      </c>
      <c r="AC2" s="11" t="s">
        <v>42</v>
      </c>
      <c r="AD2" s="10" t="s">
        <v>43</v>
      </c>
      <c r="AE2" s="9" t="str">
        <f>IFERROR(__xludf.DUMMYFUNCTION("GOOGLETRANSLATE(AD2,""pt"",""en"")"),"simple to understand")</f>
        <v>simple to understand</v>
      </c>
      <c r="AF2" s="10" t="s">
        <v>44</v>
      </c>
      <c r="AG2" s="9" t="str">
        <f>IFERROR(__xludf.DUMMYFUNCTION("GOOGLETRANSLATE(AF2,""pt"",""en"")"),"fixed in the final variable")</f>
        <v>fixed in the final variable</v>
      </c>
      <c r="AH2" s="10"/>
      <c r="AI2" s="9"/>
      <c r="AJ2" s="12" t="s">
        <v>45</v>
      </c>
      <c r="AK2" s="13" t="str">
        <f>IFERROR(__xludf.DUMMYFUNCTION("GOOGLETRANSLATE(AJ2,""pt"",""en"")"),"ease with attribution in the same line")</f>
        <v>ease with attribution in the same line</v>
      </c>
      <c r="AL2" s="14" t="s">
        <v>46</v>
      </c>
      <c r="AM2" s="13" t="str">
        <f>IFERROR(__xludf.DUMMYFUNCTION("GOOGLETRANSLATE(AL2,""pt"",""en"")"),"multiple assignment on the same line")</f>
        <v>multiple assignment on the same line</v>
      </c>
      <c r="AN2" s="14" t="s">
        <v>47</v>
      </c>
      <c r="AO2" s="14" t="s">
        <v>48</v>
      </c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</row>
    <row r="3">
      <c r="A3" s="9">
        <v>199.0</v>
      </c>
      <c r="B3" s="10">
        <v>1.0</v>
      </c>
      <c r="C3" s="10">
        <v>1.0</v>
      </c>
      <c r="D3" s="9">
        <v>2.0</v>
      </c>
      <c r="E3" s="10" t="s">
        <v>49</v>
      </c>
      <c r="F3" s="10">
        <v>1.0</v>
      </c>
      <c r="G3" s="10">
        <v>2.0</v>
      </c>
      <c r="H3" s="10" t="s">
        <v>39</v>
      </c>
      <c r="I3" s="10">
        <v>1.0</v>
      </c>
      <c r="J3" s="10" t="s">
        <v>40</v>
      </c>
      <c r="K3" s="10" t="s">
        <v>50</v>
      </c>
      <c r="L3" s="10">
        <v>18.49</v>
      </c>
      <c r="M3" s="10">
        <v>35.0</v>
      </c>
      <c r="N3" s="10">
        <v>10.85</v>
      </c>
      <c r="O3" s="10">
        <v>9.0</v>
      </c>
      <c r="P3" s="10">
        <v>2.0</v>
      </c>
      <c r="Q3" s="10">
        <v>7.0</v>
      </c>
      <c r="R3" s="10">
        <v>3.35</v>
      </c>
      <c r="S3" s="10">
        <v>6.0</v>
      </c>
      <c r="T3" s="10">
        <v>2.0</v>
      </c>
      <c r="U3" s="10">
        <v>0.0</v>
      </c>
      <c r="V3" s="10">
        <v>0.0</v>
      </c>
      <c r="W3" s="10">
        <v>0.0</v>
      </c>
      <c r="X3" s="10">
        <v>1.0</v>
      </c>
      <c r="Y3" s="10">
        <v>0.0</v>
      </c>
      <c r="Z3" s="10">
        <v>1.0</v>
      </c>
      <c r="AA3" s="10">
        <v>0.0</v>
      </c>
      <c r="AB3" s="10">
        <v>2.0</v>
      </c>
      <c r="AC3" s="11" t="s">
        <v>51</v>
      </c>
      <c r="AD3" s="10" t="s">
        <v>52</v>
      </c>
      <c r="AE3" s="9" t="str">
        <f>IFERROR(__xludf.DUMMYFUNCTION("GOOGLETRANSLATE(AD3,""pt"",""en"")"),"no difficulty pointed out")</f>
        <v>no difficulty pointed out</v>
      </c>
      <c r="AF3" s="10" t="s">
        <v>53</v>
      </c>
      <c r="AG3" s="9" t="str">
        <f>IFERROR(__xludf.DUMMYFUNCTION("GOOGLETRANSLATE(AF3,""pt"",""en"")"),"considered the variables in the same line made the issue easy")</f>
        <v>considered the variables in the same line made the issue easy</v>
      </c>
      <c r="AH3" s="10"/>
      <c r="AI3" s="9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</row>
    <row r="4">
      <c r="A4" s="9">
        <v>295.0</v>
      </c>
      <c r="B4" s="10">
        <v>9.0</v>
      </c>
      <c r="C4" s="10">
        <v>17.0</v>
      </c>
      <c r="D4" s="9">
        <v>2.0</v>
      </c>
      <c r="E4" s="10" t="s">
        <v>49</v>
      </c>
      <c r="F4" s="10">
        <v>1.0</v>
      </c>
      <c r="G4" s="10">
        <v>2.0</v>
      </c>
      <c r="H4" s="10" t="s">
        <v>39</v>
      </c>
      <c r="I4" s="10">
        <v>1.0</v>
      </c>
      <c r="J4" s="10" t="s">
        <v>40</v>
      </c>
      <c r="K4" s="10" t="s">
        <v>41</v>
      </c>
      <c r="L4" s="10">
        <v>40.57</v>
      </c>
      <c r="M4" s="10">
        <v>59.0</v>
      </c>
      <c r="N4" s="10">
        <v>20.23</v>
      </c>
      <c r="O4" s="10">
        <v>23.0</v>
      </c>
      <c r="P4" s="10">
        <v>9.0</v>
      </c>
      <c r="Q4" s="10">
        <v>14.0</v>
      </c>
      <c r="R4" s="10">
        <v>9.14</v>
      </c>
      <c r="S4" s="10">
        <v>14.0</v>
      </c>
      <c r="T4" s="10">
        <v>4.48</v>
      </c>
      <c r="U4" s="10">
        <v>3.0</v>
      </c>
      <c r="V4" s="10">
        <v>3.0</v>
      </c>
      <c r="W4" s="10">
        <v>0.0</v>
      </c>
      <c r="X4" s="10">
        <v>4.0</v>
      </c>
      <c r="Y4" s="10">
        <v>1.0</v>
      </c>
      <c r="Z4" s="10">
        <v>3.0</v>
      </c>
      <c r="AA4" s="10">
        <v>0.0</v>
      </c>
      <c r="AB4" s="10">
        <v>4.0</v>
      </c>
      <c r="AC4" s="11" t="s">
        <v>54</v>
      </c>
      <c r="AD4" s="10" t="s">
        <v>55</v>
      </c>
      <c r="AE4" s="9" t="str">
        <f>IFERROR(__xludf.DUMMYFUNCTION("GOOGLETRANSLATE(AD4,""pt"",""en"")"),"average and grade with the same value is better")</f>
        <v>average and grade with the same value is better</v>
      </c>
      <c r="AF4" s="10"/>
      <c r="AG4" s="9"/>
      <c r="AH4" s="10"/>
      <c r="AI4" s="9"/>
      <c r="AJ4" s="13" t="s">
        <v>56</v>
      </c>
      <c r="AK4" s="13" t="str">
        <f>IFERROR(__xludf.DUMMYFUNCTION("GOOGLETRANSLATE(AJ4,""pt"",""en"")"),"same assignment facilitated")</f>
        <v>same assignment facilitated</v>
      </c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</row>
    <row r="5">
      <c r="A5" s="9">
        <v>13.0</v>
      </c>
      <c r="B5" s="10">
        <v>2.0</v>
      </c>
      <c r="C5" s="10">
        <v>4.0</v>
      </c>
      <c r="D5" s="9">
        <v>1.0</v>
      </c>
      <c r="E5" s="10" t="s">
        <v>38</v>
      </c>
      <c r="F5" s="10">
        <v>1.0</v>
      </c>
      <c r="G5" s="10">
        <v>1.0</v>
      </c>
      <c r="H5" s="10" t="s">
        <v>39</v>
      </c>
      <c r="I5" s="10">
        <v>1.0</v>
      </c>
      <c r="J5" s="10" t="s">
        <v>40</v>
      </c>
      <c r="K5" s="10" t="s">
        <v>57</v>
      </c>
      <c r="L5" s="10">
        <v>62.29</v>
      </c>
      <c r="M5" s="10">
        <v>93.0</v>
      </c>
      <c r="N5" s="10">
        <v>34.68</v>
      </c>
      <c r="O5" s="10">
        <v>44.0</v>
      </c>
      <c r="P5" s="10">
        <v>18.0</v>
      </c>
      <c r="Q5" s="10">
        <v>26.0</v>
      </c>
      <c r="R5" s="10">
        <v>10.97</v>
      </c>
      <c r="S5" s="10">
        <v>13.0</v>
      </c>
      <c r="T5" s="10">
        <v>5.94</v>
      </c>
      <c r="U5" s="10">
        <v>2.0</v>
      </c>
      <c r="V5" s="10">
        <v>2.0</v>
      </c>
      <c r="W5" s="10">
        <v>0.0</v>
      </c>
      <c r="X5" s="10">
        <v>7.0</v>
      </c>
      <c r="Y5" s="10">
        <v>0.0</v>
      </c>
      <c r="Z5" s="10">
        <v>7.0</v>
      </c>
      <c r="AA5" s="10">
        <v>0.0</v>
      </c>
      <c r="AB5" s="10">
        <v>7.0</v>
      </c>
      <c r="AC5" s="11" t="s">
        <v>58</v>
      </c>
      <c r="AD5" s="10" t="s">
        <v>59</v>
      </c>
      <c r="AE5" s="9" t="str">
        <f>IFERROR(__xludf.DUMMYFUNCTION("GOOGLETRANSLATE(AD5,""pt"",""en"")"),"FIRST LINE")</f>
        <v>FIRST LINE</v>
      </c>
      <c r="AF5" s="10"/>
      <c r="AG5" s="9"/>
      <c r="AH5" s="9" t="s">
        <v>60</v>
      </c>
      <c r="AI5" s="9" t="str">
        <f>IFERROR(__xludf.DUMMYFUNCTION("GOOGLETRANSLATE(AH5,""pt"",""en"")"),"Enter and go out frequently at AOI and come back on the line")</f>
        <v>Enter and go out frequently at AOI and come back on the line</v>
      </c>
      <c r="AJ5" s="12" t="s">
        <v>59</v>
      </c>
      <c r="AK5" s="14" t="s">
        <v>61</v>
      </c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</row>
    <row r="6">
      <c r="A6" s="9">
        <v>85.0</v>
      </c>
      <c r="B6" s="10">
        <v>8.0</v>
      </c>
      <c r="C6" s="10">
        <v>16.0</v>
      </c>
      <c r="D6" s="9">
        <v>1.0</v>
      </c>
      <c r="E6" s="10" t="s">
        <v>38</v>
      </c>
      <c r="F6" s="10">
        <v>1.0</v>
      </c>
      <c r="G6" s="10">
        <v>1.0</v>
      </c>
      <c r="H6" s="10" t="s">
        <v>39</v>
      </c>
      <c r="I6" s="10">
        <v>2.0</v>
      </c>
      <c r="J6" s="10" t="s">
        <v>40</v>
      </c>
      <c r="K6" s="10" t="s">
        <v>57</v>
      </c>
      <c r="L6" s="10">
        <v>89.18</v>
      </c>
      <c r="M6" s="10">
        <v>157.0</v>
      </c>
      <c r="N6" s="10">
        <v>55.57</v>
      </c>
      <c r="O6" s="10">
        <v>63.0</v>
      </c>
      <c r="P6" s="10">
        <v>29.0</v>
      </c>
      <c r="Q6" s="10">
        <v>34.0</v>
      </c>
      <c r="R6" s="10">
        <v>17.7</v>
      </c>
      <c r="S6" s="10">
        <v>35.0</v>
      </c>
      <c r="T6" s="10">
        <v>11.87</v>
      </c>
      <c r="U6" s="10">
        <v>9.0</v>
      </c>
      <c r="V6" s="10">
        <v>9.0</v>
      </c>
      <c r="W6" s="10">
        <v>0.0</v>
      </c>
      <c r="X6" s="10">
        <v>10.0</v>
      </c>
      <c r="Y6" s="10">
        <v>0.0</v>
      </c>
      <c r="Z6" s="10">
        <v>10.0</v>
      </c>
      <c r="AA6" s="10">
        <v>0.0</v>
      </c>
      <c r="AB6" s="10">
        <v>11.0</v>
      </c>
      <c r="AC6" s="11" t="s">
        <v>62</v>
      </c>
      <c r="AD6" s="10" t="s">
        <v>63</v>
      </c>
      <c r="AE6" s="9" t="str">
        <f>IFERROR(__xludf.DUMMYFUNCTION("GOOGLETRANSLATE(AD6,""pt"",""en"")"),"wrapped in line 1")</f>
        <v>wrapped in line 1</v>
      </c>
      <c r="AF6" s="10"/>
      <c r="AG6" s="9"/>
      <c r="AH6" s="9" t="s">
        <v>64</v>
      </c>
      <c r="AI6" s="9" t="str">
        <f>IFERROR(__xludf.DUMMYFUNCTION("GOOGLETRANSLATE(AH6,""pt"",""en"")"),"made a mistake, entered and came out frequently at AOI, made more regressions")</f>
        <v>made a mistake, entered and came out frequently at AOI, made more regressions</v>
      </c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</row>
    <row r="7">
      <c r="A7" s="9">
        <v>247.0</v>
      </c>
      <c r="B7" s="10">
        <v>5.0</v>
      </c>
      <c r="C7" s="10">
        <v>9.0</v>
      </c>
      <c r="D7" s="9">
        <v>2.0</v>
      </c>
      <c r="E7" s="10" t="s">
        <v>49</v>
      </c>
      <c r="F7" s="10">
        <v>1.0</v>
      </c>
      <c r="G7" s="10">
        <v>2.0</v>
      </c>
      <c r="H7" s="10" t="s">
        <v>39</v>
      </c>
      <c r="I7" s="10">
        <v>1.0</v>
      </c>
      <c r="J7" s="10" t="s">
        <v>40</v>
      </c>
      <c r="K7" s="10" t="s">
        <v>41</v>
      </c>
      <c r="L7" s="10">
        <v>47.76</v>
      </c>
      <c r="M7" s="10">
        <v>80.0</v>
      </c>
      <c r="N7" s="10">
        <v>26.39</v>
      </c>
      <c r="O7" s="10">
        <v>29.0</v>
      </c>
      <c r="P7" s="10">
        <v>14.0</v>
      </c>
      <c r="Q7" s="10">
        <v>15.0</v>
      </c>
      <c r="R7" s="10">
        <v>14.86</v>
      </c>
      <c r="S7" s="10">
        <v>29.0</v>
      </c>
      <c r="T7" s="10">
        <v>9.12</v>
      </c>
      <c r="U7" s="10">
        <v>9.0</v>
      </c>
      <c r="V7" s="10">
        <v>9.0</v>
      </c>
      <c r="W7" s="10">
        <v>0.0</v>
      </c>
      <c r="X7" s="10">
        <v>8.0</v>
      </c>
      <c r="Y7" s="10">
        <v>0.0</v>
      </c>
      <c r="Z7" s="10">
        <v>8.0</v>
      </c>
      <c r="AA7" s="10">
        <v>1.0</v>
      </c>
      <c r="AB7" s="10">
        <v>8.0</v>
      </c>
      <c r="AC7" s="11" t="s">
        <v>65</v>
      </c>
      <c r="AD7" s="10" t="s">
        <v>66</v>
      </c>
      <c r="AE7" s="9" t="str">
        <f>IFERROR(__xludf.DUMMYFUNCTION("GOOGLETRANSLATE(AD7,""pt"",""en"")"),"first -line line")</f>
        <v>first -line line</v>
      </c>
      <c r="AF7" s="10"/>
      <c r="AG7" s="9"/>
      <c r="AH7" s="9" t="s">
        <v>67</v>
      </c>
      <c r="AI7" s="9" t="str">
        <f>IFERROR(__xludf.DUMMYFUNCTION("GOOGLETRANSLATE(AH7,""pt"",""en"")"),"more time in AOI and more regressions")</f>
        <v>more time in AOI and more regressions</v>
      </c>
      <c r="AJ7" s="13" t="s">
        <v>66</v>
      </c>
      <c r="AK7" s="14" t="s">
        <v>68</v>
      </c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</row>
    <row r="8">
      <c r="A8" s="9">
        <v>355.0</v>
      </c>
      <c r="B8" s="10">
        <v>14.0</v>
      </c>
      <c r="C8" s="10">
        <v>27.0</v>
      </c>
      <c r="D8" s="9">
        <v>2.0</v>
      </c>
      <c r="E8" s="10" t="s">
        <v>49</v>
      </c>
      <c r="F8" s="10">
        <v>1.0</v>
      </c>
      <c r="G8" s="10">
        <v>2.0</v>
      </c>
      <c r="H8" s="10" t="s">
        <v>39</v>
      </c>
      <c r="I8" s="10">
        <v>1.0</v>
      </c>
      <c r="J8" s="10" t="s">
        <v>40</v>
      </c>
      <c r="K8" s="10" t="s">
        <v>57</v>
      </c>
      <c r="L8" s="10">
        <v>57.24</v>
      </c>
      <c r="M8" s="10">
        <v>69.0</v>
      </c>
      <c r="N8" s="10">
        <v>23.14</v>
      </c>
      <c r="O8" s="10">
        <v>30.0</v>
      </c>
      <c r="P8" s="10">
        <v>13.0</v>
      </c>
      <c r="Q8" s="10">
        <v>17.0</v>
      </c>
      <c r="R8" s="10">
        <v>15.01</v>
      </c>
      <c r="S8" s="10">
        <v>25.0</v>
      </c>
      <c r="T8" s="10">
        <v>7.45</v>
      </c>
      <c r="U8" s="10">
        <v>6.0</v>
      </c>
      <c r="V8" s="10">
        <v>6.0</v>
      </c>
      <c r="W8" s="10">
        <v>0.0</v>
      </c>
      <c r="X8" s="10">
        <v>10.0</v>
      </c>
      <c r="Y8" s="10">
        <v>0.0</v>
      </c>
      <c r="Z8" s="10">
        <v>10.0</v>
      </c>
      <c r="AA8" s="10">
        <v>0.0</v>
      </c>
      <c r="AB8" s="10">
        <v>10.0</v>
      </c>
      <c r="AC8" s="11" t="s">
        <v>69</v>
      </c>
      <c r="AD8" s="10" t="s">
        <v>70</v>
      </c>
      <c r="AE8" s="9" t="str">
        <f>IFERROR(__xludf.DUMMYFUNCTION("GOOGLETRANSLATE(AD8,""pt"",""en"")"),"did not understand the first line of the face")</f>
        <v>did not understand the first line of the face</v>
      </c>
      <c r="AF8" s="10"/>
      <c r="AG8" s="9"/>
      <c r="AH8" s="9" t="s">
        <v>71</v>
      </c>
      <c r="AI8" s="9" t="str">
        <f>IFERROR(__xludf.DUMMYFUNCTION("GOOGLETRANSLATE(AH8,""pt"",""en"")"),"more time, regressions and entrances to AOI")</f>
        <v>more time, regressions and entrances to AOI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</row>
    <row r="9">
      <c r="A9" s="9">
        <v>157.0</v>
      </c>
      <c r="B9" s="10">
        <v>14.0</v>
      </c>
      <c r="C9" s="10">
        <v>28.0</v>
      </c>
      <c r="D9" s="9">
        <v>1.0</v>
      </c>
      <c r="E9" s="10" t="s">
        <v>38</v>
      </c>
      <c r="F9" s="10">
        <v>1.0</v>
      </c>
      <c r="G9" s="10">
        <v>1.0</v>
      </c>
      <c r="H9" s="10" t="s">
        <v>39</v>
      </c>
      <c r="I9" s="10">
        <v>2.0</v>
      </c>
      <c r="J9" s="10" t="s">
        <v>40</v>
      </c>
      <c r="K9" s="10" t="s">
        <v>57</v>
      </c>
      <c r="L9" s="10">
        <v>57.87</v>
      </c>
      <c r="M9" s="10">
        <v>93.0</v>
      </c>
      <c r="N9" s="10">
        <v>31.67</v>
      </c>
      <c r="O9" s="10">
        <v>33.0</v>
      </c>
      <c r="P9" s="10">
        <v>10.0</v>
      </c>
      <c r="Q9" s="10">
        <v>23.0</v>
      </c>
      <c r="R9" s="10">
        <v>14.59</v>
      </c>
      <c r="S9" s="10">
        <v>30.0</v>
      </c>
      <c r="T9" s="10">
        <v>9.1</v>
      </c>
      <c r="U9" s="10">
        <v>6.0</v>
      </c>
      <c r="V9" s="10">
        <v>6.0</v>
      </c>
      <c r="W9" s="10">
        <v>0.0</v>
      </c>
      <c r="X9" s="10">
        <v>11.0</v>
      </c>
      <c r="Y9" s="10">
        <v>0.0</v>
      </c>
      <c r="Z9" s="10">
        <v>11.0</v>
      </c>
      <c r="AA9" s="10">
        <v>0.0</v>
      </c>
      <c r="AB9" s="10">
        <v>12.0</v>
      </c>
      <c r="AC9" s="11" t="s">
        <v>72</v>
      </c>
      <c r="AD9" s="10" t="s">
        <v>73</v>
      </c>
      <c r="AE9" s="9" t="str">
        <f>IFERROR(__xludf.DUMMYFUNCTION("GOOGLETRANSLATE(AD9,""pt"",""en"")"),"Hurryned on Line 1")</f>
        <v>Hurryned on Line 1</v>
      </c>
      <c r="AF9" s="10" t="s">
        <v>74</v>
      </c>
      <c r="AG9" s="9" t="str">
        <f>IFERROR(__xludf.DUMMYFUNCTION("GOOGLETRANSLATE(AF9,""pt"",""en"")"),"Checked the values ​​on line 1")</f>
        <v>Checked the values ​​on line 1</v>
      </c>
      <c r="AH9" s="9" t="s">
        <v>75</v>
      </c>
      <c r="AI9" s="9" t="str">
        <f>IFERROR(__xludf.DUMMYFUNCTION("GOOGLETRANSLATE(AH9,""pt"",""en"")"),"Made a mistake, made more regressions in AOI, and found it early")</f>
        <v>Made a mistake, made more regressions in AOI, and found it early</v>
      </c>
      <c r="AJ9" s="13" t="s">
        <v>76</v>
      </c>
      <c r="AK9" s="14" t="s">
        <v>77</v>
      </c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</row>
    <row r="10">
      <c r="A10" s="9">
        <v>319.0</v>
      </c>
      <c r="B10" s="10">
        <v>11.0</v>
      </c>
      <c r="C10" s="10">
        <v>21.0</v>
      </c>
      <c r="D10" s="9">
        <v>2.0</v>
      </c>
      <c r="E10" s="10" t="s">
        <v>49</v>
      </c>
      <c r="F10" s="10">
        <v>1.0</v>
      </c>
      <c r="G10" s="10">
        <v>2.0</v>
      </c>
      <c r="H10" s="10" t="s">
        <v>39</v>
      </c>
      <c r="I10" s="10">
        <v>1.0</v>
      </c>
      <c r="J10" s="10" t="s">
        <v>40</v>
      </c>
      <c r="K10" s="10" t="s">
        <v>41</v>
      </c>
      <c r="L10" s="10">
        <v>38.87</v>
      </c>
      <c r="M10" s="10">
        <v>60.0</v>
      </c>
      <c r="N10" s="10">
        <v>22.8</v>
      </c>
      <c r="O10" s="10">
        <v>26.0</v>
      </c>
      <c r="P10" s="10">
        <v>15.0</v>
      </c>
      <c r="Q10" s="10">
        <v>11.0</v>
      </c>
      <c r="R10" s="10">
        <v>13.89</v>
      </c>
      <c r="S10" s="10">
        <v>29.0</v>
      </c>
      <c r="T10" s="10">
        <v>10.79</v>
      </c>
      <c r="U10" s="10">
        <v>8.0</v>
      </c>
      <c r="V10" s="10">
        <v>8.0</v>
      </c>
      <c r="W10" s="10">
        <v>0.0</v>
      </c>
      <c r="X10" s="10">
        <v>8.0</v>
      </c>
      <c r="Y10" s="10">
        <v>1.0</v>
      </c>
      <c r="Z10" s="10">
        <v>7.0</v>
      </c>
      <c r="AA10" s="10">
        <v>0.0</v>
      </c>
      <c r="AB10" s="10">
        <v>8.0</v>
      </c>
      <c r="AC10" s="11" t="s">
        <v>78</v>
      </c>
      <c r="AD10" s="9" t="s">
        <v>79</v>
      </c>
      <c r="AE10" s="9" t="str">
        <f>IFERROR(__xludf.DUMMYFUNCTION("GOOGLETRANSLATE(AD10,""pt"",""en"")"),"Line 1 can cause confusion")</f>
        <v>Line 1 can cause confusion</v>
      </c>
      <c r="AF10" s="10"/>
      <c r="AG10" s="9"/>
      <c r="AH10" s="9" t="s">
        <v>80</v>
      </c>
      <c r="AI10" s="9" t="str">
        <f>IFERROR(__xludf.DUMMYFUNCTION("GOOGLETRANSLATE(AH10,""pt"",""en"")"),"There was more regressions and more entrances to AOI")</f>
        <v>There was more regressions and more entrances to AOI</v>
      </c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</row>
    <row r="11">
      <c r="A11" s="9">
        <v>1.0</v>
      </c>
      <c r="B11" s="10">
        <v>1.0</v>
      </c>
      <c r="C11" s="10">
        <v>2.0</v>
      </c>
      <c r="D11" s="9">
        <v>1.0</v>
      </c>
      <c r="E11" s="10" t="s">
        <v>38</v>
      </c>
      <c r="F11" s="10">
        <v>1.0</v>
      </c>
      <c r="G11" s="10">
        <v>1.0</v>
      </c>
      <c r="H11" s="10" t="s">
        <v>39</v>
      </c>
      <c r="I11" s="10">
        <v>2.0</v>
      </c>
      <c r="J11" s="10" t="s">
        <v>40</v>
      </c>
      <c r="K11" s="10" t="s">
        <v>57</v>
      </c>
      <c r="L11" s="10">
        <v>75.1</v>
      </c>
      <c r="M11" s="10">
        <v>103.0</v>
      </c>
      <c r="N11" s="10">
        <v>34.18</v>
      </c>
      <c r="O11" s="10">
        <v>47.0</v>
      </c>
      <c r="P11" s="10">
        <v>22.0</v>
      </c>
      <c r="Q11" s="10">
        <v>25.0</v>
      </c>
      <c r="R11" s="10">
        <v>9.29</v>
      </c>
      <c r="S11" s="10">
        <v>14.0</v>
      </c>
      <c r="T11" s="10">
        <v>4.23</v>
      </c>
      <c r="U11" s="10">
        <v>1.0</v>
      </c>
      <c r="V11" s="10">
        <v>1.0</v>
      </c>
      <c r="W11" s="10">
        <v>0.0</v>
      </c>
      <c r="X11" s="10">
        <v>9.0</v>
      </c>
      <c r="Y11" s="10">
        <v>2.0</v>
      </c>
      <c r="Z11" s="10">
        <v>7.0</v>
      </c>
      <c r="AA11" s="10">
        <v>1.0</v>
      </c>
      <c r="AB11" s="10">
        <v>8.0</v>
      </c>
      <c r="AC11" s="11" t="s">
        <v>81</v>
      </c>
      <c r="AD11" s="9" t="s">
        <v>76</v>
      </c>
      <c r="AE11" s="9" t="str">
        <f>IFERROR(__xludf.DUMMYFUNCTION("GOOGLETRANSLATE(AD11,""pt"",""en"")"),"First line is confused")</f>
        <v>First line is confused</v>
      </c>
      <c r="AF11" s="9" t="s">
        <v>82</v>
      </c>
      <c r="AG11" s="9" t="str">
        <f>IFERROR(__xludf.DUMMYFUNCTION("GOOGLETRANSLATE(AF11,""pt"",""en"")"),"I observed the values ​​of the variables and checked the attributions in IF")</f>
        <v>I observed the values ​​of the variables and checked the attributions in IF</v>
      </c>
      <c r="AH11" s="9" t="s">
        <v>83</v>
      </c>
      <c r="AI11" s="9" t="str">
        <f>IFERROR(__xludf.DUMMYFUNCTION("GOOGLETRANSLATE(AH11,""pt"",""en"")"),"Enter and go out with frequency at AOI")</f>
        <v>Enter and go out with frequency at AOI</v>
      </c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</row>
    <row r="12">
      <c r="A12" s="9">
        <v>123.0</v>
      </c>
      <c r="B12" s="10">
        <v>11.0</v>
      </c>
      <c r="C12" s="10">
        <v>22.0</v>
      </c>
      <c r="D12" s="9">
        <v>1.0</v>
      </c>
      <c r="E12" s="10" t="s">
        <v>84</v>
      </c>
      <c r="F12" s="10">
        <v>3.0</v>
      </c>
      <c r="G12" s="10">
        <v>1.0</v>
      </c>
      <c r="H12" s="10" t="s">
        <v>39</v>
      </c>
      <c r="I12" s="10">
        <v>2.0</v>
      </c>
      <c r="J12" s="10" t="s">
        <v>40</v>
      </c>
      <c r="K12" s="10" t="s">
        <v>85</v>
      </c>
      <c r="L12" s="10">
        <v>45.04</v>
      </c>
      <c r="M12" s="10">
        <v>71.0</v>
      </c>
      <c r="N12" s="10">
        <v>22.55</v>
      </c>
      <c r="O12" s="10">
        <v>31.0</v>
      </c>
      <c r="P12" s="10">
        <v>11.0</v>
      </c>
      <c r="Q12" s="10">
        <v>20.0</v>
      </c>
      <c r="R12" s="10">
        <v>11.21</v>
      </c>
      <c r="S12" s="10">
        <v>18.0</v>
      </c>
      <c r="T12" s="10">
        <v>5.55</v>
      </c>
      <c r="U12" s="10">
        <v>2.0</v>
      </c>
      <c r="V12" s="10">
        <v>2.0</v>
      </c>
      <c r="W12" s="10">
        <v>0.0</v>
      </c>
      <c r="X12" s="10">
        <v>10.0</v>
      </c>
      <c r="Y12" s="10">
        <v>10.0</v>
      </c>
      <c r="Z12" s="10">
        <v>0.0</v>
      </c>
      <c r="AA12" s="10">
        <v>9.0</v>
      </c>
      <c r="AB12" s="10">
        <v>1.0</v>
      </c>
      <c r="AC12" s="11" t="s">
        <v>86</v>
      </c>
      <c r="AD12" s="10" t="s">
        <v>87</v>
      </c>
      <c r="AE12" s="9" t="str">
        <f>IFERROR(__xludf.DUMMYFUNCTION("GOOGLETRANSLATE(AD12,""pt"",""en"")"),"Everything in Mema Line is complicated")</f>
        <v>Everything in Mema Line is complicated</v>
      </c>
      <c r="AF12" s="10"/>
      <c r="AG12" s="9"/>
      <c r="AH12" s="9" t="s">
        <v>88</v>
      </c>
      <c r="AI12" s="9" t="str">
        <f>IFERROR(__xludf.DUMMYFUNCTION("GOOGLETRANSLATE(AH12,""pt"",""en"")"),"Wrong and spent more time on AOI")</f>
        <v>Wrong and spent more time on AOI</v>
      </c>
      <c r="AJ12" s="13" t="s">
        <v>89</v>
      </c>
      <c r="AK12" s="13" t="str">
        <f>IFERROR(__xludf.DUMMYFUNCTION("GOOGLETRANSLATE(AJ12,""pt"",""en"")"),"Everything on the same line is complicated")</f>
        <v>Everything on the same line is complicated</v>
      </c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>
      <c r="A13" s="9">
        <v>51.0</v>
      </c>
      <c r="B13" s="10">
        <v>5.0</v>
      </c>
      <c r="C13" s="10">
        <v>10.0</v>
      </c>
      <c r="D13" s="9">
        <v>1.0</v>
      </c>
      <c r="E13" s="10" t="s">
        <v>84</v>
      </c>
      <c r="F13" s="10">
        <v>3.0</v>
      </c>
      <c r="G13" s="10">
        <v>1.0</v>
      </c>
      <c r="H13" s="10" t="s">
        <v>39</v>
      </c>
      <c r="I13" s="10">
        <v>1.0</v>
      </c>
      <c r="J13" s="10" t="s">
        <v>40</v>
      </c>
      <c r="K13" s="10" t="s">
        <v>41</v>
      </c>
      <c r="L13" s="10">
        <v>118.66</v>
      </c>
      <c r="M13" s="10">
        <v>199.0</v>
      </c>
      <c r="N13" s="10">
        <v>68.19</v>
      </c>
      <c r="O13" s="10">
        <v>83.0</v>
      </c>
      <c r="P13" s="10">
        <v>50.0</v>
      </c>
      <c r="Q13" s="10">
        <v>33.0</v>
      </c>
      <c r="R13" s="10">
        <v>61.88</v>
      </c>
      <c r="S13" s="10">
        <v>110.0</v>
      </c>
      <c r="T13" s="10">
        <v>39.61</v>
      </c>
      <c r="U13" s="10">
        <v>34.0</v>
      </c>
      <c r="V13" s="10">
        <v>34.0</v>
      </c>
      <c r="W13" s="10">
        <v>0.0</v>
      </c>
      <c r="X13" s="10">
        <v>27.0</v>
      </c>
      <c r="Y13" s="10">
        <v>23.0</v>
      </c>
      <c r="Z13" s="10">
        <v>4.0</v>
      </c>
      <c r="AA13" s="10">
        <v>21.0</v>
      </c>
      <c r="AB13" s="10">
        <v>5.0</v>
      </c>
      <c r="AC13" s="11" t="s">
        <v>90</v>
      </c>
      <c r="AD13" s="10" t="s">
        <v>91</v>
      </c>
      <c r="AE13" s="9" t="str">
        <f>IFERROR(__xludf.DUMMYFUNCTION("GOOGLETRANSLATE(AD13,""pt"",""en"")"),"badly")</f>
        <v>badly</v>
      </c>
      <c r="AF13" s="10"/>
      <c r="AG13" s="9"/>
      <c r="AH13" s="9" t="s">
        <v>92</v>
      </c>
      <c r="AI13" s="9" t="str">
        <f>IFERROR(__xludf.DUMMYFUNCTION("GOOGLETRANSLATE(AH13,""pt"",""en"")"),"More time and regressions")</f>
        <v>More time and regressions</v>
      </c>
      <c r="AJ13" s="13" t="s">
        <v>93</v>
      </c>
      <c r="AK13" s="14" t="s">
        <v>94</v>
      </c>
      <c r="AL13" s="14" t="s">
        <v>95</v>
      </c>
      <c r="AM13" s="13" t="str">
        <f>IFERROR(__xludf.DUMMYFUNCTION("GOOGLETRANSLATE(AL13,""pt"",""en"")"),"indentation")</f>
        <v>indentation</v>
      </c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>
      <c r="A14" s="9">
        <v>212.0</v>
      </c>
      <c r="B14" s="10">
        <v>2.0</v>
      </c>
      <c r="C14" s="10">
        <v>3.0</v>
      </c>
      <c r="D14" s="9">
        <v>2.0</v>
      </c>
      <c r="E14" s="10" t="s">
        <v>96</v>
      </c>
      <c r="F14" s="10">
        <v>2.0</v>
      </c>
      <c r="G14" s="10">
        <v>2.0</v>
      </c>
      <c r="H14" s="10" t="s">
        <v>39</v>
      </c>
      <c r="I14" s="10">
        <v>1.0</v>
      </c>
      <c r="J14" s="10" t="s">
        <v>40</v>
      </c>
      <c r="K14" s="10" t="s">
        <v>85</v>
      </c>
      <c r="L14" s="10">
        <v>100.98</v>
      </c>
      <c r="M14" s="10">
        <v>186.0</v>
      </c>
      <c r="N14" s="10">
        <v>64.47</v>
      </c>
      <c r="O14" s="10">
        <v>73.0</v>
      </c>
      <c r="P14" s="10">
        <v>42.0</v>
      </c>
      <c r="Q14" s="10">
        <v>31.0</v>
      </c>
      <c r="R14" s="10">
        <v>41.77</v>
      </c>
      <c r="S14" s="10">
        <v>91.0</v>
      </c>
      <c r="T14" s="10">
        <v>29.66</v>
      </c>
      <c r="U14" s="10">
        <v>22.0</v>
      </c>
      <c r="V14" s="10">
        <v>22.0</v>
      </c>
      <c r="W14" s="10">
        <v>0.0</v>
      </c>
      <c r="X14" s="10">
        <v>23.0</v>
      </c>
      <c r="Y14" s="10">
        <v>15.0</v>
      </c>
      <c r="Z14" s="10">
        <v>8.0</v>
      </c>
      <c r="AA14" s="10">
        <v>14.0</v>
      </c>
      <c r="AB14" s="10">
        <v>9.0</v>
      </c>
      <c r="AC14" s="11" t="s">
        <v>97</v>
      </c>
      <c r="AD14" s="10" t="s">
        <v>98</v>
      </c>
      <c r="AE14" s="9" t="str">
        <f>IFERROR(__xludf.DUMMYFUNCTION("GOOGLETRANSLATE(AD14,""pt"",""en"")"),"confused the identity")</f>
        <v>confused the identity</v>
      </c>
      <c r="AF14" s="10"/>
      <c r="AG14" s="9"/>
      <c r="AH14" s="9" t="s">
        <v>99</v>
      </c>
      <c r="AI14" s="9" t="str">
        <f>IFERROR(__xludf.DUMMYFUNCTION("GOOGLETRANSLATE(AH14,""pt"",""en"")"),"spent more time")</f>
        <v>spent more time</v>
      </c>
      <c r="AJ14" s="14" t="s">
        <v>100</v>
      </c>
      <c r="AK14" s="13" t="str">
        <f>IFERROR(__xludf.DUMMYFUNCTION("GOOGLETRANSLATE(AJ14,""pt"",""en"")"),"confusing indentation")</f>
        <v>confusing indentation</v>
      </c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>
      <c r="A15" s="9">
        <v>129.0</v>
      </c>
      <c r="B15" s="10">
        <v>11.0</v>
      </c>
      <c r="C15" s="10">
        <v>22.0</v>
      </c>
      <c r="D15" s="9">
        <v>2.0</v>
      </c>
      <c r="E15" s="10" t="s">
        <v>101</v>
      </c>
      <c r="F15" s="10">
        <v>3.0</v>
      </c>
      <c r="G15" s="10">
        <v>2.0</v>
      </c>
      <c r="H15" s="10" t="s">
        <v>102</v>
      </c>
      <c r="I15" s="10">
        <v>2.0</v>
      </c>
      <c r="J15" s="10" t="s">
        <v>40</v>
      </c>
      <c r="K15" s="10" t="s">
        <v>85</v>
      </c>
      <c r="L15" s="10">
        <v>56.48</v>
      </c>
      <c r="M15" s="10">
        <v>80.0</v>
      </c>
      <c r="N15" s="10">
        <v>28.4</v>
      </c>
      <c r="O15" s="10">
        <v>37.0</v>
      </c>
      <c r="P15" s="10">
        <v>12.0</v>
      </c>
      <c r="Q15" s="10">
        <v>25.0</v>
      </c>
      <c r="R15" s="10">
        <v>40.29</v>
      </c>
      <c r="S15" s="10">
        <v>60.0</v>
      </c>
      <c r="T15" s="10">
        <v>22.79</v>
      </c>
      <c r="U15" s="10">
        <v>23.0</v>
      </c>
      <c r="V15" s="10">
        <v>9.0</v>
      </c>
      <c r="W15" s="10">
        <v>14.0</v>
      </c>
      <c r="X15" s="10">
        <v>10.0</v>
      </c>
      <c r="Y15" s="10">
        <v>5.0</v>
      </c>
      <c r="Z15" s="10">
        <v>5.0</v>
      </c>
      <c r="AA15" s="10">
        <v>4.0</v>
      </c>
      <c r="AB15" s="10">
        <v>5.0</v>
      </c>
      <c r="AC15" s="11" t="s">
        <v>86</v>
      </c>
      <c r="AD15" s="10" t="s">
        <v>103</v>
      </c>
      <c r="AE15" s="9" t="str">
        <f>IFERROR(__xludf.DUMMYFUNCTION("GOOGLETRANSLATE(AD15,""pt"",""en"")"),"found confusing because of the identity")</f>
        <v>found confusing because of the identity</v>
      </c>
      <c r="AF15" s="10"/>
      <c r="AG15" s="9"/>
      <c r="AH15" s="9" t="s">
        <v>104</v>
      </c>
      <c r="AI15" s="9" t="str">
        <f>IFERROR(__xludf.DUMMYFUNCTION("GOOGLETRANSLATE(AH15,""pt"",""en"")"),"made a mistake, spent more time and more regressions")</f>
        <v>made a mistake, spent more time and more regressions</v>
      </c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</row>
    <row r="16">
      <c r="A16" s="9">
        <v>165.0</v>
      </c>
      <c r="B16" s="10">
        <v>14.0</v>
      </c>
      <c r="C16" s="10">
        <v>28.0</v>
      </c>
      <c r="D16" s="9">
        <v>2.0</v>
      </c>
      <c r="E16" s="10" t="s">
        <v>101</v>
      </c>
      <c r="F16" s="10">
        <v>3.0</v>
      </c>
      <c r="G16" s="10">
        <v>2.0</v>
      </c>
      <c r="H16" s="10" t="s">
        <v>102</v>
      </c>
      <c r="I16" s="10">
        <v>1.0</v>
      </c>
      <c r="J16" s="10" t="s">
        <v>105</v>
      </c>
      <c r="K16" s="10" t="s">
        <v>57</v>
      </c>
      <c r="L16" s="10">
        <v>146.87</v>
      </c>
      <c r="M16" s="10">
        <v>210.0</v>
      </c>
      <c r="N16" s="10">
        <v>71.29</v>
      </c>
      <c r="O16" s="10">
        <v>102.0</v>
      </c>
      <c r="P16" s="10">
        <v>35.0</v>
      </c>
      <c r="Q16" s="10">
        <v>67.0</v>
      </c>
      <c r="R16" s="10">
        <v>74.95</v>
      </c>
      <c r="S16" s="10">
        <v>113.0</v>
      </c>
      <c r="T16" s="10">
        <v>38.3</v>
      </c>
      <c r="U16" s="10">
        <v>38.0</v>
      </c>
      <c r="V16" s="10">
        <v>12.0</v>
      </c>
      <c r="W16" s="10">
        <v>26.0</v>
      </c>
      <c r="X16" s="10">
        <v>32.0</v>
      </c>
      <c r="Y16" s="10">
        <v>7.0</v>
      </c>
      <c r="Z16" s="10">
        <v>25.0</v>
      </c>
      <c r="AA16" s="10">
        <v>4.0</v>
      </c>
      <c r="AB16" s="10">
        <v>28.0</v>
      </c>
      <c r="AC16" s="11" t="s">
        <v>72</v>
      </c>
      <c r="AD16" s="10" t="s">
        <v>106</v>
      </c>
      <c r="AE16" s="9" t="str">
        <f>IFERROR(__xludf.DUMMYFUNCTION("GOOGLETRANSLATE(AD16,""pt"",""en"")"),"He disrupted himself in the Else (Identation); and {")</f>
        <v>He disrupted himself in the Else (Identation); and {</v>
      </c>
      <c r="AF16" s="10"/>
      <c r="AG16" s="9"/>
      <c r="AH16" s="9" t="s">
        <v>104</v>
      </c>
      <c r="AI16" s="9" t="str">
        <f>IFERROR(__xludf.DUMMYFUNCTION("GOOGLETRANSLATE(AH16,""pt"",""en"")"),"made a mistake, spent more time and more regressions")</f>
        <v>made a mistake, spent more time and more regressions</v>
      </c>
      <c r="AJ16" s="13" t="s">
        <v>107</v>
      </c>
      <c r="AK16" s="14" t="s">
        <v>108</v>
      </c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</row>
    <row r="17">
      <c r="A17" s="9">
        <v>272.0</v>
      </c>
      <c r="B17" s="10">
        <v>7.0</v>
      </c>
      <c r="C17" s="10">
        <v>13.0</v>
      </c>
      <c r="D17" s="9">
        <v>2.0</v>
      </c>
      <c r="E17" s="10" t="s">
        <v>96</v>
      </c>
      <c r="F17" s="10">
        <v>2.0</v>
      </c>
      <c r="G17" s="10">
        <v>2.0</v>
      </c>
      <c r="H17" s="10" t="s">
        <v>39</v>
      </c>
      <c r="I17" s="10">
        <v>1.0</v>
      </c>
      <c r="J17" s="10" t="s">
        <v>40</v>
      </c>
      <c r="K17" s="10" t="s">
        <v>57</v>
      </c>
      <c r="L17" s="10">
        <v>114.48</v>
      </c>
      <c r="M17" s="10">
        <v>228.0</v>
      </c>
      <c r="N17" s="10">
        <v>78.53</v>
      </c>
      <c r="O17" s="10">
        <v>113.0</v>
      </c>
      <c r="P17" s="10">
        <v>69.0</v>
      </c>
      <c r="Q17" s="10">
        <v>44.0</v>
      </c>
      <c r="R17" s="10">
        <v>45.82</v>
      </c>
      <c r="S17" s="10">
        <v>105.0</v>
      </c>
      <c r="T17" s="10">
        <v>35.54</v>
      </c>
      <c r="U17" s="10">
        <v>40.0</v>
      </c>
      <c r="V17" s="10">
        <v>40.0</v>
      </c>
      <c r="W17" s="10">
        <v>0.0</v>
      </c>
      <c r="X17" s="10">
        <v>30.0</v>
      </c>
      <c r="Y17" s="10">
        <v>21.0</v>
      </c>
      <c r="Z17" s="10">
        <v>9.0</v>
      </c>
      <c r="AA17" s="10">
        <v>21.0</v>
      </c>
      <c r="AB17" s="10">
        <v>9.0</v>
      </c>
      <c r="AC17" s="11" t="s">
        <v>109</v>
      </c>
      <c r="AD17" s="10" t="s">
        <v>110</v>
      </c>
      <c r="AE17" s="9" t="str">
        <f>IFERROR(__xludf.DUMMYFUNCTION("GOOGLETRANSLATE(AD17,""pt"",""en"")"),"repetition + if confused, especially not")</f>
        <v>repetition + if confused, especially not</v>
      </c>
      <c r="AF17" s="10"/>
      <c r="AG17" s="9"/>
      <c r="AH17" s="9" t="s">
        <v>111</v>
      </c>
      <c r="AI17" s="9" t="str">
        <f>IFERROR(__xludf.DUMMYFUNCTION("GOOGLETRANSLATE(AH17,""pt"",""en"")"),"Many regressions and entrances to AOI")</f>
        <v>Many regressions and entrances to AOI</v>
      </c>
      <c r="AJ17" s="13" t="s">
        <v>112</v>
      </c>
      <c r="AK17" s="13" t="str">
        <f>IFERROR(__xludf.DUMMYFUNCTION("GOOGLETRANSLATE(AJ17,""pt"",""en"")"),"Evaluating if inside loop is difficult")</f>
        <v>Evaluating if inside loop is difficult</v>
      </c>
      <c r="AL17" s="14" t="s">
        <v>113</v>
      </c>
      <c r="AM17" s="13" t="str">
        <f>IFERROR(__xludf.DUMMYFUNCTION("GOOGLETRANSLATE(AL17,""pt"",""en"")"),"Nesting of Structures")</f>
        <v>Nesting of Structures</v>
      </c>
      <c r="AN17" s="14" t="s">
        <v>114</v>
      </c>
      <c r="AO17" s="13" t="str">
        <f>IFERROR(__xludf.DUMMYFUNCTION("GOOGLETRANSLATE(AN17,""pt"",""en"")"),"Flow Control")</f>
        <v>Flow Control</v>
      </c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</row>
    <row r="18">
      <c r="A18" s="9">
        <v>56.0</v>
      </c>
      <c r="B18" s="10">
        <v>5.0</v>
      </c>
      <c r="C18" s="10">
        <v>10.0</v>
      </c>
      <c r="D18" s="9">
        <v>2.0</v>
      </c>
      <c r="E18" s="10" t="s">
        <v>115</v>
      </c>
      <c r="F18" s="10">
        <v>2.0</v>
      </c>
      <c r="G18" s="10">
        <v>2.0</v>
      </c>
      <c r="H18" s="10" t="s">
        <v>102</v>
      </c>
      <c r="I18" s="10">
        <v>2.0</v>
      </c>
      <c r="J18" s="10" t="s">
        <v>40</v>
      </c>
      <c r="K18" s="10" t="s">
        <v>57</v>
      </c>
      <c r="L18" s="10">
        <v>77.12</v>
      </c>
      <c r="M18" s="10">
        <v>131.0</v>
      </c>
      <c r="N18" s="10">
        <v>46.74</v>
      </c>
      <c r="O18" s="10">
        <v>49.0</v>
      </c>
      <c r="P18" s="10">
        <v>28.0</v>
      </c>
      <c r="Q18" s="10">
        <v>21.0</v>
      </c>
      <c r="R18" s="10">
        <v>16.38</v>
      </c>
      <c r="S18" s="10">
        <v>37.0</v>
      </c>
      <c r="T18" s="10">
        <v>12.07</v>
      </c>
      <c r="U18" s="10">
        <v>10.0</v>
      </c>
      <c r="V18" s="10">
        <v>10.0</v>
      </c>
      <c r="W18" s="10">
        <v>0.0</v>
      </c>
      <c r="X18" s="10">
        <v>11.0</v>
      </c>
      <c r="Y18" s="10">
        <v>7.0</v>
      </c>
      <c r="Z18" s="10">
        <v>4.0</v>
      </c>
      <c r="AA18" s="10">
        <v>5.0</v>
      </c>
      <c r="AB18" s="10">
        <v>6.0</v>
      </c>
      <c r="AC18" s="11" t="s">
        <v>90</v>
      </c>
      <c r="AD18" s="10" t="s">
        <v>116</v>
      </c>
      <c r="AE18" s="9" t="str">
        <f>IFERROR(__xludf.DUMMYFUNCTION("GOOGLETRANSLATE(AD18,""pt"",""en"")"),"have to validate qhile and if complicates")</f>
        <v>have to validate qhile and if complicates</v>
      </c>
      <c r="AF18" s="10"/>
      <c r="AG18" s="9"/>
      <c r="AH18" s="9" t="s">
        <v>117</v>
      </c>
      <c r="AI18" s="9" t="str">
        <f>IFERROR(__xludf.DUMMYFUNCTION("GOOGLETRANSLATE(AH18,""pt"",""en"")"),"Wrong, more time and regressions")</f>
        <v>Wrong, more time and regressions</v>
      </c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>
      <c r="A19" s="9">
        <v>80.0</v>
      </c>
      <c r="B19" s="10">
        <v>7.0</v>
      </c>
      <c r="C19" s="10">
        <v>14.0</v>
      </c>
      <c r="D19" s="9">
        <v>2.0</v>
      </c>
      <c r="E19" s="10" t="s">
        <v>115</v>
      </c>
      <c r="F19" s="10">
        <v>2.0</v>
      </c>
      <c r="G19" s="10">
        <v>2.0</v>
      </c>
      <c r="H19" s="10" t="s">
        <v>102</v>
      </c>
      <c r="I19" s="10">
        <v>1.0</v>
      </c>
      <c r="J19" s="10" t="s">
        <v>40</v>
      </c>
      <c r="K19" s="10" t="s">
        <v>85</v>
      </c>
      <c r="L19" s="10">
        <v>47.15</v>
      </c>
      <c r="M19" s="10">
        <v>49.0</v>
      </c>
      <c r="N19" s="10">
        <v>15.69</v>
      </c>
      <c r="O19" s="10">
        <v>20.0</v>
      </c>
      <c r="P19" s="10">
        <v>9.0</v>
      </c>
      <c r="Q19" s="10">
        <v>11.0</v>
      </c>
      <c r="R19" s="10">
        <v>8.39</v>
      </c>
      <c r="S19" s="10">
        <v>10.0</v>
      </c>
      <c r="T19" s="10">
        <v>3.15</v>
      </c>
      <c r="U19" s="10">
        <v>0.0</v>
      </c>
      <c r="V19" s="10">
        <v>0.0</v>
      </c>
      <c r="W19" s="10">
        <v>0.0</v>
      </c>
      <c r="X19" s="10">
        <v>7.0</v>
      </c>
      <c r="Y19" s="10">
        <v>6.0</v>
      </c>
      <c r="Z19" s="10">
        <v>1.0</v>
      </c>
      <c r="AA19" s="10">
        <v>5.0</v>
      </c>
      <c r="AB19" s="10">
        <v>1.0</v>
      </c>
      <c r="AC19" s="11" t="s">
        <v>118</v>
      </c>
      <c r="AD19" s="10" t="s">
        <v>119</v>
      </c>
      <c r="AE19" s="9" t="str">
        <f>IFERROR(__xludf.DUMMYFUNCTION("GOOGLETRANSLATE(AD19,""pt"",""en"")"),"difficult because of While, if and denial")</f>
        <v>difficult because of While, if and denial</v>
      </c>
      <c r="AF19" s="10"/>
      <c r="AG19" s="9"/>
      <c r="AH19" s="10"/>
      <c r="AI19" s="9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</row>
    <row r="20">
      <c r="A20" s="9">
        <v>128.0</v>
      </c>
      <c r="B20" s="10">
        <v>11.0</v>
      </c>
      <c r="C20" s="10">
        <v>22.0</v>
      </c>
      <c r="D20" s="9">
        <v>2.0</v>
      </c>
      <c r="E20" s="10" t="s">
        <v>115</v>
      </c>
      <c r="F20" s="10">
        <v>2.0</v>
      </c>
      <c r="G20" s="10">
        <v>2.0</v>
      </c>
      <c r="H20" s="10" t="s">
        <v>102</v>
      </c>
      <c r="I20" s="10">
        <v>1.0</v>
      </c>
      <c r="J20" s="10" t="s">
        <v>40</v>
      </c>
      <c r="K20" s="10" t="s">
        <v>85</v>
      </c>
      <c r="L20" s="10">
        <v>31.66</v>
      </c>
      <c r="M20" s="10">
        <v>50.0</v>
      </c>
      <c r="N20" s="10">
        <v>19.67</v>
      </c>
      <c r="O20" s="10">
        <v>22.0</v>
      </c>
      <c r="P20" s="10">
        <v>9.0</v>
      </c>
      <c r="Q20" s="10">
        <v>13.0</v>
      </c>
      <c r="R20" s="10">
        <v>9.93</v>
      </c>
      <c r="S20" s="10">
        <v>15.0</v>
      </c>
      <c r="T20" s="10">
        <v>7.59</v>
      </c>
      <c r="U20" s="10">
        <v>2.0</v>
      </c>
      <c r="V20" s="10">
        <v>2.0</v>
      </c>
      <c r="W20" s="10">
        <v>0.0</v>
      </c>
      <c r="X20" s="10">
        <v>10.0</v>
      </c>
      <c r="Y20" s="10">
        <v>7.0</v>
      </c>
      <c r="Z20" s="10">
        <v>3.0</v>
      </c>
      <c r="AA20" s="10">
        <v>5.0</v>
      </c>
      <c r="AB20" s="10">
        <v>5.0</v>
      </c>
      <c r="AC20" s="11" t="s">
        <v>86</v>
      </c>
      <c r="AD20" s="10" t="s">
        <v>120</v>
      </c>
      <c r="AE20" s="9" t="str">
        <f>IFERROR(__xludf.DUMMYFUNCTION("GOOGLETRANSLATE(AD20,""pt"",""en"")"),"While + if complicated")</f>
        <v>While + if complicated</v>
      </c>
      <c r="AF20" s="10"/>
      <c r="AG20" s="9"/>
      <c r="AH20" s="10"/>
      <c r="AI20" s="9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</row>
    <row r="21">
      <c r="A21" s="9">
        <v>245.0</v>
      </c>
      <c r="B21" s="10">
        <v>5.0</v>
      </c>
      <c r="C21" s="10">
        <v>9.0</v>
      </c>
      <c r="D21" s="9">
        <v>1.0</v>
      </c>
      <c r="E21" s="10" t="s">
        <v>121</v>
      </c>
      <c r="F21" s="10">
        <v>5.0</v>
      </c>
      <c r="G21" s="10">
        <v>1.0</v>
      </c>
      <c r="H21" s="10" t="s">
        <v>102</v>
      </c>
      <c r="I21" s="10">
        <v>1.0</v>
      </c>
      <c r="J21" s="10" t="s">
        <v>40</v>
      </c>
      <c r="K21" s="10" t="s">
        <v>85</v>
      </c>
      <c r="L21" s="10">
        <v>99.61</v>
      </c>
      <c r="M21" s="10">
        <v>149.0</v>
      </c>
      <c r="N21" s="10">
        <v>55.38</v>
      </c>
      <c r="O21" s="10">
        <v>65.0</v>
      </c>
      <c r="P21" s="10">
        <v>54.0</v>
      </c>
      <c r="Q21" s="10">
        <v>11.0</v>
      </c>
      <c r="R21" s="10">
        <v>40.09</v>
      </c>
      <c r="S21" s="10">
        <v>75.0</v>
      </c>
      <c r="T21" s="10">
        <v>28.07</v>
      </c>
      <c r="U21" s="10">
        <v>30.0</v>
      </c>
      <c r="V21" s="10">
        <v>30.0</v>
      </c>
      <c r="W21" s="10">
        <v>0.0</v>
      </c>
      <c r="X21" s="10">
        <v>8.0</v>
      </c>
      <c r="Y21" s="10">
        <v>5.0</v>
      </c>
      <c r="Z21" s="10">
        <v>3.0</v>
      </c>
      <c r="AA21" s="10">
        <v>5.0</v>
      </c>
      <c r="AB21" s="10">
        <v>3.0</v>
      </c>
      <c r="AC21" s="11" t="s">
        <v>65</v>
      </c>
      <c r="AD21" s="10" t="s">
        <v>122</v>
      </c>
      <c r="AE21" s="9" t="str">
        <f>IFERROR(__xludf.DUMMYFUNCTION("GOOGLETRANSLATE(AD21,""pt"",""en"")"),"While along with the difficult if")</f>
        <v>While along with the difficult if</v>
      </c>
      <c r="AF21" s="10"/>
      <c r="AG21" s="9"/>
      <c r="AH21" s="9" t="s">
        <v>123</v>
      </c>
      <c r="AI21" s="9" t="str">
        <f>IFERROR(__xludf.DUMMYFUNCTION("GOOGLETRANSLATE(AH21,""pt"",""en"")"),"spent more time and more regressions")</f>
        <v>spent more time and more regressions</v>
      </c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</row>
    <row r="22">
      <c r="A22" s="9">
        <v>338.0</v>
      </c>
      <c r="B22" s="10">
        <v>13.0</v>
      </c>
      <c r="C22" s="10">
        <v>25.0</v>
      </c>
      <c r="D22" s="9">
        <v>1.0</v>
      </c>
      <c r="E22" s="10" t="s">
        <v>124</v>
      </c>
      <c r="F22" s="10">
        <v>2.0</v>
      </c>
      <c r="G22" s="10">
        <v>1.0</v>
      </c>
      <c r="H22" s="10" t="s">
        <v>102</v>
      </c>
      <c r="I22" s="10">
        <v>2.0</v>
      </c>
      <c r="J22" s="10" t="s">
        <v>105</v>
      </c>
      <c r="K22" s="10" t="s">
        <v>85</v>
      </c>
      <c r="L22" s="10">
        <v>126.14</v>
      </c>
      <c r="M22" s="10">
        <v>196.0</v>
      </c>
      <c r="N22" s="10">
        <v>59.55</v>
      </c>
      <c r="O22" s="10">
        <v>87.0</v>
      </c>
      <c r="P22" s="10">
        <v>46.0</v>
      </c>
      <c r="Q22" s="10">
        <v>41.0</v>
      </c>
      <c r="R22" s="10">
        <v>37.82</v>
      </c>
      <c r="S22" s="10">
        <v>77.0</v>
      </c>
      <c r="T22" s="10">
        <v>24.81</v>
      </c>
      <c r="U22" s="10">
        <v>19.0</v>
      </c>
      <c r="V22" s="10">
        <v>19.0</v>
      </c>
      <c r="W22" s="10">
        <v>0.0</v>
      </c>
      <c r="X22" s="10">
        <v>29.0</v>
      </c>
      <c r="Y22" s="10">
        <v>16.0</v>
      </c>
      <c r="Z22" s="10">
        <v>13.0</v>
      </c>
      <c r="AA22" s="10">
        <v>16.0</v>
      </c>
      <c r="AB22" s="10">
        <v>13.0</v>
      </c>
      <c r="AC22" s="11" t="s">
        <v>125</v>
      </c>
      <c r="AD22" s="10" t="s">
        <v>126</v>
      </c>
      <c r="AE22" s="9" t="str">
        <f>IFERROR(__xludf.DUMMYFUNCTION("GOOGLETRANSLATE(AD22,""pt"",""en"")"),"Structure of for difficult")</f>
        <v>Structure of for difficult</v>
      </c>
      <c r="AF22" s="10"/>
      <c r="AG22" s="9"/>
      <c r="AH22" s="9" t="s">
        <v>104</v>
      </c>
      <c r="AI22" s="9" t="str">
        <f>IFERROR(__xludf.DUMMYFUNCTION("GOOGLETRANSLATE(AH22,""pt"",""en"")"),"made a mistake, spent more time and more regressions")</f>
        <v>made a mistake, spent more time and more regressions</v>
      </c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</row>
    <row r="23">
      <c r="A23" s="9">
        <v>353.0</v>
      </c>
      <c r="B23" s="10">
        <v>14.0</v>
      </c>
      <c r="C23" s="10">
        <v>27.0</v>
      </c>
      <c r="D23" s="9">
        <v>1.0</v>
      </c>
      <c r="E23" s="10" t="s">
        <v>121</v>
      </c>
      <c r="F23" s="10">
        <v>5.0</v>
      </c>
      <c r="G23" s="10">
        <v>1.0</v>
      </c>
      <c r="H23" s="10" t="s">
        <v>102</v>
      </c>
      <c r="I23" s="10">
        <v>1.0</v>
      </c>
      <c r="J23" s="10" t="s">
        <v>105</v>
      </c>
      <c r="K23" s="10" t="s">
        <v>57</v>
      </c>
      <c r="L23" s="10">
        <v>86.72</v>
      </c>
      <c r="M23" s="10">
        <v>108.0</v>
      </c>
      <c r="N23" s="10">
        <v>38.24</v>
      </c>
      <c r="O23" s="10">
        <v>53.0</v>
      </c>
      <c r="P23" s="10">
        <v>25.0</v>
      </c>
      <c r="Q23" s="10">
        <v>28.0</v>
      </c>
      <c r="R23" s="10">
        <v>14.47</v>
      </c>
      <c r="S23" s="10">
        <v>21.0</v>
      </c>
      <c r="T23" s="10">
        <v>6.41</v>
      </c>
      <c r="U23" s="10">
        <v>1.0</v>
      </c>
      <c r="V23" s="10">
        <v>1.0</v>
      </c>
      <c r="W23" s="10">
        <v>0.0</v>
      </c>
      <c r="X23" s="10">
        <v>18.0</v>
      </c>
      <c r="Y23" s="10">
        <v>14.0</v>
      </c>
      <c r="Z23" s="10">
        <v>4.0</v>
      </c>
      <c r="AA23" s="10">
        <v>9.0</v>
      </c>
      <c r="AB23" s="10">
        <v>9.0</v>
      </c>
      <c r="AC23" s="11" t="s">
        <v>69</v>
      </c>
      <c r="AD23" s="10" t="s">
        <v>127</v>
      </c>
      <c r="AE23" s="9" t="str">
        <f>IFERROR(__xludf.DUMMYFUNCTION("GOOGLETRANSLATE(AD23,""pt"",""en"")"),"confused the While and if")</f>
        <v>confused the While and if</v>
      </c>
      <c r="AF23" s="10"/>
      <c r="AG23" s="9"/>
      <c r="AH23" s="9" t="s">
        <v>128</v>
      </c>
      <c r="AI23" s="9" t="str">
        <f>IFERROR(__xludf.DUMMYFUNCTION("GOOGLETRANSLATE(AH23,""pt"",""en"")"),"Wrong, spent more time")</f>
        <v>Wrong, spent more time</v>
      </c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</row>
    <row r="24">
      <c r="A24" s="9">
        <v>299.0</v>
      </c>
      <c r="B24" s="10">
        <v>9.0</v>
      </c>
      <c r="C24" s="10">
        <v>17.0</v>
      </c>
      <c r="D24" s="9">
        <v>2.0</v>
      </c>
      <c r="E24" s="10" t="s">
        <v>129</v>
      </c>
      <c r="F24" s="10">
        <v>5.0</v>
      </c>
      <c r="G24" s="10">
        <v>2.0</v>
      </c>
      <c r="H24" s="10" t="s">
        <v>39</v>
      </c>
      <c r="I24" s="10">
        <v>1.0</v>
      </c>
      <c r="J24" s="10" t="s">
        <v>40</v>
      </c>
      <c r="K24" s="10" t="s">
        <v>41</v>
      </c>
      <c r="L24" s="10">
        <v>84.1</v>
      </c>
      <c r="M24" s="10">
        <v>106.0</v>
      </c>
      <c r="N24" s="10">
        <v>46.25</v>
      </c>
      <c r="O24" s="10">
        <v>50.0</v>
      </c>
      <c r="P24" s="10">
        <v>22.0</v>
      </c>
      <c r="Q24" s="10">
        <v>28.0</v>
      </c>
      <c r="R24" s="10">
        <v>30.71</v>
      </c>
      <c r="S24" s="10">
        <v>46.0</v>
      </c>
      <c r="T24" s="10">
        <v>24.58</v>
      </c>
      <c r="U24" s="10">
        <v>10.0</v>
      </c>
      <c r="V24" s="10">
        <v>10.0</v>
      </c>
      <c r="W24" s="10">
        <v>0.0</v>
      </c>
      <c r="X24" s="10">
        <v>21.0</v>
      </c>
      <c r="Y24" s="10">
        <v>20.0</v>
      </c>
      <c r="Z24" s="10">
        <v>1.0</v>
      </c>
      <c r="AA24" s="10">
        <v>17.0</v>
      </c>
      <c r="AB24" s="10">
        <v>4.0</v>
      </c>
      <c r="AC24" s="11" t="s">
        <v>54</v>
      </c>
      <c r="AD24" s="10" t="s">
        <v>130</v>
      </c>
      <c r="AE24" s="9" t="str">
        <f>IFERROR(__xludf.DUMMYFUNCTION("GOOGLETRANSLATE(AD24,""pt"",""en"")"),"IF with % is more difficult in the division")</f>
        <v>IF with % is more difficult in the division</v>
      </c>
      <c r="AF24" s="10"/>
      <c r="AG24" s="9"/>
      <c r="AH24" s="9" t="s">
        <v>131</v>
      </c>
      <c r="AI24" s="9" t="str">
        <f>IFERROR(__xludf.DUMMYFUNCTION("GOOGLETRANSLATE(AH24,""pt"",""en"")"),"spent more time on AOI and more regressions")</f>
        <v>spent more time on AOI and more regressions</v>
      </c>
      <c r="AJ24" s="13" t="s">
        <v>132</v>
      </c>
      <c r="AK24" s="13" t="str">
        <f>IFERROR(__xludf.DUMMYFUNCTION("GOOGLETRANSLATE(AJ24,""pt"",""en"")"),"IF combination with module were difficult")</f>
        <v>IF combination with module were difficult</v>
      </c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</row>
    <row r="25">
      <c r="A25" s="9">
        <v>344.0</v>
      </c>
      <c r="B25" s="10">
        <v>13.0</v>
      </c>
      <c r="C25" s="10">
        <v>25.0</v>
      </c>
      <c r="D25" s="9">
        <v>2.0</v>
      </c>
      <c r="E25" s="10" t="s">
        <v>96</v>
      </c>
      <c r="F25" s="10">
        <v>2.0</v>
      </c>
      <c r="G25" s="10">
        <v>2.0</v>
      </c>
      <c r="H25" s="10" t="s">
        <v>39</v>
      </c>
      <c r="I25" s="10">
        <v>2.0</v>
      </c>
      <c r="J25" s="10" t="s">
        <v>105</v>
      </c>
      <c r="K25" s="10" t="s">
        <v>85</v>
      </c>
      <c r="L25" s="10">
        <v>113.78</v>
      </c>
      <c r="M25" s="10">
        <v>179.0</v>
      </c>
      <c r="N25" s="10">
        <v>75.13</v>
      </c>
      <c r="O25" s="10">
        <v>78.0</v>
      </c>
      <c r="P25" s="10">
        <v>52.0</v>
      </c>
      <c r="Q25" s="10">
        <v>26.0</v>
      </c>
      <c r="R25" s="10">
        <v>24.35</v>
      </c>
      <c r="S25" s="10">
        <v>43.0</v>
      </c>
      <c r="T25" s="10">
        <v>15.22</v>
      </c>
      <c r="U25" s="10">
        <v>10.0</v>
      </c>
      <c r="V25" s="10">
        <v>10.0</v>
      </c>
      <c r="W25" s="10">
        <v>0.0</v>
      </c>
      <c r="X25" s="10">
        <v>17.0</v>
      </c>
      <c r="Y25" s="10">
        <v>8.0</v>
      </c>
      <c r="Z25" s="10">
        <v>9.0</v>
      </c>
      <c r="AA25" s="10">
        <v>5.0</v>
      </c>
      <c r="AB25" s="10">
        <v>12.0</v>
      </c>
      <c r="AC25" s="11" t="s">
        <v>125</v>
      </c>
      <c r="AD25" s="10" t="s">
        <v>133</v>
      </c>
      <c r="AE25" s="9" t="str">
        <f>IFERROR(__xludf.DUMMYFUNCTION("GOOGLETRANSLATE(AD25,""pt"",""en"")"),"WHILE + INCREASE")</f>
        <v>WHILE + INCREASE</v>
      </c>
      <c r="AF25" s="10"/>
      <c r="AG25" s="9"/>
      <c r="AH25" s="9" t="s">
        <v>104</v>
      </c>
      <c r="AI25" s="9" t="str">
        <f>IFERROR(__xludf.DUMMYFUNCTION("GOOGLETRANSLATE(AH25,""pt"",""en"")"),"made a mistake, spent more time and more regressions")</f>
        <v>made a mistake, spent more time and more regressions</v>
      </c>
      <c r="AJ25" s="13" t="s">
        <v>134</v>
      </c>
      <c r="AK25" s="13" t="str">
        <f>IFERROR(__xludf.DUMMYFUNCTION("GOOGLETRANSLATE(AJ25,""pt"",""en"")"),"WHILE combined with conti is difficult")</f>
        <v>WHILE combined with conti is difficult</v>
      </c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</row>
    <row r="26">
      <c r="A26" s="9">
        <v>345.0</v>
      </c>
      <c r="B26" s="10">
        <v>13.0</v>
      </c>
      <c r="C26" s="10">
        <v>25.0</v>
      </c>
      <c r="D26" s="9">
        <v>2.0</v>
      </c>
      <c r="E26" s="10" t="s">
        <v>135</v>
      </c>
      <c r="F26" s="10">
        <v>3.0</v>
      </c>
      <c r="G26" s="10">
        <v>2.0</v>
      </c>
      <c r="H26" s="10" t="s">
        <v>39</v>
      </c>
      <c r="I26" s="10">
        <v>2.0</v>
      </c>
      <c r="J26" s="10" t="s">
        <v>105</v>
      </c>
      <c r="K26" s="10" t="s">
        <v>85</v>
      </c>
      <c r="L26" s="10">
        <v>135.1</v>
      </c>
      <c r="M26" s="10">
        <v>222.0</v>
      </c>
      <c r="N26" s="10">
        <v>71.95</v>
      </c>
      <c r="O26" s="10">
        <v>93.0</v>
      </c>
      <c r="P26" s="10">
        <v>56.0</v>
      </c>
      <c r="Q26" s="10">
        <v>37.0</v>
      </c>
      <c r="R26" s="10">
        <v>40.24</v>
      </c>
      <c r="S26" s="10">
        <v>72.0</v>
      </c>
      <c r="T26" s="10">
        <v>22.64</v>
      </c>
      <c r="U26" s="10">
        <v>20.0</v>
      </c>
      <c r="V26" s="10">
        <v>20.0</v>
      </c>
      <c r="W26" s="10">
        <v>0.0</v>
      </c>
      <c r="X26" s="10">
        <v>24.0</v>
      </c>
      <c r="Y26" s="10">
        <v>13.0</v>
      </c>
      <c r="Z26" s="10">
        <v>11.0</v>
      </c>
      <c r="AA26" s="10">
        <v>11.0</v>
      </c>
      <c r="AB26" s="10">
        <v>13.0</v>
      </c>
      <c r="AC26" s="11" t="s">
        <v>125</v>
      </c>
      <c r="AD26" s="10" t="s">
        <v>133</v>
      </c>
      <c r="AE26" s="9" t="str">
        <f>IFERROR(__xludf.DUMMYFUNCTION("GOOGLETRANSLATE(AD26,""pt"",""en"")"),"WHILE + INCREASE")</f>
        <v>WHILE + INCREASE</v>
      </c>
      <c r="AF26" s="10"/>
      <c r="AG26" s="9"/>
      <c r="AH26" s="9" t="s">
        <v>104</v>
      </c>
      <c r="AI26" s="9" t="str">
        <f>IFERROR(__xludf.DUMMYFUNCTION("GOOGLETRANSLATE(AH26,""pt"",""en"")"),"made a mistake, spent more time and more regressions")</f>
        <v>made a mistake, spent more time and more regressions</v>
      </c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</row>
    <row r="27">
      <c r="A27" s="9">
        <v>125.0</v>
      </c>
      <c r="B27" s="10">
        <v>11.0</v>
      </c>
      <c r="C27" s="10">
        <v>22.0</v>
      </c>
      <c r="D27" s="9">
        <v>1.0</v>
      </c>
      <c r="E27" s="10" t="s">
        <v>136</v>
      </c>
      <c r="F27" s="10">
        <v>5.0</v>
      </c>
      <c r="G27" s="10">
        <v>1.0</v>
      </c>
      <c r="H27" s="10" t="s">
        <v>39</v>
      </c>
      <c r="I27" s="10">
        <v>1.0</v>
      </c>
      <c r="J27" s="10" t="s">
        <v>40</v>
      </c>
      <c r="K27" s="10" t="s">
        <v>85</v>
      </c>
      <c r="L27" s="10">
        <v>71.26</v>
      </c>
      <c r="M27" s="10">
        <v>102.0</v>
      </c>
      <c r="N27" s="10">
        <v>38.81</v>
      </c>
      <c r="O27" s="10">
        <v>45.0</v>
      </c>
      <c r="P27" s="10">
        <v>28.0</v>
      </c>
      <c r="Q27" s="10">
        <v>17.0</v>
      </c>
      <c r="R27" s="10">
        <v>27.53</v>
      </c>
      <c r="S27" s="10">
        <v>50.0</v>
      </c>
      <c r="T27" s="10">
        <v>20.55</v>
      </c>
      <c r="U27" s="10">
        <v>17.0</v>
      </c>
      <c r="V27" s="10">
        <v>17.0</v>
      </c>
      <c r="W27" s="10">
        <v>0.0</v>
      </c>
      <c r="X27" s="10">
        <v>15.0</v>
      </c>
      <c r="Y27" s="10">
        <v>9.0</v>
      </c>
      <c r="Z27" s="10">
        <v>6.0</v>
      </c>
      <c r="AA27" s="10">
        <v>7.0</v>
      </c>
      <c r="AB27" s="10">
        <v>8.0</v>
      </c>
      <c r="AC27" s="11" t="s">
        <v>86</v>
      </c>
      <c r="AD27" s="10" t="s">
        <v>137</v>
      </c>
      <c r="AE27" s="9" t="str">
        <f>IFERROR(__xludf.DUMMYFUNCTION("GOOGLETRANSLATE(AD27,""pt"",""en"")"),"WHILE + IF + % Difficult")</f>
        <v>WHILE + IF + % Difficult</v>
      </c>
      <c r="AF27" s="10"/>
      <c r="AG27" s="9"/>
      <c r="AH27" s="9" t="s">
        <v>67</v>
      </c>
      <c r="AI27" s="9" t="str">
        <f>IFERROR(__xludf.DUMMYFUNCTION("GOOGLETRANSLATE(AH27,""pt"",""en"")"),"more time in AOI and more regressions")</f>
        <v>more time in AOI and more regressions</v>
      </c>
      <c r="AJ27" s="13" t="s">
        <v>138</v>
      </c>
      <c r="AK27" s="13" t="str">
        <f>IFERROR(__xludf.DUMMYFUNCTION("GOOGLETRANSLATE(AJ27,""pt"",""en"")"),"While and if with module were difficult")</f>
        <v>While and if with module were difficult</v>
      </c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</row>
    <row r="28">
      <c r="A28" s="9">
        <v>146.0</v>
      </c>
      <c r="B28" s="10">
        <v>13.0</v>
      </c>
      <c r="C28" s="10">
        <v>26.0</v>
      </c>
      <c r="D28" s="9">
        <v>1.0</v>
      </c>
      <c r="E28" s="10" t="s">
        <v>139</v>
      </c>
      <c r="F28" s="10">
        <v>2.0</v>
      </c>
      <c r="G28" s="10">
        <v>1.0</v>
      </c>
      <c r="H28" s="10" t="s">
        <v>39</v>
      </c>
      <c r="I28" s="10">
        <v>2.0</v>
      </c>
      <c r="J28" s="10" t="s">
        <v>105</v>
      </c>
      <c r="K28" s="10" t="s">
        <v>140</v>
      </c>
      <c r="L28" s="10">
        <v>131.39</v>
      </c>
      <c r="M28" s="10">
        <v>250.0</v>
      </c>
      <c r="N28" s="10">
        <v>82.6</v>
      </c>
      <c r="O28" s="10">
        <v>136.0</v>
      </c>
      <c r="P28" s="10">
        <v>82.0</v>
      </c>
      <c r="Q28" s="10">
        <v>54.0</v>
      </c>
      <c r="R28" s="10">
        <v>60.51</v>
      </c>
      <c r="S28" s="10">
        <v>123.0</v>
      </c>
      <c r="T28" s="10">
        <v>45.15</v>
      </c>
      <c r="U28" s="10">
        <v>49.0</v>
      </c>
      <c r="V28" s="10">
        <v>49.0</v>
      </c>
      <c r="W28" s="10">
        <v>0.0</v>
      </c>
      <c r="X28" s="10">
        <v>36.0</v>
      </c>
      <c r="Y28" s="10">
        <v>13.0</v>
      </c>
      <c r="Z28" s="10">
        <v>23.0</v>
      </c>
      <c r="AA28" s="10">
        <v>15.0</v>
      </c>
      <c r="AB28" s="10">
        <v>21.0</v>
      </c>
      <c r="AC28" s="11" t="s">
        <v>141</v>
      </c>
      <c r="AD28" s="10" t="s">
        <v>142</v>
      </c>
      <c r="AE28" s="9" t="str">
        <f>IFERROR(__xludf.DUMMYFUNCTION("GOOGLETRANSLATE(AD28,""pt"",""en"")"),"It was not clear")</f>
        <v>It was not clear</v>
      </c>
      <c r="AF28" s="10"/>
      <c r="AG28" s="9"/>
      <c r="AH28" s="10"/>
      <c r="AI28" s="9"/>
      <c r="AJ28" s="14" t="s">
        <v>143</v>
      </c>
      <c r="AK28" s="13" t="str">
        <f>IFERROR(__xludf.DUMMYFUNCTION("GOOGLETRANSLATE(AJ28,""pt"",""en"")"),"structuring")</f>
        <v>structuring</v>
      </c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</row>
    <row r="29">
      <c r="A29" s="9">
        <v>377.0</v>
      </c>
      <c r="B29" s="9">
        <v>16.0</v>
      </c>
      <c r="C29" s="10">
        <v>31.0</v>
      </c>
      <c r="D29" s="9">
        <v>1.0</v>
      </c>
      <c r="E29" s="10" t="s">
        <v>121</v>
      </c>
      <c r="F29" s="10">
        <v>5.0</v>
      </c>
      <c r="G29" s="10">
        <v>1.0</v>
      </c>
      <c r="H29" s="10" t="s">
        <v>102</v>
      </c>
      <c r="I29" s="9">
        <v>1.0</v>
      </c>
      <c r="J29" s="9" t="s">
        <v>40</v>
      </c>
      <c r="K29" s="9" t="s">
        <v>41</v>
      </c>
      <c r="L29" s="10">
        <v>35.62</v>
      </c>
      <c r="M29" s="10">
        <v>54.0</v>
      </c>
      <c r="N29" s="10">
        <v>23.59</v>
      </c>
      <c r="O29" s="10">
        <v>21.0</v>
      </c>
      <c r="P29" s="10">
        <v>13.0</v>
      </c>
      <c r="Q29" s="10">
        <v>8.0</v>
      </c>
      <c r="R29" s="10">
        <v>8.12</v>
      </c>
      <c r="S29" s="10">
        <v>16.0</v>
      </c>
      <c r="T29" s="10">
        <v>6.99</v>
      </c>
      <c r="U29" s="10">
        <v>5.0</v>
      </c>
      <c r="V29" s="10">
        <v>5.0</v>
      </c>
      <c r="W29" s="10">
        <v>0.0</v>
      </c>
      <c r="X29" s="10">
        <v>5.0</v>
      </c>
      <c r="Y29" s="10">
        <v>4.0</v>
      </c>
      <c r="Z29" s="10">
        <v>1.0</v>
      </c>
      <c r="AA29" s="10">
        <v>1.0</v>
      </c>
      <c r="AB29" s="10">
        <v>4.0</v>
      </c>
      <c r="AC29" s="11" t="s">
        <v>144</v>
      </c>
      <c r="AD29" s="10" t="s">
        <v>145</v>
      </c>
      <c r="AE29" s="9" t="str">
        <f>IFERROR(__xludf.DUMMYFUNCTION("GOOGLETRANSLATE(AD29,""pt"",""en"")"),"While and if simple")</f>
        <v>While and if simple</v>
      </c>
      <c r="AF29" s="10"/>
      <c r="AG29" s="9"/>
      <c r="AH29" s="10"/>
      <c r="AI29" s="9"/>
      <c r="AJ29" s="13" t="s">
        <v>145</v>
      </c>
      <c r="AK29" s="13" t="str">
        <f>IFERROR(__xludf.DUMMYFUNCTION("GOOGLETRANSLATE(AJ29,""pt"",""en"")"),"While and if simple")</f>
        <v>While and if simple</v>
      </c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</row>
    <row r="30">
      <c r="A30" s="9">
        <v>183.0</v>
      </c>
      <c r="B30" s="9">
        <v>16.0</v>
      </c>
      <c r="C30" s="10">
        <v>32.0</v>
      </c>
      <c r="D30" s="9">
        <v>1.0</v>
      </c>
      <c r="E30" s="10" t="s">
        <v>84</v>
      </c>
      <c r="F30" s="10">
        <v>3.0</v>
      </c>
      <c r="G30" s="10">
        <v>1.0</v>
      </c>
      <c r="H30" s="10" t="s">
        <v>102</v>
      </c>
      <c r="I30" s="9">
        <v>1.0</v>
      </c>
      <c r="J30" s="10" t="s">
        <v>40</v>
      </c>
      <c r="K30" s="10"/>
      <c r="L30" s="10">
        <v>53.62</v>
      </c>
      <c r="M30" s="10">
        <v>74.0</v>
      </c>
      <c r="N30" s="10">
        <v>22.1</v>
      </c>
      <c r="O30" s="10">
        <v>30.0</v>
      </c>
      <c r="P30" s="10">
        <v>16.0</v>
      </c>
      <c r="Q30" s="10">
        <v>14.0</v>
      </c>
      <c r="R30" s="10">
        <v>29.13</v>
      </c>
      <c r="S30" s="10">
        <v>41.0</v>
      </c>
      <c r="T30" s="10">
        <v>12.96</v>
      </c>
      <c r="U30" s="10">
        <v>12.0</v>
      </c>
      <c r="V30" s="10">
        <v>12.0</v>
      </c>
      <c r="W30" s="10">
        <v>0.0</v>
      </c>
      <c r="X30" s="10">
        <v>10.0</v>
      </c>
      <c r="Y30" s="10">
        <v>8.0</v>
      </c>
      <c r="Z30" s="10">
        <v>2.0</v>
      </c>
      <c r="AA30" s="10">
        <v>10.0</v>
      </c>
      <c r="AB30" s="10">
        <v>0.0</v>
      </c>
      <c r="AC30" s="11" t="s">
        <v>146</v>
      </c>
      <c r="AD30" s="10" t="s">
        <v>147</v>
      </c>
      <c r="AE30" s="9" t="str">
        <f>IFERROR(__xludf.DUMMYFUNCTION("GOOGLETRANSLATE(AD30,""pt"",""en"")"),"difficult")</f>
        <v>difficult</v>
      </c>
      <c r="AF30" s="10" t="s">
        <v>148</v>
      </c>
      <c r="AG30" s="9" t="str">
        <f>IFERROR(__xludf.DUMMYFUNCTION("GOOGLETRANSLATE(AF30,""pt"",""en"")"),"I observed the sequence of steps executed")</f>
        <v>I observed the sequence of steps executed</v>
      </c>
      <c r="AH30" s="9" t="s">
        <v>149</v>
      </c>
      <c r="AI30" s="9" t="str">
        <f>IFERROR(__xludf.DUMMYFUNCTION("GOOGLETRANSLATE(AH30,""pt"",""en"")"),"more regressions in AOI")</f>
        <v>more regressions in AOI</v>
      </c>
      <c r="AJ30" s="13" t="s">
        <v>150</v>
      </c>
      <c r="AK30" s="13" t="str">
        <f>IFERROR(__xludf.DUMMYFUNCTION("GOOGLETRANSLATE(AJ30,""pt"",""en"")"),"the sequence in the most difficult IF with ternary")</f>
        <v>the sequence in the most difficult IF with ternary</v>
      </c>
      <c r="AL30" s="14" t="s">
        <v>151</v>
      </c>
      <c r="AM30" s="13" t="str">
        <f>IFERROR(__xludf.DUMMYFUNCTION("GOOGLETRANSLATE(AL30,""pt"",""en"")"),"conditional structure")</f>
        <v>conditional structure</v>
      </c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</row>
    <row r="31">
      <c r="A31" s="9">
        <v>47.0</v>
      </c>
      <c r="B31" s="10">
        <v>4.0</v>
      </c>
      <c r="C31" s="10">
        <v>8.0</v>
      </c>
      <c r="D31" s="9">
        <v>2.0</v>
      </c>
      <c r="E31" s="10" t="s">
        <v>152</v>
      </c>
      <c r="F31" s="10">
        <v>5.0</v>
      </c>
      <c r="G31" s="10">
        <v>2.0</v>
      </c>
      <c r="H31" s="10" t="s">
        <v>102</v>
      </c>
      <c r="I31" s="10">
        <v>1.0</v>
      </c>
      <c r="J31" s="10" t="s">
        <v>40</v>
      </c>
      <c r="K31" s="10" t="s">
        <v>41</v>
      </c>
      <c r="L31" s="10">
        <v>15.3</v>
      </c>
      <c r="M31" s="10">
        <v>20.0</v>
      </c>
      <c r="N31" s="10">
        <v>9.06</v>
      </c>
      <c r="O31" s="10">
        <v>6.0</v>
      </c>
      <c r="P31" s="10">
        <v>2.0</v>
      </c>
      <c r="Q31" s="10">
        <v>4.0</v>
      </c>
      <c r="R31" s="10">
        <v>6.42</v>
      </c>
      <c r="S31" s="10">
        <v>8.0</v>
      </c>
      <c r="T31" s="10">
        <v>4.78</v>
      </c>
      <c r="U31" s="10">
        <v>2.0</v>
      </c>
      <c r="V31" s="10">
        <v>2.0</v>
      </c>
      <c r="W31" s="10">
        <v>0.0</v>
      </c>
      <c r="X31" s="10">
        <v>3.0</v>
      </c>
      <c r="Y31" s="10">
        <v>3.0</v>
      </c>
      <c r="Z31" s="10">
        <v>0.0</v>
      </c>
      <c r="AA31" s="10">
        <v>1.0</v>
      </c>
      <c r="AB31" s="10">
        <v>2.0</v>
      </c>
      <c r="AC31" s="11" t="s">
        <v>153</v>
      </c>
      <c r="AD31" s="10" t="s">
        <v>154</v>
      </c>
      <c r="AE31" s="9" t="str">
        <f>IFERROR(__xludf.DUMMYFUNCTION("GOOGLETRANSLATE(AD31,""pt"",""en"")"),"IF CLARO")</f>
        <v>IF CLARO</v>
      </c>
      <c r="AF31" s="10"/>
      <c r="AG31" s="9"/>
      <c r="AH31" s="10"/>
      <c r="AI31" s="9"/>
      <c r="AJ31" s="14" t="s">
        <v>155</v>
      </c>
      <c r="AK31" s="13" t="str">
        <f>IFERROR(__xludf.DUMMYFUNCTION("GOOGLETRANSLATE(AJ31,""pt"",""en"")"),"found if statement clear")</f>
        <v>found if statement clear</v>
      </c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</row>
    <row r="32">
      <c r="A32" s="9">
        <v>59.0</v>
      </c>
      <c r="B32" s="10">
        <v>5.0</v>
      </c>
      <c r="C32" s="10">
        <v>10.0</v>
      </c>
      <c r="D32" s="9">
        <v>2.0</v>
      </c>
      <c r="E32" s="10" t="s">
        <v>152</v>
      </c>
      <c r="F32" s="10">
        <v>5.0</v>
      </c>
      <c r="G32" s="10">
        <v>2.0</v>
      </c>
      <c r="H32" s="10" t="s">
        <v>102</v>
      </c>
      <c r="I32" s="10">
        <v>1.0</v>
      </c>
      <c r="J32" s="10" t="s">
        <v>40</v>
      </c>
      <c r="K32" s="10" t="s">
        <v>57</v>
      </c>
      <c r="L32" s="10">
        <v>50.34</v>
      </c>
      <c r="M32" s="10">
        <v>71.0</v>
      </c>
      <c r="N32" s="10">
        <v>28.45</v>
      </c>
      <c r="O32" s="10">
        <v>32.0</v>
      </c>
      <c r="P32" s="10">
        <v>13.0</v>
      </c>
      <c r="Q32" s="10">
        <v>19.0</v>
      </c>
      <c r="R32" s="10">
        <v>23.0</v>
      </c>
      <c r="S32" s="10">
        <v>36.0</v>
      </c>
      <c r="T32" s="10">
        <v>15.5</v>
      </c>
      <c r="U32" s="10">
        <v>11.0</v>
      </c>
      <c r="V32" s="10">
        <v>11.0</v>
      </c>
      <c r="W32" s="10">
        <v>0.0</v>
      </c>
      <c r="X32" s="10">
        <v>13.0</v>
      </c>
      <c r="Y32" s="10">
        <v>11.0</v>
      </c>
      <c r="Z32" s="10">
        <v>2.0</v>
      </c>
      <c r="AA32" s="10">
        <v>12.0</v>
      </c>
      <c r="AB32" s="10">
        <v>1.0</v>
      </c>
      <c r="AC32" s="11" t="s">
        <v>90</v>
      </c>
      <c r="AD32" s="10" t="s">
        <v>154</v>
      </c>
      <c r="AE32" s="9" t="str">
        <f>IFERROR(__xludf.DUMMYFUNCTION("GOOGLETRANSLATE(AD32,""pt"",""en"")"),"IF CLARO")</f>
        <v>IF CLARO</v>
      </c>
      <c r="AF32" s="10"/>
      <c r="AG32" s="9"/>
      <c r="AH32" s="9" t="s">
        <v>156</v>
      </c>
      <c r="AI32" s="9" t="str">
        <f>IFERROR(__xludf.DUMMYFUNCTION("GOOGLETRANSLATE(AH32,""pt"",""en"")"),"spent more time and made more regressions")</f>
        <v>spent more time and made more regressions</v>
      </c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</row>
    <row r="33">
      <c r="A33" s="9">
        <v>336.0</v>
      </c>
      <c r="B33" s="10">
        <v>12.0</v>
      </c>
      <c r="C33" s="10">
        <v>23.0</v>
      </c>
      <c r="D33" s="9">
        <v>2.0</v>
      </c>
      <c r="E33" s="10" t="s">
        <v>157</v>
      </c>
      <c r="F33" s="10">
        <v>6.0</v>
      </c>
      <c r="G33" s="10">
        <v>2.0</v>
      </c>
      <c r="H33" s="10" t="s">
        <v>39</v>
      </c>
      <c r="I33" s="10">
        <v>1.0</v>
      </c>
      <c r="J33" s="10" t="s">
        <v>40</v>
      </c>
      <c r="K33" s="10" t="s">
        <v>41</v>
      </c>
      <c r="L33" s="10">
        <v>37.95</v>
      </c>
      <c r="M33" s="10">
        <v>58.0</v>
      </c>
      <c r="N33" s="10">
        <v>18.28</v>
      </c>
      <c r="O33" s="10">
        <v>28.0</v>
      </c>
      <c r="P33" s="10">
        <v>12.0</v>
      </c>
      <c r="Q33" s="10">
        <v>16.0</v>
      </c>
      <c r="R33" s="10">
        <v>7.26</v>
      </c>
      <c r="S33" s="10">
        <v>9.0</v>
      </c>
      <c r="T33" s="10">
        <v>4.04</v>
      </c>
      <c r="U33" s="10">
        <v>3.0</v>
      </c>
      <c r="V33" s="10">
        <v>3.0</v>
      </c>
      <c r="W33" s="10">
        <v>0.0</v>
      </c>
      <c r="X33" s="10">
        <v>3.0</v>
      </c>
      <c r="Y33" s="10">
        <v>2.0</v>
      </c>
      <c r="Z33" s="10">
        <v>1.0</v>
      </c>
      <c r="AA33" s="10">
        <v>1.0</v>
      </c>
      <c r="AB33" s="10">
        <v>1.0</v>
      </c>
      <c r="AC33" s="11" t="s">
        <v>158</v>
      </c>
      <c r="AD33" s="10" t="s">
        <v>159</v>
      </c>
      <c r="AE33" s="9" t="str">
        <f>IFERROR(__xludf.DUMMYFUNCTION("GOOGLETRANSLATE(AD33,""pt"",""en"")"),"clear")</f>
        <v>clear</v>
      </c>
      <c r="AF33" s="10"/>
      <c r="AG33" s="9"/>
      <c r="AH33" s="10"/>
      <c r="AI33" s="9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</row>
    <row r="34">
      <c r="A34" s="9">
        <v>32.0</v>
      </c>
      <c r="B34" s="10">
        <v>3.0</v>
      </c>
      <c r="C34" s="10">
        <v>6.0</v>
      </c>
      <c r="D34" s="9">
        <v>2.0</v>
      </c>
      <c r="E34" s="10" t="s">
        <v>115</v>
      </c>
      <c r="F34" s="10">
        <v>2.0</v>
      </c>
      <c r="G34" s="10">
        <v>2.0</v>
      </c>
      <c r="H34" s="10" t="s">
        <v>102</v>
      </c>
      <c r="I34" s="10">
        <v>2.0</v>
      </c>
      <c r="J34" s="10" t="s">
        <v>40</v>
      </c>
      <c r="K34" s="10" t="s">
        <v>85</v>
      </c>
      <c r="L34" s="10">
        <v>110.94</v>
      </c>
      <c r="M34" s="10">
        <v>142.0</v>
      </c>
      <c r="N34" s="10">
        <v>51.28</v>
      </c>
      <c r="O34" s="10">
        <v>62.0</v>
      </c>
      <c r="P34" s="10">
        <v>28.0</v>
      </c>
      <c r="Q34" s="10">
        <v>34.0</v>
      </c>
      <c r="R34" s="10">
        <v>19.96</v>
      </c>
      <c r="S34" s="10">
        <v>35.0</v>
      </c>
      <c r="T34" s="10">
        <v>12.31</v>
      </c>
      <c r="U34" s="10">
        <v>5.0</v>
      </c>
      <c r="V34" s="10">
        <v>5.0</v>
      </c>
      <c r="W34" s="10">
        <v>0.0</v>
      </c>
      <c r="X34" s="10">
        <v>19.0</v>
      </c>
      <c r="Y34" s="10">
        <v>6.0</v>
      </c>
      <c r="Z34" s="10">
        <v>13.0</v>
      </c>
      <c r="AA34" s="10">
        <v>8.0</v>
      </c>
      <c r="AB34" s="10">
        <v>11.0</v>
      </c>
      <c r="AC34" s="11" t="s">
        <v>160</v>
      </c>
      <c r="AD34" s="10" t="s">
        <v>161</v>
      </c>
      <c r="AE34" s="9" t="str">
        <f>IFERROR(__xludf.DUMMYFUNCTION("GOOGLETRANSLATE(AD34,""pt"",""en"")"),"It was clear that it only entered the if once")</f>
        <v>It was clear that it only entered the if once</v>
      </c>
      <c r="AF34" s="10"/>
      <c r="AG34" s="9"/>
      <c r="AH34" s="9" t="s">
        <v>162</v>
      </c>
      <c r="AI34" s="9" t="str">
        <f>IFERROR(__xludf.DUMMYFUNCTION("GOOGLETRANSLATE(AH34,""pt"",""en"")"),"mislead")</f>
        <v>mislead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</row>
    <row r="35">
      <c r="A35" s="9">
        <v>44.0</v>
      </c>
      <c r="B35" s="10">
        <v>4.0</v>
      </c>
      <c r="C35" s="10">
        <v>8.0</v>
      </c>
      <c r="D35" s="9">
        <v>2.0</v>
      </c>
      <c r="E35" s="10" t="s">
        <v>115</v>
      </c>
      <c r="F35" s="10">
        <v>2.0</v>
      </c>
      <c r="G35" s="10">
        <v>2.0</v>
      </c>
      <c r="H35" s="10" t="s">
        <v>102</v>
      </c>
      <c r="I35" s="10">
        <v>1.0</v>
      </c>
      <c r="J35" s="10" t="s">
        <v>40</v>
      </c>
      <c r="K35" s="10" t="s">
        <v>50</v>
      </c>
      <c r="L35" s="10">
        <v>41.52</v>
      </c>
      <c r="M35" s="10">
        <v>63.0</v>
      </c>
      <c r="N35" s="10">
        <v>23.13</v>
      </c>
      <c r="O35" s="10">
        <v>25.0</v>
      </c>
      <c r="P35" s="10">
        <v>10.0</v>
      </c>
      <c r="Q35" s="10">
        <v>15.0</v>
      </c>
      <c r="R35" s="10">
        <v>16.05</v>
      </c>
      <c r="S35" s="10">
        <v>30.0</v>
      </c>
      <c r="T35" s="10">
        <v>11.22</v>
      </c>
      <c r="U35" s="10">
        <v>5.0</v>
      </c>
      <c r="V35" s="10">
        <v>5.0</v>
      </c>
      <c r="W35" s="10">
        <v>0.0</v>
      </c>
      <c r="X35" s="10">
        <v>13.0</v>
      </c>
      <c r="Y35" s="10">
        <v>5.0</v>
      </c>
      <c r="Z35" s="10">
        <v>8.0</v>
      </c>
      <c r="AA35" s="10">
        <v>5.0</v>
      </c>
      <c r="AB35" s="10">
        <v>7.0</v>
      </c>
      <c r="AC35" s="11" t="s">
        <v>153</v>
      </c>
      <c r="AD35" s="10" t="s">
        <v>163</v>
      </c>
      <c r="AE35" s="9" t="str">
        <f>IFERROR(__xludf.DUMMYFUNCTION("GOOGLETRANSLATE(AD35,""pt"",""en"")"),"realized that it only entered once at IF")</f>
        <v>realized that it only entered once at IF</v>
      </c>
      <c r="AF35" s="10"/>
      <c r="AG35" s="9"/>
      <c r="AH35" s="10"/>
      <c r="AI35" s="9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</row>
    <row r="36">
      <c r="A36" s="9">
        <v>14.0</v>
      </c>
      <c r="B36" s="10">
        <v>2.0</v>
      </c>
      <c r="C36" s="10">
        <v>4.0</v>
      </c>
      <c r="D36" s="9">
        <v>1.0</v>
      </c>
      <c r="E36" s="10" t="s">
        <v>139</v>
      </c>
      <c r="F36" s="10">
        <v>2.0</v>
      </c>
      <c r="G36" s="10">
        <v>1.0</v>
      </c>
      <c r="H36" s="10" t="s">
        <v>39</v>
      </c>
      <c r="I36" s="10">
        <v>1.0</v>
      </c>
      <c r="J36" s="10" t="s">
        <v>40</v>
      </c>
      <c r="K36" s="10" t="s">
        <v>85</v>
      </c>
      <c r="L36" s="10">
        <v>66.76</v>
      </c>
      <c r="M36" s="10">
        <v>108.0</v>
      </c>
      <c r="N36" s="10">
        <v>45.34</v>
      </c>
      <c r="O36" s="10">
        <v>43.0</v>
      </c>
      <c r="P36" s="10">
        <v>26.0</v>
      </c>
      <c r="Q36" s="10">
        <v>17.0</v>
      </c>
      <c r="R36" s="10">
        <v>32.48</v>
      </c>
      <c r="S36" s="10">
        <v>58.0</v>
      </c>
      <c r="T36" s="10">
        <v>26.54</v>
      </c>
      <c r="U36" s="10">
        <v>20.0</v>
      </c>
      <c r="V36" s="10">
        <v>20.0</v>
      </c>
      <c r="W36" s="10">
        <v>0.0</v>
      </c>
      <c r="X36" s="10">
        <v>12.0</v>
      </c>
      <c r="Y36" s="10">
        <v>6.0</v>
      </c>
      <c r="Z36" s="10">
        <v>6.0</v>
      </c>
      <c r="AA36" s="10">
        <v>7.0</v>
      </c>
      <c r="AB36" s="10">
        <v>5.0</v>
      </c>
      <c r="AC36" s="11" t="s">
        <v>58</v>
      </c>
      <c r="AD36" s="10" t="s">
        <v>164</v>
      </c>
      <c r="AE36" s="9" t="str">
        <f>IFERROR(__xludf.DUMMYFUNCTION("GOOGLETRANSLATE(AD36,""pt"",""en"")"),"if complex")</f>
        <v>if complex</v>
      </c>
      <c r="AF36" s="10"/>
      <c r="AG36" s="9"/>
      <c r="AH36" s="9" t="s">
        <v>165</v>
      </c>
      <c r="AI36" s="9" t="str">
        <f>IFERROR(__xludf.DUMMYFUNCTION("GOOGLETRANSLATE(AH36,""pt"",""en"")"),"more time in AOI, more regressions, and enters more")</f>
        <v>more time in AOI, more regressions, and enters more</v>
      </c>
      <c r="AJ36" s="14" t="s">
        <v>166</v>
      </c>
      <c r="AK36" s="13" t="str">
        <f>IFERROR(__xludf.DUMMYFUNCTION("GOOGLETRANSLATE(AJ36,""pt"",""en"")"),"Found IF Statement Complex")</f>
        <v>Found IF Statement Complex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</row>
    <row r="37">
      <c r="A37" s="9">
        <v>236.0</v>
      </c>
      <c r="B37" s="10">
        <v>4.0</v>
      </c>
      <c r="C37" s="10">
        <v>7.0</v>
      </c>
      <c r="D37" s="9">
        <v>2.0</v>
      </c>
      <c r="E37" s="10" t="s">
        <v>96</v>
      </c>
      <c r="F37" s="10">
        <v>2.0</v>
      </c>
      <c r="G37" s="10">
        <v>2.0</v>
      </c>
      <c r="H37" s="10" t="s">
        <v>39</v>
      </c>
      <c r="I37" s="10">
        <v>2.0</v>
      </c>
      <c r="J37" s="10" t="s">
        <v>40</v>
      </c>
      <c r="K37" s="10" t="s">
        <v>57</v>
      </c>
      <c r="L37" s="10">
        <v>295.07</v>
      </c>
      <c r="M37" s="10">
        <v>347.0</v>
      </c>
      <c r="N37" s="10">
        <v>108.9</v>
      </c>
      <c r="O37" s="10">
        <v>164.0</v>
      </c>
      <c r="P37" s="10">
        <v>73.0</v>
      </c>
      <c r="Q37" s="10">
        <v>91.0</v>
      </c>
      <c r="R37" s="10">
        <v>78.75</v>
      </c>
      <c r="S37" s="10">
        <v>129.0</v>
      </c>
      <c r="T37" s="10">
        <v>40.47</v>
      </c>
      <c r="U37" s="10">
        <v>36.0</v>
      </c>
      <c r="V37" s="10">
        <v>36.0</v>
      </c>
      <c r="W37" s="10">
        <v>0.0</v>
      </c>
      <c r="X37" s="10">
        <v>42.0</v>
      </c>
      <c r="Y37" s="10">
        <v>25.0</v>
      </c>
      <c r="Z37" s="10">
        <v>17.0</v>
      </c>
      <c r="AA37" s="10">
        <v>24.0</v>
      </c>
      <c r="AB37" s="10">
        <v>18.0</v>
      </c>
      <c r="AC37" s="11" t="s">
        <v>167</v>
      </c>
      <c r="AD37" s="10" t="s">
        <v>164</v>
      </c>
      <c r="AE37" s="9" t="str">
        <f>IFERROR(__xludf.DUMMYFUNCTION("GOOGLETRANSLATE(AD37,""pt"",""en"")"),"if complex")</f>
        <v>if complex</v>
      </c>
      <c r="AF37" s="10"/>
      <c r="AG37" s="9"/>
      <c r="AH37" s="9" t="s">
        <v>168</v>
      </c>
      <c r="AI37" s="9" t="str">
        <f>IFERROR(__xludf.DUMMYFUNCTION("GOOGLETRANSLATE(AH37,""pt"",""en"")"),"missed, more time, regressions in AOI, and entry")</f>
        <v>missed, more time, regressions in AOI, and entry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</row>
    <row r="38">
      <c r="A38" s="9">
        <v>28.0</v>
      </c>
      <c r="B38" s="10">
        <v>3.0</v>
      </c>
      <c r="C38" s="10">
        <v>6.0</v>
      </c>
      <c r="D38" s="9">
        <v>1.0</v>
      </c>
      <c r="E38" s="10" t="s">
        <v>169</v>
      </c>
      <c r="F38" s="10">
        <v>4.0</v>
      </c>
      <c r="G38" s="10">
        <v>1.0</v>
      </c>
      <c r="H38" s="10" t="s">
        <v>39</v>
      </c>
      <c r="I38" s="10">
        <v>1.0</v>
      </c>
      <c r="J38" s="10" t="s">
        <v>40</v>
      </c>
      <c r="K38" s="10" t="s">
        <v>50</v>
      </c>
      <c r="L38" s="10">
        <v>19.56</v>
      </c>
      <c r="M38" s="10">
        <v>25.0</v>
      </c>
      <c r="N38" s="10">
        <v>8.81</v>
      </c>
      <c r="O38" s="10">
        <v>12.0</v>
      </c>
      <c r="P38" s="10">
        <v>8.0</v>
      </c>
      <c r="Q38" s="10">
        <v>4.0</v>
      </c>
      <c r="R38" s="10">
        <v>9.23</v>
      </c>
      <c r="S38" s="10">
        <v>16.0</v>
      </c>
      <c r="T38" s="10">
        <v>5.63</v>
      </c>
      <c r="U38" s="10">
        <v>6.0</v>
      </c>
      <c r="V38" s="10">
        <v>6.0</v>
      </c>
      <c r="W38" s="10">
        <v>0.0</v>
      </c>
      <c r="X38" s="10">
        <v>2.0</v>
      </c>
      <c r="Y38" s="10">
        <v>0.0</v>
      </c>
      <c r="Z38" s="10">
        <v>2.0</v>
      </c>
      <c r="AA38" s="10">
        <v>0.0</v>
      </c>
      <c r="AB38" s="10">
        <v>3.0</v>
      </c>
      <c r="AC38" s="11" t="s">
        <v>160</v>
      </c>
      <c r="AD38" s="9" t="s">
        <v>170</v>
      </c>
      <c r="AE38" s="9" t="str">
        <f>IFERROR(__xludf.DUMMYFUNCTION("GOOGLETRANSLATE(AD38,""pt"",""en"")"),"found if difficult")</f>
        <v>found if difficult</v>
      </c>
      <c r="AF38" s="10"/>
      <c r="AG38" s="9"/>
      <c r="AH38" s="10"/>
      <c r="AI38" s="9"/>
      <c r="AJ38" s="13" t="s">
        <v>171</v>
      </c>
      <c r="AK38" s="13" t="str">
        <f>IFERROR(__xludf.DUMMYFUNCTION("GOOGLETRANSLATE(AJ38,""pt"",""en"")"),"I found if statement difficult")</f>
        <v>I found if statement difficult</v>
      </c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</row>
    <row r="39">
      <c r="A39" s="9">
        <v>40.0</v>
      </c>
      <c r="B39" s="10">
        <v>4.0</v>
      </c>
      <c r="C39" s="10">
        <v>8.0</v>
      </c>
      <c r="D39" s="9">
        <v>1.0</v>
      </c>
      <c r="E39" s="10" t="s">
        <v>169</v>
      </c>
      <c r="F39" s="10">
        <v>4.0</v>
      </c>
      <c r="G39" s="10">
        <v>1.0</v>
      </c>
      <c r="H39" s="10" t="s">
        <v>39</v>
      </c>
      <c r="I39" s="10">
        <v>1.0</v>
      </c>
      <c r="J39" s="10" t="s">
        <v>40</v>
      </c>
      <c r="K39" s="10" t="s">
        <v>41</v>
      </c>
      <c r="L39" s="10">
        <v>28.35</v>
      </c>
      <c r="M39" s="10">
        <v>44.0</v>
      </c>
      <c r="N39" s="10">
        <v>15.73</v>
      </c>
      <c r="O39" s="10">
        <v>19.0</v>
      </c>
      <c r="P39" s="10">
        <v>12.0</v>
      </c>
      <c r="Q39" s="10">
        <v>7.0</v>
      </c>
      <c r="R39" s="10">
        <v>14.18</v>
      </c>
      <c r="S39" s="10">
        <v>24.0</v>
      </c>
      <c r="T39" s="10">
        <v>8.12</v>
      </c>
      <c r="U39" s="10">
        <v>9.0</v>
      </c>
      <c r="V39" s="10">
        <v>9.0</v>
      </c>
      <c r="W39" s="10">
        <v>0.0</v>
      </c>
      <c r="X39" s="10">
        <v>5.0</v>
      </c>
      <c r="Y39" s="10">
        <v>2.0</v>
      </c>
      <c r="Z39" s="10">
        <v>3.0</v>
      </c>
      <c r="AA39" s="10">
        <v>2.0</v>
      </c>
      <c r="AB39" s="10">
        <v>3.0</v>
      </c>
      <c r="AC39" s="11" t="s">
        <v>153</v>
      </c>
      <c r="AD39" s="10" t="s">
        <v>147</v>
      </c>
      <c r="AE39" s="9" t="str">
        <f>IFERROR(__xludf.DUMMYFUNCTION("GOOGLETRANSLATE(AD39,""pt"",""en"")"),"difficult")</f>
        <v>difficult</v>
      </c>
      <c r="AF39" s="10"/>
      <c r="AG39" s="9"/>
      <c r="AH39" s="10"/>
      <c r="AI39" s="9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</row>
    <row r="40">
      <c r="A40" s="9">
        <v>52.0</v>
      </c>
      <c r="B40" s="10">
        <v>5.0</v>
      </c>
      <c r="C40" s="10">
        <v>10.0</v>
      </c>
      <c r="D40" s="9">
        <v>1.0</v>
      </c>
      <c r="E40" s="10" t="s">
        <v>169</v>
      </c>
      <c r="F40" s="10">
        <v>4.0</v>
      </c>
      <c r="G40" s="10">
        <v>1.0</v>
      </c>
      <c r="H40" s="10" t="s">
        <v>39</v>
      </c>
      <c r="I40" s="10">
        <v>2.0</v>
      </c>
      <c r="J40" s="10" t="s">
        <v>40</v>
      </c>
      <c r="K40" s="10" t="s">
        <v>85</v>
      </c>
      <c r="L40" s="10">
        <v>76.28</v>
      </c>
      <c r="M40" s="10">
        <v>121.0</v>
      </c>
      <c r="N40" s="10">
        <v>41.81</v>
      </c>
      <c r="O40" s="10">
        <v>46.0</v>
      </c>
      <c r="P40" s="10">
        <v>30.0</v>
      </c>
      <c r="Q40" s="10">
        <v>16.0</v>
      </c>
      <c r="R40" s="10">
        <v>45.32</v>
      </c>
      <c r="S40" s="10">
        <v>82.0</v>
      </c>
      <c r="T40" s="10">
        <v>28.42</v>
      </c>
      <c r="U40" s="10">
        <v>26.0</v>
      </c>
      <c r="V40" s="10">
        <v>26.0</v>
      </c>
      <c r="W40" s="10">
        <v>0.0</v>
      </c>
      <c r="X40" s="10">
        <v>10.0</v>
      </c>
      <c r="Y40" s="10">
        <v>3.0</v>
      </c>
      <c r="Z40" s="10">
        <v>7.0</v>
      </c>
      <c r="AA40" s="10">
        <v>2.0</v>
      </c>
      <c r="AB40" s="10">
        <v>7.0</v>
      </c>
      <c r="AC40" s="11" t="s">
        <v>90</v>
      </c>
      <c r="AD40" s="10" t="s">
        <v>147</v>
      </c>
      <c r="AE40" s="9" t="str">
        <f>IFERROR(__xludf.DUMMYFUNCTION("GOOGLETRANSLATE(AD40,""pt"",""en"")"),"difficult")</f>
        <v>difficult</v>
      </c>
      <c r="AF40" s="10"/>
      <c r="AG40" s="9"/>
      <c r="AH40" s="9" t="s">
        <v>172</v>
      </c>
      <c r="AI40" s="9" t="str">
        <f>IFERROR(__xludf.DUMMYFUNCTION("GOOGLETRANSLATE(AH40,""pt"",""en"")"),"Wrong and spent time in AOI")</f>
        <v>Wrong and spent time in AOI</v>
      </c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</row>
    <row r="41">
      <c r="A41" s="9">
        <v>88.0</v>
      </c>
      <c r="B41" s="10">
        <v>8.0</v>
      </c>
      <c r="C41" s="10">
        <v>16.0</v>
      </c>
      <c r="D41" s="9">
        <v>1.0</v>
      </c>
      <c r="E41" s="10" t="s">
        <v>169</v>
      </c>
      <c r="F41" s="10">
        <v>4.0</v>
      </c>
      <c r="G41" s="10">
        <v>1.0</v>
      </c>
      <c r="H41" s="10" t="s">
        <v>39</v>
      </c>
      <c r="I41" s="10">
        <v>1.0</v>
      </c>
      <c r="J41" s="10" t="s">
        <v>40</v>
      </c>
      <c r="K41" s="10" t="s">
        <v>41</v>
      </c>
      <c r="L41" s="10">
        <v>76.3</v>
      </c>
      <c r="M41" s="10">
        <v>136.0</v>
      </c>
      <c r="N41" s="10">
        <v>45.48</v>
      </c>
      <c r="O41" s="10">
        <v>61.0</v>
      </c>
      <c r="P41" s="10">
        <v>25.0</v>
      </c>
      <c r="Q41" s="10">
        <v>36.0</v>
      </c>
      <c r="R41" s="10">
        <v>28.5</v>
      </c>
      <c r="S41" s="10">
        <v>55.0</v>
      </c>
      <c r="T41" s="10">
        <v>20.07</v>
      </c>
      <c r="U41" s="10">
        <v>13.0</v>
      </c>
      <c r="V41" s="10">
        <v>13.0</v>
      </c>
      <c r="W41" s="10">
        <v>0.0</v>
      </c>
      <c r="X41" s="10">
        <v>17.0</v>
      </c>
      <c r="Y41" s="10">
        <v>4.0</v>
      </c>
      <c r="Z41" s="10">
        <v>13.0</v>
      </c>
      <c r="AA41" s="10">
        <v>4.0</v>
      </c>
      <c r="AB41" s="10">
        <v>14.0</v>
      </c>
      <c r="AC41" s="11" t="s">
        <v>62</v>
      </c>
      <c r="AD41" s="10" t="s">
        <v>173</v>
      </c>
      <c r="AE41" s="9" t="str">
        <f>IFERROR(__xludf.DUMMYFUNCTION("GOOGLETRANSLATE(AD41,""pt"",""en"")"),"if disturbed a little")</f>
        <v>if disturbed a little</v>
      </c>
      <c r="AF41" s="10"/>
      <c r="AG41" s="9"/>
      <c r="AH41" s="9" t="s">
        <v>104</v>
      </c>
      <c r="AI41" s="9" t="str">
        <f>IFERROR(__xludf.DUMMYFUNCTION("GOOGLETRANSLATE(AH41,""pt"",""en"")"),"made a mistake, spent more time and more regressions")</f>
        <v>made a mistake, spent more time and more regressions</v>
      </c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</row>
    <row r="42">
      <c r="A42" s="9">
        <v>100.0</v>
      </c>
      <c r="B42" s="10">
        <v>9.0</v>
      </c>
      <c r="C42" s="10">
        <v>18.0</v>
      </c>
      <c r="D42" s="9">
        <v>1.0</v>
      </c>
      <c r="E42" s="10" t="s">
        <v>169</v>
      </c>
      <c r="F42" s="10">
        <v>4.0</v>
      </c>
      <c r="G42" s="10">
        <v>1.0</v>
      </c>
      <c r="H42" s="10" t="s">
        <v>39</v>
      </c>
      <c r="I42" s="10">
        <v>1.0</v>
      </c>
      <c r="J42" s="10" t="s">
        <v>40</v>
      </c>
      <c r="K42" s="10" t="s">
        <v>50</v>
      </c>
      <c r="L42" s="10">
        <v>24.55</v>
      </c>
      <c r="M42" s="10">
        <v>34.0</v>
      </c>
      <c r="N42" s="10">
        <v>10.07</v>
      </c>
      <c r="O42" s="10">
        <v>13.0</v>
      </c>
      <c r="P42" s="10">
        <v>5.0</v>
      </c>
      <c r="Q42" s="10">
        <v>8.0</v>
      </c>
      <c r="R42" s="10">
        <v>4.08</v>
      </c>
      <c r="S42" s="10">
        <v>7.0</v>
      </c>
      <c r="T42" s="10">
        <v>2.7</v>
      </c>
      <c r="U42" s="10">
        <v>1.0</v>
      </c>
      <c r="V42" s="10">
        <v>1.0</v>
      </c>
      <c r="W42" s="10">
        <v>0.0</v>
      </c>
      <c r="X42" s="10">
        <v>4.0</v>
      </c>
      <c r="Y42" s="10">
        <v>1.0</v>
      </c>
      <c r="Z42" s="10">
        <v>3.0</v>
      </c>
      <c r="AA42" s="10">
        <v>0.0</v>
      </c>
      <c r="AB42" s="10">
        <v>4.0</v>
      </c>
      <c r="AC42" s="11" t="s">
        <v>42</v>
      </c>
      <c r="AD42" s="10" t="s">
        <v>174</v>
      </c>
      <c r="AE42" s="9" t="str">
        <f>IFERROR(__xludf.DUMMYFUNCTION("GOOGLETRANSLATE(AD42,""pt"",""en"")"),"if it made it difficult")</f>
        <v>if it made it difficult</v>
      </c>
      <c r="AF42" s="10"/>
      <c r="AG42" s="9"/>
      <c r="AH42" s="10"/>
      <c r="AI42" s="9" t="str">
        <f>IFERROR(__xludf.DUMMYFUNCTION("GOOGLETRANSLATE(AH42,""pt"",""en"")"),"#VALUE!")</f>
        <v>#VALUE!</v>
      </c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</row>
    <row r="43">
      <c r="A43" s="9">
        <v>124.0</v>
      </c>
      <c r="B43" s="10">
        <v>11.0</v>
      </c>
      <c r="C43" s="10">
        <v>22.0</v>
      </c>
      <c r="D43" s="9">
        <v>1.0</v>
      </c>
      <c r="E43" s="10" t="s">
        <v>169</v>
      </c>
      <c r="F43" s="10">
        <v>4.0</v>
      </c>
      <c r="G43" s="10">
        <v>1.0</v>
      </c>
      <c r="H43" s="10" t="s">
        <v>39</v>
      </c>
      <c r="I43" s="10">
        <v>2.0</v>
      </c>
      <c r="J43" s="10" t="s">
        <v>40</v>
      </c>
      <c r="K43" s="10" t="s">
        <v>57</v>
      </c>
      <c r="L43" s="10">
        <v>37.2</v>
      </c>
      <c r="M43" s="10">
        <v>58.0</v>
      </c>
      <c r="N43" s="10">
        <v>19.77</v>
      </c>
      <c r="O43" s="10">
        <v>23.0</v>
      </c>
      <c r="P43" s="10">
        <v>10.0</v>
      </c>
      <c r="Q43" s="10">
        <v>13.0</v>
      </c>
      <c r="R43" s="10">
        <v>20.45</v>
      </c>
      <c r="S43" s="10">
        <v>34.0</v>
      </c>
      <c r="T43" s="10">
        <v>13.2</v>
      </c>
      <c r="U43" s="10">
        <v>9.0</v>
      </c>
      <c r="V43" s="10">
        <v>9.0</v>
      </c>
      <c r="W43" s="10">
        <v>0.0</v>
      </c>
      <c r="X43" s="10">
        <v>11.0</v>
      </c>
      <c r="Y43" s="10">
        <v>5.0</v>
      </c>
      <c r="Z43" s="10">
        <v>6.0</v>
      </c>
      <c r="AA43" s="10">
        <v>3.0</v>
      </c>
      <c r="AB43" s="10">
        <v>7.0</v>
      </c>
      <c r="AC43" s="11" t="s">
        <v>86</v>
      </c>
      <c r="AD43" s="10" t="s">
        <v>147</v>
      </c>
      <c r="AE43" s="9" t="str">
        <f>IFERROR(__xludf.DUMMYFUNCTION("GOOGLETRANSLATE(AD43,""pt"",""en"")"),"difficult")</f>
        <v>difficult</v>
      </c>
      <c r="AF43" s="10"/>
      <c r="AG43" s="9"/>
      <c r="AH43" s="9" t="s">
        <v>104</v>
      </c>
      <c r="AI43" s="9" t="str">
        <f>IFERROR(__xludf.DUMMYFUNCTION("GOOGLETRANSLATE(AH43,""pt"",""en"")"),"made a mistake, spent more time and more regressions")</f>
        <v>made a mistake, spent more time and more regressions</v>
      </c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</row>
    <row r="44">
      <c r="A44" s="9">
        <v>148.0</v>
      </c>
      <c r="B44" s="10">
        <v>13.0</v>
      </c>
      <c r="C44" s="10">
        <v>26.0</v>
      </c>
      <c r="D44" s="9">
        <v>1.0</v>
      </c>
      <c r="E44" s="10" t="s">
        <v>169</v>
      </c>
      <c r="F44" s="10">
        <v>4.0</v>
      </c>
      <c r="G44" s="10">
        <v>1.0</v>
      </c>
      <c r="H44" s="10" t="s">
        <v>39</v>
      </c>
      <c r="I44" s="10">
        <v>2.0</v>
      </c>
      <c r="J44" s="10" t="s">
        <v>40</v>
      </c>
      <c r="K44" s="10" t="s">
        <v>140</v>
      </c>
      <c r="L44" s="10">
        <v>79.19</v>
      </c>
      <c r="M44" s="10">
        <v>153.0</v>
      </c>
      <c r="N44" s="10">
        <v>48.48</v>
      </c>
      <c r="O44" s="10">
        <v>73.0</v>
      </c>
      <c r="P44" s="10">
        <v>43.0</v>
      </c>
      <c r="Q44" s="10">
        <v>30.0</v>
      </c>
      <c r="R44" s="10">
        <v>36.46</v>
      </c>
      <c r="S44" s="10">
        <v>76.0</v>
      </c>
      <c r="T44" s="10">
        <v>25.45</v>
      </c>
      <c r="U44" s="10">
        <v>29.0</v>
      </c>
      <c r="V44" s="10">
        <v>29.0</v>
      </c>
      <c r="W44" s="10">
        <v>0.0</v>
      </c>
      <c r="X44" s="10">
        <v>12.0</v>
      </c>
      <c r="Y44" s="10">
        <v>3.0</v>
      </c>
      <c r="Z44" s="10">
        <v>9.0</v>
      </c>
      <c r="AA44" s="10">
        <v>6.0</v>
      </c>
      <c r="AB44" s="10">
        <v>6.0</v>
      </c>
      <c r="AC44" s="11" t="s">
        <v>141</v>
      </c>
      <c r="AD44" s="10" t="s">
        <v>147</v>
      </c>
      <c r="AE44" s="9" t="str">
        <f>IFERROR(__xludf.DUMMYFUNCTION("GOOGLETRANSLATE(AD44,""pt"",""en"")"),"difficult")</f>
        <v>difficult</v>
      </c>
      <c r="AF44" s="10"/>
      <c r="AG44" s="9"/>
      <c r="AH44" s="9" t="s">
        <v>104</v>
      </c>
      <c r="AI44" s="9" t="str">
        <f>IFERROR(__xludf.DUMMYFUNCTION("GOOGLETRANSLATE(AH44,""pt"",""en"")"),"made a mistake, spent more time and more regressions")</f>
        <v>made a mistake, spent more time and more regressions</v>
      </c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</row>
    <row r="45">
      <c r="A45" s="9">
        <v>184.0</v>
      </c>
      <c r="B45" s="9">
        <v>16.0</v>
      </c>
      <c r="C45" s="10">
        <v>32.0</v>
      </c>
      <c r="D45" s="9">
        <v>1.0</v>
      </c>
      <c r="E45" s="10" t="s">
        <v>169</v>
      </c>
      <c r="F45" s="10">
        <v>4.0</v>
      </c>
      <c r="G45" s="10">
        <v>1.0</v>
      </c>
      <c r="H45" s="10" t="s">
        <v>102</v>
      </c>
      <c r="I45" s="9">
        <v>2.0</v>
      </c>
      <c r="J45" s="10" t="s">
        <v>40</v>
      </c>
      <c r="K45" s="10"/>
      <c r="L45" s="10">
        <v>46.56</v>
      </c>
      <c r="M45" s="10">
        <v>65.0</v>
      </c>
      <c r="N45" s="10">
        <v>20.8</v>
      </c>
      <c r="O45" s="10">
        <v>27.0</v>
      </c>
      <c r="P45" s="10">
        <v>9.0</v>
      </c>
      <c r="Q45" s="10">
        <v>18.0</v>
      </c>
      <c r="R45" s="10">
        <v>15.72</v>
      </c>
      <c r="S45" s="10">
        <v>22.0</v>
      </c>
      <c r="T45" s="10">
        <v>7.3</v>
      </c>
      <c r="U45" s="10">
        <v>5.0</v>
      </c>
      <c r="V45" s="10">
        <v>5.0</v>
      </c>
      <c r="W45" s="10">
        <v>0.0</v>
      </c>
      <c r="X45" s="10">
        <v>7.0</v>
      </c>
      <c r="Y45" s="10">
        <v>2.0</v>
      </c>
      <c r="Z45" s="10">
        <v>5.0</v>
      </c>
      <c r="AA45" s="10">
        <v>1.0</v>
      </c>
      <c r="AB45" s="10">
        <v>6.0</v>
      </c>
      <c r="AC45" s="11" t="s">
        <v>146</v>
      </c>
      <c r="AD45" s="10" t="s">
        <v>175</v>
      </c>
      <c r="AE45" s="9" t="str">
        <f>IFERROR(__xludf.DUMMYFUNCTION("GOOGLETRANSLATE(AD45,""pt"",""en"")"),"Difficult validation in IF")</f>
        <v>Difficult validation in IF</v>
      </c>
      <c r="AF45" s="10" t="s">
        <v>176</v>
      </c>
      <c r="AG45" s="9" t="str">
        <f>IFERROR(__xludf.DUMMYFUNCTION("GOOGLETRANSLATE(AF45,""pt"",""en"")"),"I disappeared the values ​​and observed the value of")</f>
        <v>I disappeared the values ​​and observed the value of</v>
      </c>
      <c r="AH45" s="9" t="s">
        <v>177</v>
      </c>
      <c r="AI45" s="9" t="str">
        <f>IFERROR(__xludf.DUMMYFUNCTION("GOOGLETRANSLATE(AH45,""pt"",""en"")"),"mislead")</f>
        <v>mislead</v>
      </c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</row>
    <row r="46">
      <c r="A46" s="9">
        <v>106.0</v>
      </c>
      <c r="B46" s="10">
        <v>9.0</v>
      </c>
      <c r="C46" s="10">
        <v>18.0</v>
      </c>
      <c r="D46" s="9">
        <v>2.0</v>
      </c>
      <c r="E46" s="10" t="s">
        <v>178</v>
      </c>
      <c r="F46" s="10">
        <v>4.0</v>
      </c>
      <c r="G46" s="10">
        <v>2.0</v>
      </c>
      <c r="H46" s="10" t="s">
        <v>102</v>
      </c>
      <c r="I46" s="10">
        <v>1.0</v>
      </c>
      <c r="J46" s="10" t="s">
        <v>40</v>
      </c>
      <c r="K46" s="10" t="s">
        <v>57</v>
      </c>
      <c r="L46" s="10">
        <v>56.52</v>
      </c>
      <c r="M46" s="10">
        <v>89.0</v>
      </c>
      <c r="N46" s="10">
        <v>27.31</v>
      </c>
      <c r="O46" s="10">
        <v>35.0</v>
      </c>
      <c r="P46" s="10">
        <v>14.0</v>
      </c>
      <c r="Q46" s="10">
        <v>21.0</v>
      </c>
      <c r="R46" s="10">
        <v>12.36</v>
      </c>
      <c r="S46" s="10">
        <v>27.0</v>
      </c>
      <c r="T46" s="10">
        <v>7.99</v>
      </c>
      <c r="U46" s="10">
        <v>4.0</v>
      </c>
      <c r="V46" s="10">
        <v>4.0</v>
      </c>
      <c r="W46" s="10">
        <v>0.0</v>
      </c>
      <c r="X46" s="10">
        <v>13.0</v>
      </c>
      <c r="Y46" s="10">
        <v>1.0</v>
      </c>
      <c r="Z46" s="10">
        <v>12.0</v>
      </c>
      <c r="AA46" s="10">
        <v>0.0</v>
      </c>
      <c r="AB46" s="10">
        <v>13.0</v>
      </c>
      <c r="AC46" s="11" t="s">
        <v>42</v>
      </c>
      <c r="AD46" s="10" t="s">
        <v>179</v>
      </c>
      <c r="AE46" s="9" t="str">
        <f>IFERROR(__xludf.DUMMYFUNCTION("GOOGLETRANSLATE(AD46,""pt"",""en"")"),"He was in doubt at IF")</f>
        <v>He was in doubt at IF</v>
      </c>
      <c r="AF46" s="10"/>
      <c r="AG46" s="9"/>
      <c r="AH46" s="10"/>
      <c r="AI46" s="9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</row>
    <row r="47">
      <c r="A47" s="9">
        <v>29.0</v>
      </c>
      <c r="B47" s="10">
        <v>3.0</v>
      </c>
      <c r="C47" s="10">
        <v>6.0</v>
      </c>
      <c r="D47" s="9">
        <v>1.0</v>
      </c>
      <c r="E47" s="10" t="s">
        <v>136</v>
      </c>
      <c r="F47" s="10">
        <v>5.0</v>
      </c>
      <c r="G47" s="10">
        <v>1.0</v>
      </c>
      <c r="H47" s="10" t="s">
        <v>39</v>
      </c>
      <c r="I47" s="10">
        <v>1.0</v>
      </c>
      <c r="J47" s="10" t="s">
        <v>40</v>
      </c>
      <c r="K47" s="10" t="s">
        <v>85</v>
      </c>
      <c r="L47" s="10">
        <v>79.09</v>
      </c>
      <c r="M47" s="10">
        <v>102.0</v>
      </c>
      <c r="N47" s="10">
        <v>35.16</v>
      </c>
      <c r="O47" s="10">
        <v>49.0</v>
      </c>
      <c r="P47" s="10">
        <v>28.0</v>
      </c>
      <c r="Q47" s="10">
        <v>21.0</v>
      </c>
      <c r="R47" s="10">
        <v>28.99</v>
      </c>
      <c r="S47" s="10">
        <v>50.0</v>
      </c>
      <c r="T47" s="10">
        <v>17.82</v>
      </c>
      <c r="U47" s="10">
        <v>17.0</v>
      </c>
      <c r="V47" s="10">
        <v>17.0</v>
      </c>
      <c r="W47" s="10">
        <v>0.0</v>
      </c>
      <c r="X47" s="10">
        <v>18.0</v>
      </c>
      <c r="Y47" s="10">
        <v>8.0</v>
      </c>
      <c r="Z47" s="10">
        <v>10.0</v>
      </c>
      <c r="AA47" s="10">
        <v>6.0</v>
      </c>
      <c r="AB47" s="10">
        <v>12.0</v>
      </c>
      <c r="AC47" s="11" t="s">
        <v>160</v>
      </c>
      <c r="AD47" s="10" t="s">
        <v>180</v>
      </c>
      <c r="AE47" s="9" t="str">
        <f>IFERROR(__xludf.DUMMYFUNCTION("GOOGLETRANSLATE(AD47,""pt"",""en"")"),"complicated if")</f>
        <v>complicated if</v>
      </c>
      <c r="AF47" s="10"/>
      <c r="AG47" s="9"/>
      <c r="AH47" s="10"/>
      <c r="AI47" s="9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</row>
    <row r="48">
      <c r="A48" s="9">
        <v>305.0</v>
      </c>
      <c r="B48" s="10">
        <v>10.0</v>
      </c>
      <c r="C48" s="10">
        <v>19.0</v>
      </c>
      <c r="D48" s="9">
        <v>1.0</v>
      </c>
      <c r="E48" s="10" t="s">
        <v>121</v>
      </c>
      <c r="F48" s="10">
        <v>5.0</v>
      </c>
      <c r="G48" s="10">
        <v>1.0</v>
      </c>
      <c r="H48" s="10" t="s">
        <v>102</v>
      </c>
      <c r="I48" s="10">
        <v>2.0</v>
      </c>
      <c r="J48" s="10" t="s">
        <v>40</v>
      </c>
      <c r="K48" s="10" t="s">
        <v>41</v>
      </c>
      <c r="L48" s="10">
        <v>62.6</v>
      </c>
      <c r="M48" s="10">
        <v>30.0</v>
      </c>
      <c r="N48" s="10">
        <v>7.78</v>
      </c>
      <c r="O48" s="10">
        <v>14.0</v>
      </c>
      <c r="P48" s="10">
        <v>4.0</v>
      </c>
      <c r="Q48" s="10">
        <v>10.0</v>
      </c>
      <c r="R48" s="10">
        <v>13.03</v>
      </c>
      <c r="S48" s="10">
        <v>11.0</v>
      </c>
      <c r="T48" s="10">
        <v>3.0</v>
      </c>
      <c r="U48" s="10">
        <v>2.0</v>
      </c>
      <c r="V48" s="10">
        <v>2.0</v>
      </c>
      <c r="W48" s="10">
        <v>0.0</v>
      </c>
      <c r="X48" s="10">
        <v>4.0</v>
      </c>
      <c r="Y48" s="10">
        <v>0.0</v>
      </c>
      <c r="Z48" s="10">
        <v>4.0</v>
      </c>
      <c r="AA48" s="10">
        <v>1.0</v>
      </c>
      <c r="AB48" s="10">
        <v>4.0</v>
      </c>
      <c r="AC48" s="11" t="s">
        <v>181</v>
      </c>
      <c r="AD48" s="10" t="s">
        <v>182</v>
      </c>
      <c r="AE48" s="9" t="str">
        <f>IFERROR(__xludf.DUMMYFUNCTION("GOOGLETRANSLATE(AD48,""pt"",""en"")"),"Had difficulty in IF")</f>
        <v>Had difficulty in IF</v>
      </c>
      <c r="AF48" s="10"/>
      <c r="AG48" s="9"/>
      <c r="AH48" s="9" t="s">
        <v>162</v>
      </c>
      <c r="AI48" s="9" t="str">
        <f>IFERROR(__xludf.DUMMYFUNCTION("GOOGLETRANSLATE(AH48,""pt"",""en"")"),"mislead")</f>
        <v>mislead</v>
      </c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</row>
    <row r="49">
      <c r="A49" s="9">
        <v>251.0</v>
      </c>
      <c r="B49" s="10">
        <v>5.0</v>
      </c>
      <c r="C49" s="10">
        <v>9.0</v>
      </c>
      <c r="D49" s="9">
        <v>2.0</v>
      </c>
      <c r="E49" s="10" t="s">
        <v>129</v>
      </c>
      <c r="F49" s="10">
        <v>5.0</v>
      </c>
      <c r="G49" s="10">
        <v>2.0</v>
      </c>
      <c r="H49" s="10" t="s">
        <v>39</v>
      </c>
      <c r="I49" s="10">
        <v>1.0</v>
      </c>
      <c r="J49" s="10" t="s">
        <v>40</v>
      </c>
      <c r="K49" s="10" t="s">
        <v>57</v>
      </c>
      <c r="L49" s="10">
        <v>48.88</v>
      </c>
      <c r="M49" s="10">
        <v>77.0</v>
      </c>
      <c r="N49" s="10">
        <v>26.76</v>
      </c>
      <c r="O49" s="10">
        <v>36.0</v>
      </c>
      <c r="P49" s="10">
        <v>22.0</v>
      </c>
      <c r="Q49" s="10">
        <v>14.0</v>
      </c>
      <c r="R49" s="10">
        <v>26.48</v>
      </c>
      <c r="S49" s="10">
        <v>45.0</v>
      </c>
      <c r="T49" s="10">
        <v>17.79</v>
      </c>
      <c r="U49" s="10">
        <v>16.0</v>
      </c>
      <c r="V49" s="10">
        <v>16.0</v>
      </c>
      <c r="W49" s="10">
        <v>0.0</v>
      </c>
      <c r="X49" s="10">
        <v>11.0</v>
      </c>
      <c r="Y49" s="10">
        <v>9.0</v>
      </c>
      <c r="Z49" s="10">
        <v>2.0</v>
      </c>
      <c r="AA49" s="10">
        <v>8.0</v>
      </c>
      <c r="AB49" s="10">
        <v>3.0</v>
      </c>
      <c r="AC49" s="11" t="s">
        <v>65</v>
      </c>
      <c r="AD49" s="10" t="s">
        <v>183</v>
      </c>
      <c r="AE49" s="9" t="str">
        <f>IFERROR(__xludf.DUMMYFUNCTION("GOOGLETRANSLATE(AD49,""pt"",""en"")"),"ific")</f>
        <v>ific</v>
      </c>
      <c r="AF49" s="10"/>
      <c r="AG49" s="9"/>
      <c r="AH49" s="9" t="s">
        <v>123</v>
      </c>
      <c r="AI49" s="9" t="str">
        <f>IFERROR(__xludf.DUMMYFUNCTION("GOOGLETRANSLATE(AH49,""pt"",""en"")"),"spent more time and more regressions")</f>
        <v>spent more time and more regressions</v>
      </c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</row>
    <row r="50">
      <c r="A50" s="9">
        <v>275.0</v>
      </c>
      <c r="B50" s="10">
        <v>7.0</v>
      </c>
      <c r="C50" s="10">
        <v>13.0</v>
      </c>
      <c r="D50" s="9">
        <v>2.0</v>
      </c>
      <c r="E50" s="10" t="s">
        <v>129</v>
      </c>
      <c r="F50" s="10">
        <v>5.0</v>
      </c>
      <c r="G50" s="10">
        <v>2.0</v>
      </c>
      <c r="H50" s="10" t="s">
        <v>39</v>
      </c>
      <c r="I50" s="10">
        <v>1.0</v>
      </c>
      <c r="J50" s="10" t="s">
        <v>40</v>
      </c>
      <c r="K50" s="10" t="s">
        <v>57</v>
      </c>
      <c r="L50" s="10">
        <v>77.13</v>
      </c>
      <c r="M50" s="10">
        <v>152.0</v>
      </c>
      <c r="N50" s="10">
        <v>53.77</v>
      </c>
      <c r="O50" s="10">
        <v>72.0</v>
      </c>
      <c r="P50" s="10">
        <v>30.0</v>
      </c>
      <c r="Q50" s="10">
        <v>42.0</v>
      </c>
      <c r="R50" s="10">
        <v>28.34</v>
      </c>
      <c r="S50" s="10">
        <v>54.0</v>
      </c>
      <c r="T50" s="10">
        <v>20.56</v>
      </c>
      <c r="U50" s="10">
        <v>13.0</v>
      </c>
      <c r="V50" s="10">
        <v>13.0</v>
      </c>
      <c r="W50" s="10">
        <v>0.0</v>
      </c>
      <c r="X50" s="10">
        <v>23.0</v>
      </c>
      <c r="Y50" s="10">
        <v>20.0</v>
      </c>
      <c r="Z50" s="10">
        <v>3.0</v>
      </c>
      <c r="AA50" s="10">
        <v>19.0</v>
      </c>
      <c r="AB50" s="10">
        <v>4.0</v>
      </c>
      <c r="AC50" s="11" t="s">
        <v>109</v>
      </c>
      <c r="AD50" s="10" t="s">
        <v>184</v>
      </c>
      <c r="AE50" s="9" t="str">
        <f>IFERROR(__xludf.DUMMYFUNCTION("GOOGLETRANSLATE(AD50,""pt"",""en"")"),"IF was difficult")</f>
        <v>IF was difficult</v>
      </c>
      <c r="AF50" s="10"/>
      <c r="AG50" s="9"/>
      <c r="AH50" s="9" t="s">
        <v>185</v>
      </c>
      <c r="AI50" s="9" t="str">
        <f>IFERROR(__xludf.DUMMYFUNCTION("GOOGLETRANSLATE(AH50,""pt"",""en"")"),"more regressions")</f>
        <v>more regressions</v>
      </c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</row>
    <row r="51">
      <c r="A51" s="9">
        <v>196.0</v>
      </c>
      <c r="B51" s="10">
        <v>1.0</v>
      </c>
      <c r="C51" s="10">
        <v>1.0</v>
      </c>
      <c r="D51" s="9">
        <v>1.0</v>
      </c>
      <c r="E51" s="10" t="s">
        <v>186</v>
      </c>
      <c r="F51" s="10">
        <v>4.0</v>
      </c>
      <c r="G51" s="10">
        <v>1.0</v>
      </c>
      <c r="H51" s="10" t="s">
        <v>102</v>
      </c>
      <c r="I51" s="10">
        <v>1.0</v>
      </c>
      <c r="J51" s="10" t="s">
        <v>40</v>
      </c>
      <c r="K51" s="10" t="s">
        <v>57</v>
      </c>
      <c r="L51" s="10">
        <v>39.07</v>
      </c>
      <c r="M51" s="10">
        <v>63.0</v>
      </c>
      <c r="N51" s="10">
        <v>21.45</v>
      </c>
      <c r="O51" s="10">
        <v>25.0</v>
      </c>
      <c r="P51" s="10">
        <v>18.0</v>
      </c>
      <c r="Q51" s="10">
        <v>7.0</v>
      </c>
      <c r="R51" s="10">
        <v>23.13</v>
      </c>
      <c r="S51" s="10">
        <v>43.0</v>
      </c>
      <c r="T51" s="10">
        <v>15.04</v>
      </c>
      <c r="U51" s="10">
        <v>15.0</v>
      </c>
      <c r="V51" s="10">
        <v>15.0</v>
      </c>
      <c r="W51" s="10">
        <v>0.0</v>
      </c>
      <c r="X51" s="10">
        <v>7.0</v>
      </c>
      <c r="Y51" s="10">
        <v>2.0</v>
      </c>
      <c r="Z51" s="10">
        <v>5.0</v>
      </c>
      <c r="AA51" s="10">
        <v>0.0</v>
      </c>
      <c r="AB51" s="10">
        <v>6.0</v>
      </c>
      <c r="AC51" s="11" t="s">
        <v>187</v>
      </c>
      <c r="AD51" s="10" t="s">
        <v>188</v>
      </c>
      <c r="AE51" s="9" t="str">
        <f>IFERROR(__xludf.DUMMYFUNCTION("GOOGLETRANSLATE(AD51,""pt"",""en"")"),"IF can bring difficulty")</f>
        <v>IF can bring difficulty</v>
      </c>
      <c r="AF51" s="10"/>
      <c r="AG51" s="9"/>
      <c r="AH51" s="9"/>
      <c r="AI51" s="9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</row>
    <row r="52">
      <c r="A52" s="9">
        <v>371.0</v>
      </c>
      <c r="B52" s="10">
        <v>15.0</v>
      </c>
      <c r="C52" s="10">
        <v>29.0</v>
      </c>
      <c r="D52" s="9">
        <v>2.0</v>
      </c>
      <c r="E52" s="10" t="s">
        <v>129</v>
      </c>
      <c r="F52" s="10">
        <v>5.0</v>
      </c>
      <c r="G52" s="10">
        <v>2.0</v>
      </c>
      <c r="H52" s="10" t="s">
        <v>39</v>
      </c>
      <c r="I52" s="10">
        <v>3.0</v>
      </c>
      <c r="J52" s="10" t="s">
        <v>40</v>
      </c>
      <c r="K52" s="10" t="s">
        <v>85</v>
      </c>
      <c r="L52" s="10">
        <v>82.47</v>
      </c>
      <c r="M52" s="10">
        <v>53.0</v>
      </c>
      <c r="N52" s="10">
        <v>15.8</v>
      </c>
      <c r="O52" s="10">
        <v>19.0</v>
      </c>
      <c r="P52" s="10">
        <v>4.0</v>
      </c>
      <c r="Q52" s="10">
        <v>15.0</v>
      </c>
      <c r="R52" s="10">
        <v>22.11</v>
      </c>
      <c r="S52" s="10">
        <v>21.0</v>
      </c>
      <c r="T52" s="10">
        <v>6.59</v>
      </c>
      <c r="U52" s="10">
        <v>2.0</v>
      </c>
      <c r="V52" s="10">
        <v>2.0</v>
      </c>
      <c r="W52" s="10">
        <v>0.0</v>
      </c>
      <c r="X52" s="10">
        <v>11.0</v>
      </c>
      <c r="Y52" s="10">
        <v>8.0</v>
      </c>
      <c r="Z52" s="10">
        <v>3.0</v>
      </c>
      <c r="AA52" s="10">
        <v>7.0</v>
      </c>
      <c r="AB52" s="10">
        <v>4.0</v>
      </c>
      <c r="AC52" s="11" t="s">
        <v>189</v>
      </c>
      <c r="AD52" s="10" t="s">
        <v>147</v>
      </c>
      <c r="AE52" s="9" t="str">
        <f>IFERROR(__xludf.DUMMYFUNCTION("GOOGLETRANSLATE(AD52,""pt"",""en"")"),"difficult")</f>
        <v>difficult</v>
      </c>
      <c r="AF52" s="10"/>
      <c r="AG52" s="9"/>
      <c r="AH52" s="9" t="s">
        <v>190</v>
      </c>
      <c r="AI52" s="9" t="str">
        <f>IFERROR(__xludf.DUMMYFUNCTION("GOOGLETRANSLATE(AH52,""pt"",""en"")"),"Wrong and spent more time and entrances to AOI")</f>
        <v>Wrong and spent more time and entrances to AOI</v>
      </c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</row>
    <row r="53">
      <c r="A53" s="9">
        <v>5.0</v>
      </c>
      <c r="B53" s="10">
        <v>1.0</v>
      </c>
      <c r="C53" s="10">
        <v>2.0</v>
      </c>
      <c r="D53" s="9">
        <v>1.0</v>
      </c>
      <c r="E53" s="10" t="s">
        <v>136</v>
      </c>
      <c r="F53" s="10">
        <v>5.0</v>
      </c>
      <c r="G53" s="10">
        <v>1.0</v>
      </c>
      <c r="H53" s="10" t="s">
        <v>39</v>
      </c>
      <c r="I53" s="10">
        <v>2.0</v>
      </c>
      <c r="J53" s="10" t="s">
        <v>105</v>
      </c>
      <c r="K53" s="10" t="s">
        <v>140</v>
      </c>
      <c r="L53" s="10">
        <v>99.19</v>
      </c>
      <c r="M53" s="10">
        <v>129.0</v>
      </c>
      <c r="N53" s="10">
        <v>43.76</v>
      </c>
      <c r="O53" s="10">
        <v>64.0</v>
      </c>
      <c r="P53" s="10">
        <v>33.0</v>
      </c>
      <c r="Q53" s="10">
        <v>31.0</v>
      </c>
      <c r="R53" s="10">
        <v>34.41</v>
      </c>
      <c r="S53" s="10">
        <v>61.0</v>
      </c>
      <c r="T53" s="10">
        <v>21.1</v>
      </c>
      <c r="U53" s="10">
        <v>23.0</v>
      </c>
      <c r="V53" s="10">
        <v>23.0</v>
      </c>
      <c r="W53" s="10">
        <v>0.0</v>
      </c>
      <c r="X53" s="10">
        <v>17.0</v>
      </c>
      <c r="Y53" s="10">
        <v>12.0</v>
      </c>
      <c r="Z53" s="10">
        <v>5.0</v>
      </c>
      <c r="AA53" s="10">
        <v>15.0</v>
      </c>
      <c r="AB53" s="10">
        <v>2.0</v>
      </c>
      <c r="AC53" s="11" t="s">
        <v>81</v>
      </c>
      <c r="AD53" s="10" t="s">
        <v>191</v>
      </c>
      <c r="AE53" s="9" t="str">
        <f>IFERROR(__xludf.DUMMYFUNCTION("GOOGLETRANSLATE(AD53,""pt"",""en"")"),"IF")</f>
        <v>IF</v>
      </c>
      <c r="AF53" s="10" t="s">
        <v>192</v>
      </c>
      <c r="AG53" s="9" t="str">
        <f>IFERROR(__xludf.DUMMYFUNCTION("GOOGLETRANSLATE(AF53,""pt"",""en"")"),"Wrong for not knowing when I would enter the if")</f>
        <v>Wrong for not knowing when I would enter the if</v>
      </c>
      <c r="AH53" s="9" t="s">
        <v>104</v>
      </c>
      <c r="AI53" s="9" t="str">
        <f>IFERROR(__xludf.DUMMYFUNCTION("GOOGLETRANSLATE(AH53,""pt"",""en"")"),"made a mistake, spent more time and more regressions")</f>
        <v>made a mistake, spent more time and more regressions</v>
      </c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</row>
    <row r="54">
      <c r="A54" s="9">
        <v>41.0</v>
      </c>
      <c r="B54" s="10">
        <v>4.0</v>
      </c>
      <c r="C54" s="10">
        <v>8.0</v>
      </c>
      <c r="D54" s="9">
        <v>1.0</v>
      </c>
      <c r="E54" s="10" t="s">
        <v>136</v>
      </c>
      <c r="F54" s="10">
        <v>5.0</v>
      </c>
      <c r="G54" s="10">
        <v>1.0</v>
      </c>
      <c r="H54" s="10" t="s">
        <v>39</v>
      </c>
      <c r="I54" s="10">
        <v>6.0</v>
      </c>
      <c r="J54" s="10" t="s">
        <v>105</v>
      </c>
      <c r="K54" s="10" t="s">
        <v>57</v>
      </c>
      <c r="L54" s="10">
        <v>284.38</v>
      </c>
      <c r="M54" s="10">
        <v>427.0</v>
      </c>
      <c r="N54" s="10">
        <v>168.82</v>
      </c>
      <c r="O54" s="10">
        <v>176.0</v>
      </c>
      <c r="P54" s="10">
        <v>90.0</v>
      </c>
      <c r="Q54" s="10">
        <v>86.0</v>
      </c>
      <c r="R54" s="10">
        <v>96.76</v>
      </c>
      <c r="S54" s="10">
        <v>168.0</v>
      </c>
      <c r="T54" s="10">
        <v>72.84</v>
      </c>
      <c r="U54" s="10">
        <v>43.0</v>
      </c>
      <c r="V54" s="10">
        <v>43.0</v>
      </c>
      <c r="W54" s="10">
        <v>0.0</v>
      </c>
      <c r="X54" s="10">
        <v>62.0</v>
      </c>
      <c r="Y54" s="10">
        <v>26.0</v>
      </c>
      <c r="Z54" s="10">
        <v>36.0</v>
      </c>
      <c r="AA54" s="10">
        <v>23.0</v>
      </c>
      <c r="AB54" s="10">
        <v>39.0</v>
      </c>
      <c r="AC54" s="11" t="s">
        <v>153</v>
      </c>
      <c r="AD54" s="10" t="s">
        <v>147</v>
      </c>
      <c r="AE54" s="9" t="str">
        <f>IFERROR(__xludf.DUMMYFUNCTION("GOOGLETRANSLATE(AD54,""pt"",""en"")"),"difficult")</f>
        <v>difficult</v>
      </c>
      <c r="AF54" s="10"/>
      <c r="AG54" s="9"/>
      <c r="AH54" s="9" t="s">
        <v>104</v>
      </c>
      <c r="AI54" s="9" t="str">
        <f>IFERROR(__xludf.DUMMYFUNCTION("GOOGLETRANSLATE(AH54,""pt"",""en"")"),"made a mistake, spent more time and more regressions")</f>
        <v>made a mistake, spent more time and more regressions</v>
      </c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</row>
    <row r="55">
      <c r="A55" s="9">
        <v>242.0</v>
      </c>
      <c r="B55" s="10">
        <v>5.0</v>
      </c>
      <c r="C55" s="10">
        <v>9.0</v>
      </c>
      <c r="D55" s="9">
        <v>1.0</v>
      </c>
      <c r="E55" s="10" t="s">
        <v>124</v>
      </c>
      <c r="F55" s="10">
        <v>2.0</v>
      </c>
      <c r="G55" s="10">
        <v>1.0</v>
      </c>
      <c r="H55" s="10" t="s">
        <v>102</v>
      </c>
      <c r="I55" s="10">
        <v>1.0</v>
      </c>
      <c r="J55" s="10" t="s">
        <v>40</v>
      </c>
      <c r="K55" s="10" t="s">
        <v>57</v>
      </c>
      <c r="L55" s="10">
        <v>55.97</v>
      </c>
      <c r="M55" s="10">
        <v>90.0</v>
      </c>
      <c r="N55" s="10">
        <v>33.44</v>
      </c>
      <c r="O55" s="10">
        <v>39.0</v>
      </c>
      <c r="P55" s="10">
        <v>31.0</v>
      </c>
      <c r="Q55" s="10">
        <v>8.0</v>
      </c>
      <c r="R55" s="10">
        <v>16.57</v>
      </c>
      <c r="S55" s="10">
        <v>28.0</v>
      </c>
      <c r="T55" s="10">
        <v>11.9</v>
      </c>
      <c r="U55" s="10">
        <v>9.0</v>
      </c>
      <c r="V55" s="10">
        <v>9.0</v>
      </c>
      <c r="W55" s="10">
        <v>0.0</v>
      </c>
      <c r="X55" s="10">
        <v>6.0</v>
      </c>
      <c r="Y55" s="10">
        <v>4.0</v>
      </c>
      <c r="Z55" s="10">
        <v>2.0</v>
      </c>
      <c r="AA55" s="10">
        <v>2.0</v>
      </c>
      <c r="AB55" s="10">
        <v>4.0</v>
      </c>
      <c r="AC55" s="11" t="s">
        <v>65</v>
      </c>
      <c r="AD55" s="10" t="s">
        <v>147</v>
      </c>
      <c r="AE55" s="9" t="str">
        <f>IFERROR(__xludf.DUMMYFUNCTION("GOOGLETRANSLATE(AD55,""pt"",""en"")"),"difficult")</f>
        <v>difficult</v>
      </c>
      <c r="AF55" s="10"/>
      <c r="AG55" s="9"/>
      <c r="AH55" s="9" t="s">
        <v>193</v>
      </c>
      <c r="AI55" s="9" t="str">
        <f>IFERROR(__xludf.DUMMYFUNCTION("GOOGLETRANSLATE(AH55,""pt"",""en"")"),"More time and regressions in AOI")</f>
        <v>More time and regressions in AOI</v>
      </c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</row>
    <row r="56">
      <c r="A56" s="9">
        <v>68.0</v>
      </c>
      <c r="B56" s="10">
        <v>6.0</v>
      </c>
      <c r="C56" s="10">
        <v>12.0</v>
      </c>
      <c r="D56" s="9">
        <v>2.0</v>
      </c>
      <c r="E56" s="10" t="s">
        <v>115</v>
      </c>
      <c r="F56" s="10">
        <v>2.0</v>
      </c>
      <c r="G56" s="10">
        <v>2.0</v>
      </c>
      <c r="H56" s="10" t="s">
        <v>102</v>
      </c>
      <c r="I56" s="10">
        <v>2.0</v>
      </c>
      <c r="J56" s="10" t="s">
        <v>40</v>
      </c>
      <c r="K56" s="10" t="s">
        <v>41</v>
      </c>
      <c r="L56" s="10">
        <v>90.42</v>
      </c>
      <c r="M56" s="10">
        <v>133.0</v>
      </c>
      <c r="N56" s="10">
        <v>47.81</v>
      </c>
      <c r="O56" s="10">
        <v>61.0</v>
      </c>
      <c r="P56" s="10">
        <v>36.0</v>
      </c>
      <c r="Q56" s="10">
        <v>25.0</v>
      </c>
      <c r="R56" s="10">
        <v>25.19</v>
      </c>
      <c r="S56" s="10">
        <v>35.0</v>
      </c>
      <c r="T56" s="10">
        <v>15.11</v>
      </c>
      <c r="U56" s="10">
        <v>11.0</v>
      </c>
      <c r="V56" s="10">
        <v>11.0</v>
      </c>
      <c r="W56" s="10">
        <v>0.0</v>
      </c>
      <c r="X56" s="10">
        <v>14.0</v>
      </c>
      <c r="Y56" s="10">
        <v>8.0</v>
      </c>
      <c r="Z56" s="10">
        <v>6.0</v>
      </c>
      <c r="AA56" s="10">
        <v>7.0</v>
      </c>
      <c r="AB56" s="10">
        <v>7.0</v>
      </c>
      <c r="AC56" s="11" t="s">
        <v>194</v>
      </c>
      <c r="AD56" s="10" t="s">
        <v>195</v>
      </c>
      <c r="AE56" s="9" t="str">
        <f>IFERROR(__xludf.DUMMYFUNCTION("GOOGLETRANSLATE(AD56,""pt"",""en"")"),"if difficult (didn't care)")</f>
        <v>if difficult (didn't care)</v>
      </c>
      <c r="AF56" s="10"/>
      <c r="AG56" s="9"/>
      <c r="AH56" s="9" t="s">
        <v>117</v>
      </c>
      <c r="AI56" s="9" t="str">
        <f>IFERROR(__xludf.DUMMYFUNCTION("GOOGLETRANSLATE(AH56,""pt"",""en"")"),"Wrong, more time and regressions")</f>
        <v>Wrong, more time and regressions</v>
      </c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</row>
    <row r="57">
      <c r="A57" s="9">
        <v>104.0</v>
      </c>
      <c r="B57" s="10">
        <v>9.0</v>
      </c>
      <c r="C57" s="10">
        <v>18.0</v>
      </c>
      <c r="D57" s="9">
        <v>2.0</v>
      </c>
      <c r="E57" s="10" t="s">
        <v>115</v>
      </c>
      <c r="F57" s="10">
        <v>2.0</v>
      </c>
      <c r="G57" s="10">
        <v>2.0</v>
      </c>
      <c r="H57" s="10" t="s">
        <v>102</v>
      </c>
      <c r="I57" s="10">
        <v>1.0</v>
      </c>
      <c r="J57" s="10" t="s">
        <v>40</v>
      </c>
      <c r="K57" s="10" t="s">
        <v>57</v>
      </c>
      <c r="L57" s="10">
        <v>56.15</v>
      </c>
      <c r="M57" s="10">
        <v>98.0</v>
      </c>
      <c r="N57" s="10">
        <v>33.16</v>
      </c>
      <c r="O57" s="10">
        <v>38.0</v>
      </c>
      <c r="P57" s="10">
        <v>25.0</v>
      </c>
      <c r="Q57" s="10">
        <v>13.0</v>
      </c>
      <c r="R57" s="10">
        <v>22.03</v>
      </c>
      <c r="S57" s="10">
        <v>41.0</v>
      </c>
      <c r="T57" s="10">
        <v>15.15</v>
      </c>
      <c r="U57" s="10">
        <v>15.0</v>
      </c>
      <c r="V57" s="10">
        <v>15.0</v>
      </c>
      <c r="W57" s="10">
        <v>0.0</v>
      </c>
      <c r="X57" s="10">
        <v>10.0</v>
      </c>
      <c r="Y57" s="10">
        <v>6.0</v>
      </c>
      <c r="Z57" s="10">
        <v>4.0</v>
      </c>
      <c r="AA57" s="10">
        <v>1.0</v>
      </c>
      <c r="AB57" s="10">
        <v>9.0</v>
      </c>
      <c r="AC57" s="11" t="s">
        <v>42</v>
      </c>
      <c r="AD57" s="10" t="s">
        <v>196</v>
      </c>
      <c r="AE57" s="9" t="str">
        <f>IFERROR(__xludf.DUMMYFUNCTION("GOOGLETRANSLATE(AD57,""pt"",""en"")"),"difficulty in if! = 3")</f>
        <v>difficulty in if! = 3</v>
      </c>
      <c r="AF57" s="10"/>
      <c r="AG57" s="9"/>
      <c r="AH57" s="9" t="s">
        <v>185</v>
      </c>
      <c r="AI57" s="9" t="str">
        <f>IFERROR(__xludf.DUMMYFUNCTION("GOOGLETRANSLATE(AH57,""pt"",""en"")"),"more regressions")</f>
        <v>more regressions</v>
      </c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</row>
    <row r="58">
      <c r="A58" s="9">
        <v>116.0</v>
      </c>
      <c r="B58" s="10">
        <v>10.0</v>
      </c>
      <c r="C58" s="10">
        <v>20.0</v>
      </c>
      <c r="D58" s="9">
        <v>2.0</v>
      </c>
      <c r="E58" s="10" t="s">
        <v>115</v>
      </c>
      <c r="F58" s="10">
        <v>2.0</v>
      </c>
      <c r="G58" s="10">
        <v>2.0</v>
      </c>
      <c r="H58" s="10" t="s">
        <v>102</v>
      </c>
      <c r="I58" s="10">
        <v>1.0</v>
      </c>
      <c r="J58" s="10" t="s">
        <v>40</v>
      </c>
      <c r="K58" s="10" t="s">
        <v>57</v>
      </c>
      <c r="L58" s="10">
        <v>55.27</v>
      </c>
      <c r="M58" s="10">
        <v>67.0</v>
      </c>
      <c r="N58" s="10">
        <v>24.44</v>
      </c>
      <c r="O58" s="10">
        <v>31.0</v>
      </c>
      <c r="P58" s="10">
        <v>15.0</v>
      </c>
      <c r="Q58" s="10">
        <v>16.0</v>
      </c>
      <c r="R58" s="10">
        <v>11.8</v>
      </c>
      <c r="S58" s="10">
        <v>20.0</v>
      </c>
      <c r="T58" s="10">
        <v>7.85</v>
      </c>
      <c r="U58" s="10">
        <v>5.0</v>
      </c>
      <c r="V58" s="10">
        <v>5.0</v>
      </c>
      <c r="W58" s="10">
        <v>0.0</v>
      </c>
      <c r="X58" s="10">
        <v>10.0</v>
      </c>
      <c r="Y58" s="10">
        <v>3.0</v>
      </c>
      <c r="Z58" s="10">
        <v>7.0</v>
      </c>
      <c r="AA58" s="10">
        <v>3.0</v>
      </c>
      <c r="AB58" s="10">
        <v>7.0</v>
      </c>
      <c r="AC58" s="11" t="s">
        <v>197</v>
      </c>
      <c r="AD58" s="10" t="s">
        <v>198</v>
      </c>
      <c r="AE58" s="9" t="str">
        <f>IFERROR(__xludf.DUMMYFUNCTION("GOOGLETRANSLATE(AD58,""pt"",""en"")"),"Difficulty in! = 3")</f>
        <v>Difficulty in! = 3</v>
      </c>
      <c r="AF58" s="10"/>
      <c r="AG58" s="9"/>
      <c r="AH58" s="10"/>
      <c r="AI58" s="9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</row>
    <row r="59">
      <c r="A59" s="9">
        <v>152.0</v>
      </c>
      <c r="B59" s="10">
        <v>13.0</v>
      </c>
      <c r="C59" s="10">
        <v>26.0</v>
      </c>
      <c r="D59" s="9">
        <v>2.0</v>
      </c>
      <c r="E59" s="10" t="s">
        <v>115</v>
      </c>
      <c r="F59" s="10">
        <v>2.0</v>
      </c>
      <c r="G59" s="10">
        <v>2.0</v>
      </c>
      <c r="H59" s="10" t="s">
        <v>102</v>
      </c>
      <c r="I59" s="10">
        <v>1.0</v>
      </c>
      <c r="J59" s="10" t="s">
        <v>40</v>
      </c>
      <c r="K59" s="10" t="s">
        <v>85</v>
      </c>
      <c r="L59" s="10">
        <v>71.57</v>
      </c>
      <c r="M59" s="10">
        <v>117.0</v>
      </c>
      <c r="N59" s="10">
        <v>38.89</v>
      </c>
      <c r="O59" s="10">
        <v>60.0</v>
      </c>
      <c r="P59" s="10">
        <v>29.0</v>
      </c>
      <c r="Q59" s="10">
        <v>31.0</v>
      </c>
      <c r="R59" s="10">
        <v>18.57</v>
      </c>
      <c r="S59" s="10">
        <v>30.0</v>
      </c>
      <c r="T59" s="10">
        <v>10.65</v>
      </c>
      <c r="U59" s="10">
        <v>7.0</v>
      </c>
      <c r="V59" s="10">
        <v>7.0</v>
      </c>
      <c r="W59" s="10">
        <v>0.0</v>
      </c>
      <c r="X59" s="10">
        <v>15.0</v>
      </c>
      <c r="Y59" s="10">
        <v>9.0</v>
      </c>
      <c r="Z59" s="10">
        <v>6.0</v>
      </c>
      <c r="AA59" s="10">
        <v>7.0</v>
      </c>
      <c r="AB59" s="10">
        <v>8.0</v>
      </c>
      <c r="AC59" s="11" t="s">
        <v>141</v>
      </c>
      <c r="AD59" s="10" t="s">
        <v>199</v>
      </c>
      <c r="AE59" s="9" t="str">
        <f>IFERROR(__xludf.DUMMYFUNCTION("GOOGLETRANSLATE(AD59,""pt"",""en"")"),"IF Verification Difficult")</f>
        <v>IF Verification Difficult</v>
      </c>
      <c r="AF59" s="10"/>
      <c r="AG59" s="9"/>
      <c r="AH59" s="10"/>
      <c r="AI59" s="9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</row>
    <row r="60">
      <c r="A60" s="9">
        <v>201.0</v>
      </c>
      <c r="B60" s="10">
        <v>1.0</v>
      </c>
      <c r="C60" s="10">
        <v>1.0</v>
      </c>
      <c r="D60" s="9">
        <v>2.0</v>
      </c>
      <c r="E60" s="10" t="s">
        <v>135</v>
      </c>
      <c r="F60" s="10">
        <v>3.0</v>
      </c>
      <c r="G60" s="10">
        <v>2.0</v>
      </c>
      <c r="H60" s="10" t="s">
        <v>39</v>
      </c>
      <c r="I60" s="10">
        <v>1.0</v>
      </c>
      <c r="J60" s="10" t="s">
        <v>105</v>
      </c>
      <c r="K60" s="10" t="s">
        <v>85</v>
      </c>
      <c r="L60" s="10">
        <v>93.53</v>
      </c>
      <c r="M60" s="10">
        <v>147.0</v>
      </c>
      <c r="N60" s="10">
        <v>47.44</v>
      </c>
      <c r="O60" s="10">
        <v>66.0</v>
      </c>
      <c r="P60" s="10">
        <v>45.0</v>
      </c>
      <c r="Q60" s="10">
        <v>21.0</v>
      </c>
      <c r="R60" s="10">
        <v>53.69</v>
      </c>
      <c r="S60" s="10">
        <v>96.0</v>
      </c>
      <c r="T60" s="10">
        <v>33.19</v>
      </c>
      <c r="U60" s="10">
        <v>32.0</v>
      </c>
      <c r="V60" s="10">
        <v>32.0</v>
      </c>
      <c r="W60" s="10">
        <v>0.0</v>
      </c>
      <c r="X60" s="10">
        <v>18.0</v>
      </c>
      <c r="Y60" s="10">
        <v>10.0</v>
      </c>
      <c r="Z60" s="10">
        <v>8.0</v>
      </c>
      <c r="AA60" s="10">
        <v>8.0</v>
      </c>
      <c r="AB60" s="10">
        <v>10.0</v>
      </c>
      <c r="AC60" s="11" t="s">
        <v>51</v>
      </c>
      <c r="AD60" s="10" t="s">
        <v>200</v>
      </c>
      <c r="AE60" s="9" t="str">
        <f>IFERROR(__xludf.DUMMYFUNCTION("GOOGLETRANSLATE(AD60,""pt"",""en"")"),"IF TERNITARY")</f>
        <v>IF TERNITARY</v>
      </c>
      <c r="AF60" s="10"/>
      <c r="AG60" s="9"/>
      <c r="AH60" s="9" t="s">
        <v>104</v>
      </c>
      <c r="AI60" s="9" t="str">
        <f>IFERROR(__xludf.DUMMYFUNCTION("GOOGLETRANSLATE(AH60,""pt"",""en"")"),"made a mistake, spent more time and more regressions")</f>
        <v>made a mistake, spent more time and more regressions</v>
      </c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</row>
    <row r="61">
      <c r="A61" s="9">
        <v>249.0</v>
      </c>
      <c r="B61" s="10">
        <v>5.0</v>
      </c>
      <c r="C61" s="10">
        <v>9.0</v>
      </c>
      <c r="D61" s="9">
        <v>2.0</v>
      </c>
      <c r="E61" s="10" t="s">
        <v>135</v>
      </c>
      <c r="F61" s="10">
        <v>3.0</v>
      </c>
      <c r="G61" s="10">
        <v>2.0</v>
      </c>
      <c r="H61" s="10" t="s">
        <v>39</v>
      </c>
      <c r="I61" s="10">
        <v>2.0</v>
      </c>
      <c r="J61" s="10" t="s">
        <v>105</v>
      </c>
      <c r="K61" s="10" t="s">
        <v>140</v>
      </c>
      <c r="L61" s="10">
        <v>138.75</v>
      </c>
      <c r="M61" s="10">
        <v>203.0</v>
      </c>
      <c r="N61" s="10">
        <v>69.52</v>
      </c>
      <c r="O61" s="10">
        <v>93.0</v>
      </c>
      <c r="P61" s="10">
        <v>58.0</v>
      </c>
      <c r="Q61" s="10">
        <v>35.0</v>
      </c>
      <c r="R61" s="10">
        <v>78.01</v>
      </c>
      <c r="S61" s="10">
        <v>121.0</v>
      </c>
      <c r="T61" s="10">
        <v>41.4</v>
      </c>
      <c r="U61" s="10">
        <v>46.0</v>
      </c>
      <c r="V61" s="10">
        <v>46.0</v>
      </c>
      <c r="W61" s="10">
        <v>0.0</v>
      </c>
      <c r="X61" s="10">
        <v>20.0</v>
      </c>
      <c r="Y61" s="10">
        <v>11.0</v>
      </c>
      <c r="Z61" s="10">
        <v>9.0</v>
      </c>
      <c r="AA61" s="10">
        <v>10.0</v>
      </c>
      <c r="AB61" s="10">
        <v>10.0</v>
      </c>
      <c r="AC61" s="11" t="s">
        <v>65</v>
      </c>
      <c r="AD61" s="10" t="s">
        <v>201</v>
      </c>
      <c r="AE61" s="9" t="str">
        <f>IFERROR(__xludf.DUMMYFUNCTION("GOOGLETRANSLATE(AD61,""pt"",""en"")"),"deceived at IF TERRITARY")</f>
        <v>deceived at IF TERRITARY</v>
      </c>
      <c r="AF61" s="10"/>
      <c r="AG61" s="9"/>
      <c r="AH61" s="9" t="s">
        <v>104</v>
      </c>
      <c r="AI61" s="9" t="str">
        <f>IFERROR(__xludf.DUMMYFUNCTION("GOOGLETRANSLATE(AH61,""pt"",""en"")"),"made a mistake, spent more time and more regressions")</f>
        <v>made a mistake, spent more time and more regressions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</row>
    <row r="62">
      <c r="A62" s="9">
        <v>261.0</v>
      </c>
      <c r="B62" s="10">
        <v>6.0</v>
      </c>
      <c r="C62" s="10">
        <v>11.0</v>
      </c>
      <c r="D62" s="9">
        <v>2.0</v>
      </c>
      <c r="E62" s="10" t="s">
        <v>135</v>
      </c>
      <c r="F62" s="10">
        <v>3.0</v>
      </c>
      <c r="G62" s="10">
        <v>2.0</v>
      </c>
      <c r="H62" s="10" t="s">
        <v>39</v>
      </c>
      <c r="I62" s="10">
        <v>1.0</v>
      </c>
      <c r="J62" s="10" t="s">
        <v>105</v>
      </c>
      <c r="K62" s="10" t="s">
        <v>140</v>
      </c>
      <c r="L62" s="10">
        <v>120.2</v>
      </c>
      <c r="M62" s="10">
        <v>198.0</v>
      </c>
      <c r="N62" s="10">
        <v>61.84</v>
      </c>
      <c r="O62" s="10">
        <v>86.0</v>
      </c>
      <c r="P62" s="10">
        <v>39.0</v>
      </c>
      <c r="Q62" s="10">
        <v>47.0</v>
      </c>
      <c r="R62" s="10">
        <v>48.94</v>
      </c>
      <c r="S62" s="10">
        <v>95.0</v>
      </c>
      <c r="T62" s="10">
        <v>31.61</v>
      </c>
      <c r="U62" s="10">
        <v>28.0</v>
      </c>
      <c r="V62" s="10">
        <v>28.0</v>
      </c>
      <c r="W62" s="10">
        <v>0.0</v>
      </c>
      <c r="X62" s="10">
        <v>25.0</v>
      </c>
      <c r="Y62" s="10">
        <v>10.0</v>
      </c>
      <c r="Z62" s="10">
        <v>15.0</v>
      </c>
      <c r="AA62" s="10">
        <v>10.0</v>
      </c>
      <c r="AB62" s="10">
        <v>14.0</v>
      </c>
      <c r="AC62" s="11" t="s">
        <v>202</v>
      </c>
      <c r="AD62" s="10" t="s">
        <v>203</v>
      </c>
      <c r="AE62" s="9" t="str">
        <f>IFERROR(__xludf.DUMMYFUNCTION("GOOGLETRANSLATE(AD62,""pt"",""en"")"),"very difficult the Ternary if")</f>
        <v>very difficult the Ternary if</v>
      </c>
      <c r="AF62" s="10"/>
      <c r="AG62" s="9"/>
      <c r="AH62" s="9" t="s">
        <v>104</v>
      </c>
      <c r="AI62" s="9" t="str">
        <f>IFERROR(__xludf.DUMMYFUNCTION("GOOGLETRANSLATE(AH62,""pt"",""en"")"),"made a mistake, spent more time and more regressions")</f>
        <v>made a mistake, spent more time and more regressions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</row>
    <row r="63">
      <c r="A63" s="9">
        <v>357.0</v>
      </c>
      <c r="B63" s="10">
        <v>14.0</v>
      </c>
      <c r="C63" s="10">
        <v>27.0</v>
      </c>
      <c r="D63" s="9">
        <v>2.0</v>
      </c>
      <c r="E63" s="10" t="s">
        <v>135</v>
      </c>
      <c r="F63" s="10">
        <v>3.0</v>
      </c>
      <c r="G63" s="10">
        <v>2.0</v>
      </c>
      <c r="H63" s="10" t="s">
        <v>39</v>
      </c>
      <c r="I63" s="10">
        <v>1.0</v>
      </c>
      <c r="J63" s="10" t="s">
        <v>105</v>
      </c>
      <c r="K63" s="10" t="s">
        <v>85</v>
      </c>
      <c r="L63" s="10">
        <v>90.3</v>
      </c>
      <c r="M63" s="10">
        <v>117.0</v>
      </c>
      <c r="N63" s="10">
        <v>39.53</v>
      </c>
      <c r="O63" s="10">
        <v>55.0</v>
      </c>
      <c r="P63" s="10">
        <v>23.0</v>
      </c>
      <c r="Q63" s="10">
        <v>32.0</v>
      </c>
      <c r="R63" s="10">
        <v>22.2</v>
      </c>
      <c r="S63" s="10">
        <v>32.0</v>
      </c>
      <c r="T63" s="10">
        <v>9.96</v>
      </c>
      <c r="U63" s="10">
        <v>12.0</v>
      </c>
      <c r="V63" s="10">
        <v>12.0</v>
      </c>
      <c r="W63" s="10">
        <v>0.0</v>
      </c>
      <c r="X63" s="10">
        <v>15.0</v>
      </c>
      <c r="Y63" s="10">
        <v>11.0</v>
      </c>
      <c r="Z63" s="10">
        <v>4.0</v>
      </c>
      <c r="AA63" s="10">
        <v>9.0</v>
      </c>
      <c r="AB63" s="10">
        <v>6.0</v>
      </c>
      <c r="AC63" s="11" t="s">
        <v>69</v>
      </c>
      <c r="AD63" s="10" t="s">
        <v>147</v>
      </c>
      <c r="AE63" s="9" t="str">
        <f>IFERROR(__xludf.DUMMYFUNCTION("GOOGLETRANSLATE(AD63,""pt"",""en"")"),"difficult")</f>
        <v>difficult</v>
      </c>
      <c r="AF63" s="10"/>
      <c r="AG63" s="9"/>
      <c r="AH63" s="9" t="s">
        <v>104</v>
      </c>
      <c r="AI63" s="9" t="str">
        <f>IFERROR(__xludf.DUMMYFUNCTION("GOOGLETRANSLATE(AH63,""pt"",""en"")"),"made a mistake, spent more time and more regressions")</f>
        <v>made a mistake, spent more time and more regressions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</row>
    <row r="64">
      <c r="A64" s="9">
        <v>327.0</v>
      </c>
      <c r="B64" s="10">
        <v>12.0</v>
      </c>
      <c r="C64" s="10">
        <v>23.0</v>
      </c>
      <c r="D64" s="9">
        <v>1.0</v>
      </c>
      <c r="E64" s="10" t="s">
        <v>204</v>
      </c>
      <c r="F64" s="10">
        <v>3.0</v>
      </c>
      <c r="G64" s="10">
        <v>1.0</v>
      </c>
      <c r="H64" s="10" t="s">
        <v>102</v>
      </c>
      <c r="I64" s="10">
        <v>1.0</v>
      </c>
      <c r="J64" s="10" t="s">
        <v>40</v>
      </c>
      <c r="K64" s="10" t="s">
        <v>85</v>
      </c>
      <c r="L64" s="10">
        <v>132.6</v>
      </c>
      <c r="M64" s="10">
        <v>208.0</v>
      </c>
      <c r="N64" s="10">
        <v>62.28</v>
      </c>
      <c r="O64" s="10">
        <v>99.0</v>
      </c>
      <c r="P64" s="10">
        <v>38.0</v>
      </c>
      <c r="Q64" s="10">
        <v>61.0</v>
      </c>
      <c r="R64" s="10">
        <v>68.09</v>
      </c>
      <c r="S64" s="10">
        <v>107.0</v>
      </c>
      <c r="T64" s="10">
        <v>33.2</v>
      </c>
      <c r="U64" s="10">
        <v>33.0</v>
      </c>
      <c r="V64" s="10">
        <v>19.0</v>
      </c>
      <c r="W64" s="10">
        <v>14.0</v>
      </c>
      <c r="X64" s="10">
        <v>35.0</v>
      </c>
      <c r="Y64" s="10">
        <v>33.0</v>
      </c>
      <c r="Z64" s="10">
        <v>2.0</v>
      </c>
      <c r="AA64" s="10">
        <v>32.0</v>
      </c>
      <c r="AB64" s="10">
        <v>2.0</v>
      </c>
      <c r="AC64" s="11" t="s">
        <v>158</v>
      </c>
      <c r="AD64" s="10" t="s">
        <v>205</v>
      </c>
      <c r="AE64" s="9" t="str">
        <f>IFERROR(__xludf.DUMMYFUNCTION("GOOGLETRANSLATE(AD64,""pt"",""en"")"),"pointed to if as difficult")</f>
        <v>pointed to if as difficult</v>
      </c>
      <c r="AF64" s="10"/>
      <c r="AG64" s="9"/>
      <c r="AH64" s="10"/>
      <c r="AI64" s="9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</row>
    <row r="65">
      <c r="A65" s="9">
        <v>351.0</v>
      </c>
      <c r="B65" s="10">
        <v>14.0</v>
      </c>
      <c r="C65" s="10">
        <v>27.0</v>
      </c>
      <c r="D65" s="9">
        <v>1.0</v>
      </c>
      <c r="E65" s="10" t="s">
        <v>204</v>
      </c>
      <c r="F65" s="10">
        <v>3.0</v>
      </c>
      <c r="G65" s="10">
        <v>1.0</v>
      </c>
      <c r="H65" s="10" t="s">
        <v>102</v>
      </c>
      <c r="I65" s="10">
        <v>2.0</v>
      </c>
      <c r="J65" s="10" t="s">
        <v>40</v>
      </c>
      <c r="K65" s="10" t="s">
        <v>85</v>
      </c>
      <c r="L65" s="10">
        <v>79.45</v>
      </c>
      <c r="M65" s="10">
        <v>92.0</v>
      </c>
      <c r="N65" s="10">
        <v>31.66</v>
      </c>
      <c r="O65" s="10">
        <v>38.0</v>
      </c>
      <c r="P65" s="10">
        <v>14.0</v>
      </c>
      <c r="Q65" s="10">
        <v>24.0</v>
      </c>
      <c r="R65" s="10">
        <v>46.0</v>
      </c>
      <c r="S65" s="10">
        <v>50.0</v>
      </c>
      <c r="T65" s="10">
        <v>18.83</v>
      </c>
      <c r="U65" s="10">
        <v>15.0</v>
      </c>
      <c r="V65" s="10">
        <v>8.0</v>
      </c>
      <c r="W65" s="10">
        <v>7.0</v>
      </c>
      <c r="X65" s="10">
        <v>14.0</v>
      </c>
      <c r="Y65" s="10">
        <v>12.0</v>
      </c>
      <c r="Z65" s="10">
        <v>2.0</v>
      </c>
      <c r="AA65" s="10">
        <v>13.0</v>
      </c>
      <c r="AB65" s="10">
        <v>1.0</v>
      </c>
      <c r="AC65" s="11" t="s">
        <v>69</v>
      </c>
      <c r="AD65" s="10" t="s">
        <v>147</v>
      </c>
      <c r="AE65" s="9" t="str">
        <f>IFERROR(__xludf.DUMMYFUNCTION("GOOGLETRANSLATE(AD65,""pt"",""en"")"),"difficult")</f>
        <v>difficult</v>
      </c>
      <c r="AF65" s="10"/>
      <c r="AG65" s="9"/>
      <c r="AH65" s="9" t="s">
        <v>206</v>
      </c>
      <c r="AI65" s="9" t="str">
        <f>IFERROR(__xludf.DUMMYFUNCTION("GOOGLETRANSLATE(AH65,""pt"",""en"")"),"Wrong, spent more time and regressions on AOI")</f>
        <v>Wrong, spent more time and regressions on AOI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</row>
    <row r="66">
      <c r="A66" s="9">
        <v>335.0</v>
      </c>
      <c r="B66" s="10">
        <v>12.0</v>
      </c>
      <c r="C66" s="10">
        <v>23.0</v>
      </c>
      <c r="D66" s="9">
        <v>2.0</v>
      </c>
      <c r="E66" s="10" t="s">
        <v>129</v>
      </c>
      <c r="F66" s="10">
        <v>5.0</v>
      </c>
      <c r="G66" s="10">
        <v>2.0</v>
      </c>
      <c r="H66" s="10" t="s">
        <v>39</v>
      </c>
      <c r="I66" s="10">
        <v>2.0</v>
      </c>
      <c r="J66" s="10" t="s">
        <v>40</v>
      </c>
      <c r="K66" s="10" t="s">
        <v>85</v>
      </c>
      <c r="L66" s="10">
        <v>61.27</v>
      </c>
      <c r="M66" s="10">
        <v>81.0</v>
      </c>
      <c r="N66" s="10">
        <v>25.78</v>
      </c>
      <c r="O66" s="10">
        <v>30.0</v>
      </c>
      <c r="P66" s="10">
        <v>9.0</v>
      </c>
      <c r="Q66" s="10">
        <v>21.0</v>
      </c>
      <c r="R66" s="10">
        <v>8.23</v>
      </c>
      <c r="S66" s="10">
        <v>11.0</v>
      </c>
      <c r="T66" s="10">
        <v>3.33</v>
      </c>
      <c r="U66" s="10">
        <v>0.0</v>
      </c>
      <c r="V66" s="10">
        <v>0.0</v>
      </c>
      <c r="W66" s="10">
        <v>0.0</v>
      </c>
      <c r="X66" s="10">
        <v>9.0</v>
      </c>
      <c r="Y66" s="10">
        <v>8.0</v>
      </c>
      <c r="Z66" s="10">
        <v>1.0</v>
      </c>
      <c r="AA66" s="10">
        <v>5.0</v>
      </c>
      <c r="AB66" s="10">
        <v>4.0</v>
      </c>
      <c r="AC66" s="11" t="s">
        <v>158</v>
      </c>
      <c r="AD66" s="10" t="s">
        <v>207</v>
      </c>
      <c r="AE66" s="9" t="str">
        <f>IFERROR(__xludf.DUMMYFUNCTION("GOOGLETRANSLATE(AD66,""pt"",""en"")"),"Hard to understand IF")</f>
        <v>Hard to understand IF</v>
      </c>
      <c r="AF66" s="10"/>
      <c r="AG66" s="9"/>
      <c r="AH66" s="9" t="s">
        <v>208</v>
      </c>
      <c r="AI66" s="9" t="str">
        <f>IFERROR(__xludf.DUMMYFUNCTION("GOOGLETRANSLATE(AH66,""pt"",""en"")"),"Wrong and spent more time")</f>
        <v>Wrong and spent more time</v>
      </c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</row>
    <row r="67">
      <c r="A67" s="9">
        <v>17.0</v>
      </c>
      <c r="B67" s="10">
        <v>2.0</v>
      </c>
      <c r="C67" s="10">
        <v>4.0</v>
      </c>
      <c r="D67" s="9">
        <v>1.0</v>
      </c>
      <c r="E67" s="10" t="s">
        <v>136</v>
      </c>
      <c r="F67" s="10">
        <v>5.0</v>
      </c>
      <c r="G67" s="10">
        <v>1.0</v>
      </c>
      <c r="H67" s="10" t="s">
        <v>39</v>
      </c>
      <c r="I67" s="10">
        <v>1.0</v>
      </c>
      <c r="J67" s="10" t="s">
        <v>40</v>
      </c>
      <c r="K67" s="10" t="s">
        <v>85</v>
      </c>
      <c r="L67" s="10">
        <v>227.17</v>
      </c>
      <c r="M67" s="10">
        <v>268.0</v>
      </c>
      <c r="N67" s="10">
        <v>179.86</v>
      </c>
      <c r="O67" s="10">
        <v>120.0</v>
      </c>
      <c r="P67" s="10">
        <v>75.0</v>
      </c>
      <c r="Q67" s="10">
        <v>45.0</v>
      </c>
      <c r="R67" s="10">
        <v>111.14</v>
      </c>
      <c r="S67" s="10">
        <v>127.0</v>
      </c>
      <c r="T67" s="10">
        <v>96.96</v>
      </c>
      <c r="U67" s="10">
        <v>42.0</v>
      </c>
      <c r="V67" s="10">
        <v>42.0</v>
      </c>
      <c r="W67" s="10">
        <v>0.0</v>
      </c>
      <c r="X67" s="10">
        <v>29.0</v>
      </c>
      <c r="Y67" s="10">
        <v>15.0</v>
      </c>
      <c r="Z67" s="10">
        <v>14.0</v>
      </c>
      <c r="AA67" s="10">
        <v>12.0</v>
      </c>
      <c r="AB67" s="10">
        <v>17.0</v>
      </c>
      <c r="AC67" s="11" t="s">
        <v>58</v>
      </c>
      <c r="AD67" s="10" t="s">
        <v>209</v>
      </c>
      <c r="AE67" s="9" t="str">
        <f>IFERROR(__xludf.DUMMYFUNCTION("GOOGLETRANSLATE(AD67,""pt"",""en"")"),"Return to complicated IF")</f>
        <v>Return to complicated IF</v>
      </c>
      <c r="AF67" s="10"/>
      <c r="AG67" s="9"/>
      <c r="AH67" s="9" t="s">
        <v>123</v>
      </c>
      <c r="AI67" s="9" t="str">
        <f>IFERROR(__xludf.DUMMYFUNCTION("GOOGLETRANSLATE(AH67,""pt"",""en"")"),"spent more time and more regressions")</f>
        <v>spent more time and more regressions</v>
      </c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</row>
    <row r="68">
      <c r="A68" s="9">
        <v>269.0</v>
      </c>
      <c r="B68" s="10">
        <v>7.0</v>
      </c>
      <c r="C68" s="10">
        <v>13.0</v>
      </c>
      <c r="D68" s="9">
        <v>1.0</v>
      </c>
      <c r="E68" s="10" t="s">
        <v>121</v>
      </c>
      <c r="F68" s="10">
        <v>5.0</v>
      </c>
      <c r="G68" s="10">
        <v>1.0</v>
      </c>
      <c r="H68" s="10" t="s">
        <v>102</v>
      </c>
      <c r="I68" s="10">
        <v>1.0</v>
      </c>
      <c r="J68" s="10" t="s">
        <v>105</v>
      </c>
      <c r="K68" s="10" t="s">
        <v>57</v>
      </c>
      <c r="L68" s="10">
        <v>119.83</v>
      </c>
      <c r="M68" s="10">
        <v>225.0</v>
      </c>
      <c r="N68" s="10">
        <v>85.32</v>
      </c>
      <c r="O68" s="10">
        <v>104.0</v>
      </c>
      <c r="P68" s="10">
        <v>63.0</v>
      </c>
      <c r="Q68" s="10">
        <v>41.0</v>
      </c>
      <c r="R68" s="10">
        <v>40.62</v>
      </c>
      <c r="S68" s="10">
        <v>71.0</v>
      </c>
      <c r="T68" s="10">
        <v>31.34</v>
      </c>
      <c r="U68" s="10">
        <v>23.0</v>
      </c>
      <c r="V68" s="10">
        <v>23.0</v>
      </c>
      <c r="W68" s="10">
        <v>0.0</v>
      </c>
      <c r="X68" s="10">
        <v>25.0</v>
      </c>
      <c r="Y68" s="10">
        <v>17.0</v>
      </c>
      <c r="Z68" s="10">
        <v>8.0</v>
      </c>
      <c r="AA68" s="10">
        <v>13.0</v>
      </c>
      <c r="AB68" s="10">
        <v>12.0</v>
      </c>
      <c r="AC68" s="11" t="s">
        <v>109</v>
      </c>
      <c r="AD68" s="10" t="s">
        <v>210</v>
      </c>
      <c r="AE68" s="9" t="str">
        <f>IFERROR(__xludf.DUMMYFUNCTION("GOOGLETRANSLATE(AD68,""pt"",""en"")"),"If difficult, always come back")</f>
        <v>If difficult, always come back</v>
      </c>
      <c r="AF68" s="10"/>
      <c r="AG68" s="9"/>
      <c r="AH68" s="9" t="s">
        <v>92</v>
      </c>
      <c r="AI68" s="9" t="str">
        <f>IFERROR(__xludf.DUMMYFUNCTION("GOOGLETRANSLATE(AH68,""pt"",""en"")"),"More time and regressions")</f>
        <v>More time and regressions</v>
      </c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</row>
    <row r="69">
      <c r="A69" s="9">
        <v>383.0</v>
      </c>
      <c r="B69" s="9">
        <v>16.0</v>
      </c>
      <c r="C69" s="10">
        <v>31.0</v>
      </c>
      <c r="D69" s="9">
        <v>2.0</v>
      </c>
      <c r="E69" s="10" t="s">
        <v>129</v>
      </c>
      <c r="F69" s="10">
        <v>5.0</v>
      </c>
      <c r="G69" s="10">
        <v>2.0</v>
      </c>
      <c r="H69" s="10" t="s">
        <v>39</v>
      </c>
      <c r="I69" s="9">
        <v>1.0</v>
      </c>
      <c r="J69" s="9" t="s">
        <v>40</v>
      </c>
      <c r="K69" s="9" t="s">
        <v>50</v>
      </c>
      <c r="L69" s="10">
        <v>90.03</v>
      </c>
      <c r="M69" s="10">
        <v>133.0</v>
      </c>
      <c r="N69" s="10">
        <v>44.66</v>
      </c>
      <c r="O69" s="10">
        <v>54.0</v>
      </c>
      <c r="P69" s="10">
        <v>28.0</v>
      </c>
      <c r="Q69" s="10">
        <v>26.0</v>
      </c>
      <c r="R69" s="10">
        <v>27.02</v>
      </c>
      <c r="S69" s="10">
        <v>44.0</v>
      </c>
      <c r="T69" s="10">
        <v>16.16</v>
      </c>
      <c r="U69" s="10">
        <v>11.0</v>
      </c>
      <c r="V69" s="10">
        <v>11.0</v>
      </c>
      <c r="W69" s="10">
        <v>0.0</v>
      </c>
      <c r="X69" s="10">
        <v>17.0</v>
      </c>
      <c r="Y69" s="10">
        <v>12.0</v>
      </c>
      <c r="Z69" s="10">
        <v>5.0</v>
      </c>
      <c r="AA69" s="10">
        <v>10.0</v>
      </c>
      <c r="AB69" s="10">
        <v>7.0</v>
      </c>
      <c r="AC69" s="11" t="s">
        <v>144</v>
      </c>
      <c r="AD69" s="10" t="s">
        <v>211</v>
      </c>
      <c r="AE69" s="9" t="str">
        <f>IFERROR(__xludf.DUMMYFUNCTION("GOOGLETRANSLATE(AD69,""pt"",""en"")"),"Hard to validate IF")</f>
        <v>Hard to validate IF</v>
      </c>
      <c r="AF69" s="10"/>
      <c r="AG69" s="9"/>
      <c r="AH69" s="9" t="s">
        <v>92</v>
      </c>
      <c r="AI69" s="9" t="str">
        <f>IFERROR(__xludf.DUMMYFUNCTION("GOOGLETRANSLATE(AH69,""pt"",""en"")"),"More time and regressions")</f>
        <v>More time and regressions</v>
      </c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</row>
    <row r="70">
      <c r="A70" s="9">
        <v>142.0</v>
      </c>
      <c r="B70" s="10">
        <v>12.0</v>
      </c>
      <c r="C70" s="10">
        <v>24.0</v>
      </c>
      <c r="D70" s="9">
        <v>2.0</v>
      </c>
      <c r="E70" s="10" t="s">
        <v>178</v>
      </c>
      <c r="F70" s="10">
        <v>4.0</v>
      </c>
      <c r="G70" s="10">
        <v>2.0</v>
      </c>
      <c r="H70" s="10" t="s">
        <v>102</v>
      </c>
      <c r="I70" s="10">
        <v>1.0</v>
      </c>
      <c r="J70" s="10" t="s">
        <v>40</v>
      </c>
      <c r="K70" s="10" t="s">
        <v>50</v>
      </c>
      <c r="L70" s="10">
        <v>9.55</v>
      </c>
      <c r="M70" s="10">
        <v>9.0</v>
      </c>
      <c r="N70" s="10">
        <v>2.59</v>
      </c>
      <c r="O70" s="10">
        <v>4.0</v>
      </c>
      <c r="P70" s="10">
        <v>2.0</v>
      </c>
      <c r="Q70" s="10">
        <v>2.0</v>
      </c>
      <c r="R70" s="10">
        <v>2.4</v>
      </c>
      <c r="S70" s="10">
        <v>3.0</v>
      </c>
      <c r="T70" s="10">
        <v>0.79</v>
      </c>
      <c r="U70" s="10">
        <v>0.0</v>
      </c>
      <c r="V70" s="10">
        <v>0.0</v>
      </c>
      <c r="W70" s="10">
        <v>0.0</v>
      </c>
      <c r="X70" s="10">
        <v>3.0</v>
      </c>
      <c r="Y70" s="10">
        <v>2.0</v>
      </c>
      <c r="Z70" s="10">
        <v>1.0</v>
      </c>
      <c r="AA70" s="10">
        <v>1.0</v>
      </c>
      <c r="AB70" s="10">
        <v>1.0</v>
      </c>
      <c r="AC70" s="11" t="s">
        <v>212</v>
      </c>
      <c r="AD70" s="10" t="s">
        <v>213</v>
      </c>
      <c r="AE70" s="9" t="str">
        <f>IFERROR(__xludf.DUMMYFUNCTION("GOOGLETRANSLATE(AD70,""pt"",""en"")"),"Booleana Easy Validation")</f>
        <v>Booleana Easy Validation</v>
      </c>
      <c r="AF70" s="10"/>
      <c r="AG70" s="9"/>
      <c r="AH70" s="10"/>
      <c r="AI70" s="9"/>
      <c r="AJ70" s="14" t="s">
        <v>214</v>
      </c>
      <c r="AK70" s="13" t="str">
        <f>IFERROR(__xludf.DUMMYFUNCTION("GOOGLETRANSLATE(AJ70,""pt"",""en"")"),"found if statement easy")</f>
        <v>found if statement easy</v>
      </c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</row>
    <row r="71">
      <c r="A71" s="9">
        <v>140.0</v>
      </c>
      <c r="B71" s="10">
        <v>12.0</v>
      </c>
      <c r="C71" s="10">
        <v>24.0</v>
      </c>
      <c r="D71" s="9">
        <v>2.0</v>
      </c>
      <c r="E71" s="10" t="s">
        <v>115</v>
      </c>
      <c r="F71" s="10">
        <v>2.0</v>
      </c>
      <c r="G71" s="10">
        <v>2.0</v>
      </c>
      <c r="H71" s="10" t="s">
        <v>102</v>
      </c>
      <c r="I71" s="10">
        <v>1.0</v>
      </c>
      <c r="J71" s="10" t="s">
        <v>40</v>
      </c>
      <c r="K71" s="10" t="s">
        <v>50</v>
      </c>
      <c r="L71" s="10">
        <v>16.44</v>
      </c>
      <c r="M71" s="10">
        <v>21.0</v>
      </c>
      <c r="N71" s="10">
        <v>6.11</v>
      </c>
      <c r="O71" s="10">
        <v>7.0</v>
      </c>
      <c r="P71" s="10">
        <v>2.0</v>
      </c>
      <c r="Q71" s="10">
        <v>5.0</v>
      </c>
      <c r="R71" s="10">
        <v>2.88</v>
      </c>
      <c r="S71" s="10">
        <v>4.0</v>
      </c>
      <c r="T71" s="10">
        <v>1.76</v>
      </c>
      <c r="U71" s="10">
        <v>0.0</v>
      </c>
      <c r="V71" s="10">
        <v>0.0</v>
      </c>
      <c r="W71" s="10">
        <v>0.0</v>
      </c>
      <c r="X71" s="10">
        <v>3.0</v>
      </c>
      <c r="Y71" s="10">
        <v>2.0</v>
      </c>
      <c r="Z71" s="10">
        <v>1.0</v>
      </c>
      <c r="AA71" s="10">
        <v>1.0</v>
      </c>
      <c r="AB71" s="10">
        <v>2.0</v>
      </c>
      <c r="AC71" s="11" t="s">
        <v>212</v>
      </c>
      <c r="AD71" s="10" t="s">
        <v>215</v>
      </c>
      <c r="AE71" s="9" t="str">
        <f>IFERROR(__xludf.DUMMYFUNCTION("GOOGLETRANSLATE(AD71,""pt"",""en"")"),"easy to understand! = 3")</f>
        <v>easy to understand! = 3</v>
      </c>
      <c r="AF71" s="10"/>
      <c r="AG71" s="9"/>
      <c r="AH71" s="10"/>
      <c r="AI71" s="9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</row>
    <row r="72">
      <c r="A72" s="9">
        <v>323.0</v>
      </c>
      <c r="B72" s="10">
        <v>11.0</v>
      </c>
      <c r="C72" s="10">
        <v>21.0</v>
      </c>
      <c r="D72" s="9">
        <v>2.0</v>
      </c>
      <c r="E72" s="10" t="s">
        <v>129</v>
      </c>
      <c r="F72" s="10">
        <v>5.0</v>
      </c>
      <c r="G72" s="10">
        <v>2.0</v>
      </c>
      <c r="H72" s="10" t="s">
        <v>39</v>
      </c>
      <c r="I72" s="10">
        <v>1.0</v>
      </c>
      <c r="J72" s="10" t="s">
        <v>40</v>
      </c>
      <c r="K72" s="10" t="s">
        <v>41</v>
      </c>
      <c r="L72" s="10">
        <v>40.35</v>
      </c>
      <c r="M72" s="10">
        <v>50.0</v>
      </c>
      <c r="N72" s="10">
        <v>20.65</v>
      </c>
      <c r="O72" s="10">
        <v>21.0</v>
      </c>
      <c r="P72" s="10">
        <v>11.0</v>
      </c>
      <c r="Q72" s="10">
        <v>10.0</v>
      </c>
      <c r="R72" s="10">
        <v>10.56</v>
      </c>
      <c r="S72" s="10">
        <v>19.0</v>
      </c>
      <c r="T72" s="10">
        <v>7.74</v>
      </c>
      <c r="U72" s="10">
        <v>4.0</v>
      </c>
      <c r="V72" s="10">
        <v>4.0</v>
      </c>
      <c r="W72" s="10">
        <v>0.0</v>
      </c>
      <c r="X72" s="10">
        <v>8.0</v>
      </c>
      <c r="Y72" s="10">
        <v>7.0</v>
      </c>
      <c r="Z72" s="10">
        <v>1.0</v>
      </c>
      <c r="AA72" s="10">
        <v>8.0</v>
      </c>
      <c r="AB72" s="10">
        <v>0.0</v>
      </c>
      <c r="AC72" s="11" t="s">
        <v>78</v>
      </c>
      <c r="AD72" s="10" t="s">
        <v>216</v>
      </c>
      <c r="AE72" s="9" t="str">
        <f>IFERROR(__xludf.DUMMYFUNCTION("GOOGLETRANSLATE(AD72,""pt"",""en"")"),"easy condition")</f>
        <v>easy condition</v>
      </c>
      <c r="AF72" s="10"/>
      <c r="AG72" s="9"/>
      <c r="AH72" s="10"/>
      <c r="AI72" s="9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</row>
    <row r="73">
      <c r="A73" s="9">
        <v>11.0</v>
      </c>
      <c r="B73" s="10">
        <v>1.0</v>
      </c>
      <c r="C73" s="10">
        <v>2.0</v>
      </c>
      <c r="D73" s="9">
        <v>2.0</v>
      </c>
      <c r="E73" s="10" t="s">
        <v>152</v>
      </c>
      <c r="F73" s="10">
        <v>5.0</v>
      </c>
      <c r="G73" s="10">
        <v>2.0</v>
      </c>
      <c r="H73" s="10" t="s">
        <v>102</v>
      </c>
      <c r="I73" s="10">
        <v>1.0</v>
      </c>
      <c r="J73" s="10" t="s">
        <v>40</v>
      </c>
      <c r="K73" s="10" t="s">
        <v>50</v>
      </c>
      <c r="L73" s="10">
        <v>39.79</v>
      </c>
      <c r="M73" s="10">
        <v>36.0</v>
      </c>
      <c r="N73" s="10">
        <v>12.26</v>
      </c>
      <c r="O73" s="10">
        <v>15.0</v>
      </c>
      <c r="P73" s="10">
        <v>8.0</v>
      </c>
      <c r="Q73" s="10">
        <v>7.0</v>
      </c>
      <c r="R73" s="10">
        <v>11.53</v>
      </c>
      <c r="S73" s="10">
        <v>16.0</v>
      </c>
      <c r="T73" s="10">
        <v>4.55</v>
      </c>
      <c r="U73" s="10">
        <v>3.0</v>
      </c>
      <c r="V73" s="10">
        <v>3.0</v>
      </c>
      <c r="W73" s="10">
        <v>0.0</v>
      </c>
      <c r="X73" s="10">
        <v>7.0</v>
      </c>
      <c r="Y73" s="10">
        <v>6.0</v>
      </c>
      <c r="Z73" s="10">
        <v>1.0</v>
      </c>
      <c r="AA73" s="10">
        <v>4.0</v>
      </c>
      <c r="AB73" s="10">
        <v>2.0</v>
      </c>
      <c r="AC73" s="11" t="s">
        <v>81</v>
      </c>
      <c r="AD73" s="10" t="s">
        <v>52</v>
      </c>
      <c r="AE73" s="9" t="str">
        <f>IFERROR(__xludf.DUMMYFUNCTION("GOOGLETRANSLATE(AD73,""pt"",""en"")"),"no difficulty pointed out")</f>
        <v>no difficulty pointed out</v>
      </c>
      <c r="AF73" s="10" t="s">
        <v>217</v>
      </c>
      <c r="AG73" s="9" t="str">
        <f>IFERROR(__xludf.DUMMYFUNCTION("GOOGLETRANSLATE(AF73,""pt"",""en"")"),"Validated the if (said it was easy to validate)")</f>
        <v>Validated the if (said it was easy to validate)</v>
      </c>
      <c r="AH73" s="10"/>
      <c r="AI73" s="9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</row>
    <row r="74">
      <c r="A74" s="9">
        <v>316.0</v>
      </c>
      <c r="B74" s="10">
        <v>11.0</v>
      </c>
      <c r="C74" s="10">
        <v>21.0</v>
      </c>
      <c r="D74" s="9">
        <v>1.0</v>
      </c>
      <c r="E74" s="10" t="s">
        <v>186</v>
      </c>
      <c r="F74" s="10">
        <v>4.0</v>
      </c>
      <c r="G74" s="10">
        <v>1.0</v>
      </c>
      <c r="H74" s="10" t="s">
        <v>102</v>
      </c>
      <c r="I74" s="10">
        <v>1.0</v>
      </c>
      <c r="J74" s="10" t="s">
        <v>40</v>
      </c>
      <c r="K74" s="10" t="s">
        <v>41</v>
      </c>
      <c r="L74" s="10">
        <v>25.62</v>
      </c>
      <c r="M74" s="10">
        <v>40.0</v>
      </c>
      <c r="N74" s="10">
        <v>14.53</v>
      </c>
      <c r="O74" s="10">
        <v>12.0</v>
      </c>
      <c r="P74" s="10">
        <v>8.0</v>
      </c>
      <c r="Q74" s="10">
        <v>4.0</v>
      </c>
      <c r="R74" s="10">
        <v>14.94</v>
      </c>
      <c r="S74" s="10">
        <v>29.0</v>
      </c>
      <c r="T74" s="10">
        <v>11.11</v>
      </c>
      <c r="U74" s="10">
        <v>7.0</v>
      </c>
      <c r="V74" s="10">
        <v>7.0</v>
      </c>
      <c r="W74" s="10">
        <v>0.0</v>
      </c>
      <c r="X74" s="10">
        <v>5.0</v>
      </c>
      <c r="Y74" s="10">
        <v>4.0</v>
      </c>
      <c r="Z74" s="10">
        <v>1.0</v>
      </c>
      <c r="AA74" s="10">
        <v>2.0</v>
      </c>
      <c r="AB74" s="10">
        <v>3.0</v>
      </c>
      <c r="AC74" s="11" t="s">
        <v>78</v>
      </c>
      <c r="AD74" s="10" t="s">
        <v>218</v>
      </c>
      <c r="AE74" s="9" t="str">
        <f>IFERROR(__xludf.DUMMYFUNCTION("GOOGLETRANSLATE(AD74,""pt"",""en"")"),"easy conditional")</f>
        <v>easy conditional</v>
      </c>
      <c r="AF74" s="10"/>
      <c r="AG74" s="9"/>
      <c r="AH74" s="10"/>
      <c r="AI74" s="9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</row>
    <row r="75">
      <c r="A75" s="9">
        <v>256.0</v>
      </c>
      <c r="B75" s="10">
        <v>6.0</v>
      </c>
      <c r="C75" s="10">
        <v>11.0</v>
      </c>
      <c r="D75" s="9">
        <v>1.0</v>
      </c>
      <c r="E75" s="10" t="s">
        <v>186</v>
      </c>
      <c r="F75" s="10">
        <v>4.0</v>
      </c>
      <c r="G75" s="10">
        <v>1.0</v>
      </c>
      <c r="H75" s="10" t="s">
        <v>102</v>
      </c>
      <c r="I75" s="10">
        <v>1.0</v>
      </c>
      <c r="J75" s="10" t="s">
        <v>40</v>
      </c>
      <c r="K75" s="10" t="s">
        <v>50</v>
      </c>
      <c r="L75" s="10">
        <v>26.89</v>
      </c>
      <c r="M75" s="10">
        <v>40.0</v>
      </c>
      <c r="N75" s="10">
        <v>12.13</v>
      </c>
      <c r="O75" s="10">
        <v>19.0</v>
      </c>
      <c r="P75" s="10">
        <v>10.0</v>
      </c>
      <c r="Q75" s="10">
        <v>9.0</v>
      </c>
      <c r="R75" s="10">
        <v>7.82</v>
      </c>
      <c r="S75" s="10">
        <v>16.0</v>
      </c>
      <c r="T75" s="10">
        <v>4.16</v>
      </c>
      <c r="U75" s="10">
        <v>6.0</v>
      </c>
      <c r="V75" s="10">
        <v>6.0</v>
      </c>
      <c r="W75" s="10">
        <v>0.0</v>
      </c>
      <c r="X75" s="10">
        <v>2.0</v>
      </c>
      <c r="Y75" s="10">
        <v>1.0</v>
      </c>
      <c r="Z75" s="10">
        <v>1.0</v>
      </c>
      <c r="AA75" s="10">
        <v>1.0</v>
      </c>
      <c r="AB75" s="10">
        <v>2.0</v>
      </c>
      <c r="AC75" s="11" t="s">
        <v>202</v>
      </c>
      <c r="AD75" s="10" t="s">
        <v>219</v>
      </c>
      <c r="AE75" s="9" t="str">
        <f>IFERROR(__xludf.DUMMYFUNCTION("GOOGLETRANSLATE(AD75,""pt"",""en"")"),"It is easy to validate IF")</f>
        <v>It is easy to validate IF</v>
      </c>
      <c r="AF75" s="10"/>
      <c r="AG75" s="9"/>
      <c r="AH75" s="10"/>
      <c r="AI75" s="9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</row>
    <row r="76">
      <c r="A76" s="9">
        <v>280.0</v>
      </c>
      <c r="B76" s="10">
        <v>8.0</v>
      </c>
      <c r="C76" s="10">
        <v>15.0</v>
      </c>
      <c r="D76" s="9">
        <v>1.0</v>
      </c>
      <c r="E76" s="10" t="s">
        <v>186</v>
      </c>
      <c r="F76" s="10">
        <v>4.0</v>
      </c>
      <c r="G76" s="10">
        <v>1.0</v>
      </c>
      <c r="H76" s="10" t="s">
        <v>102</v>
      </c>
      <c r="I76" s="10">
        <v>1.0</v>
      </c>
      <c r="J76" s="10" t="s">
        <v>40</v>
      </c>
      <c r="K76" s="10" t="s">
        <v>41</v>
      </c>
      <c r="L76" s="10">
        <v>37.01</v>
      </c>
      <c r="M76" s="10">
        <v>54.0</v>
      </c>
      <c r="N76" s="10">
        <v>18.44</v>
      </c>
      <c r="O76" s="10">
        <v>24.0</v>
      </c>
      <c r="P76" s="10">
        <v>16.0</v>
      </c>
      <c r="Q76" s="10">
        <v>8.0</v>
      </c>
      <c r="R76" s="10">
        <v>19.88</v>
      </c>
      <c r="S76" s="10">
        <v>39.0</v>
      </c>
      <c r="T76" s="10">
        <v>13.55</v>
      </c>
      <c r="U76" s="10">
        <v>14.0</v>
      </c>
      <c r="V76" s="10">
        <v>14.0</v>
      </c>
      <c r="W76" s="10">
        <v>0.0</v>
      </c>
      <c r="X76" s="10">
        <v>8.0</v>
      </c>
      <c r="Y76" s="10">
        <v>1.0</v>
      </c>
      <c r="Z76" s="10">
        <v>7.0</v>
      </c>
      <c r="AA76" s="10">
        <v>0.0</v>
      </c>
      <c r="AB76" s="10">
        <v>9.0</v>
      </c>
      <c r="AC76" s="11" t="s">
        <v>220</v>
      </c>
      <c r="AD76" s="10" t="s">
        <v>221</v>
      </c>
      <c r="AE76" s="9" t="str">
        <f>IFERROR(__xludf.DUMMYFUNCTION("GOOGLETRANSLATE(AD76,""pt"",""en"")"),"IF Easy")</f>
        <v>IF Easy</v>
      </c>
      <c r="AF76" s="10"/>
      <c r="AG76" s="9"/>
      <c r="AH76" s="10"/>
      <c r="AI76" s="9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</row>
    <row r="77">
      <c r="A77" s="9">
        <v>131.0</v>
      </c>
      <c r="B77" s="10">
        <v>11.0</v>
      </c>
      <c r="C77" s="10">
        <v>22.0</v>
      </c>
      <c r="D77" s="9">
        <v>2.0</v>
      </c>
      <c r="E77" s="10" t="s">
        <v>152</v>
      </c>
      <c r="F77" s="10">
        <v>5.0</v>
      </c>
      <c r="G77" s="10">
        <v>2.0</v>
      </c>
      <c r="H77" s="10" t="s">
        <v>102</v>
      </c>
      <c r="I77" s="10">
        <v>1.0</v>
      </c>
      <c r="J77" s="10" t="s">
        <v>40</v>
      </c>
      <c r="K77" s="10" t="s">
        <v>41</v>
      </c>
      <c r="L77" s="10">
        <v>21.48</v>
      </c>
      <c r="M77" s="10">
        <v>37.0</v>
      </c>
      <c r="N77" s="10">
        <v>11.02</v>
      </c>
      <c r="O77" s="10">
        <v>15.0</v>
      </c>
      <c r="P77" s="10">
        <v>5.0</v>
      </c>
      <c r="Q77" s="10">
        <v>10.0</v>
      </c>
      <c r="R77" s="10">
        <v>4.98</v>
      </c>
      <c r="S77" s="10">
        <v>9.0</v>
      </c>
      <c r="T77" s="10">
        <v>2.72</v>
      </c>
      <c r="U77" s="10">
        <v>2.0</v>
      </c>
      <c r="V77" s="10">
        <v>2.0</v>
      </c>
      <c r="W77" s="10">
        <v>0.0</v>
      </c>
      <c r="X77" s="10">
        <v>6.0</v>
      </c>
      <c r="Y77" s="10">
        <v>6.0</v>
      </c>
      <c r="Z77" s="10">
        <v>0.0</v>
      </c>
      <c r="AA77" s="10">
        <v>4.0</v>
      </c>
      <c r="AB77" s="10">
        <v>1.0</v>
      </c>
      <c r="AC77" s="11" t="s">
        <v>86</v>
      </c>
      <c r="AD77" s="10" t="s">
        <v>222</v>
      </c>
      <c r="AE77" s="9" t="str">
        <f>IFERROR(__xludf.DUMMYFUNCTION("GOOGLETRANSLATE(AD77,""pt"",""en"")"),"IF line may take time to understand")</f>
        <v>IF line may take time to understand</v>
      </c>
      <c r="AF77" s="10"/>
      <c r="AG77" s="9"/>
      <c r="AH77" s="10"/>
      <c r="AI77" s="9"/>
      <c r="AJ77" s="13" t="s">
        <v>223</v>
      </c>
      <c r="AK77" s="13" t="str">
        <f>IFERROR(__xludf.DUMMYFUNCTION("GOOGLETRANSLATE(AJ77,""pt"",""en"")"),"Evaluating if statement takes more time")</f>
        <v>Evaluating if statement takes more time</v>
      </c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</row>
    <row r="78">
      <c r="A78" s="9">
        <v>35.0</v>
      </c>
      <c r="B78" s="10">
        <v>3.0</v>
      </c>
      <c r="C78" s="10">
        <v>6.0</v>
      </c>
      <c r="D78" s="9">
        <v>2.0</v>
      </c>
      <c r="E78" s="10" t="s">
        <v>152</v>
      </c>
      <c r="F78" s="10">
        <v>5.0</v>
      </c>
      <c r="G78" s="10">
        <v>2.0</v>
      </c>
      <c r="H78" s="10" t="s">
        <v>102</v>
      </c>
      <c r="I78" s="10">
        <v>1.0</v>
      </c>
      <c r="J78" s="10" t="s">
        <v>40</v>
      </c>
      <c r="K78" s="10" t="s">
        <v>57</v>
      </c>
      <c r="L78" s="10">
        <v>27.87</v>
      </c>
      <c r="M78" s="10">
        <v>44.0</v>
      </c>
      <c r="N78" s="10">
        <v>13.27</v>
      </c>
      <c r="O78" s="10">
        <v>22.0</v>
      </c>
      <c r="P78" s="10">
        <v>16.0</v>
      </c>
      <c r="Q78" s="10">
        <v>6.0</v>
      </c>
      <c r="R78" s="10">
        <v>11.94</v>
      </c>
      <c r="S78" s="10">
        <v>26.0</v>
      </c>
      <c r="T78" s="10">
        <v>7.77</v>
      </c>
      <c r="U78" s="10">
        <v>12.0</v>
      </c>
      <c r="V78" s="10">
        <v>12.0</v>
      </c>
      <c r="W78" s="10">
        <v>0.0</v>
      </c>
      <c r="X78" s="10">
        <v>4.0</v>
      </c>
      <c r="Y78" s="10">
        <v>3.0</v>
      </c>
      <c r="Z78" s="10">
        <v>1.0</v>
      </c>
      <c r="AA78" s="10">
        <v>3.0</v>
      </c>
      <c r="AB78" s="10">
        <v>1.0</v>
      </c>
      <c r="AC78" s="11" t="s">
        <v>160</v>
      </c>
      <c r="AD78" s="10" t="s">
        <v>224</v>
      </c>
      <c r="AE78" s="9" t="str">
        <f>IFERROR(__xludf.DUMMYFUNCTION("GOOGLETRANSLATE(AD78,""pt"",""en"")"),"It was slow to understand if, but found it easy")</f>
        <v>It was slow to understand if, but found it easy</v>
      </c>
      <c r="AF78" s="10"/>
      <c r="AG78" s="9"/>
      <c r="AH78" s="9" t="s">
        <v>225</v>
      </c>
      <c r="AI78" s="9" t="str">
        <f>IFERROR(__xludf.DUMMYFUNCTION("GOOGLETRANSLATE(AH78,""pt"",""en"")"),"more regressions and entrances to AOI")</f>
        <v>more regressions and entrances to AOI</v>
      </c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</row>
    <row r="79">
      <c r="A79" s="9">
        <v>87.0</v>
      </c>
      <c r="B79" s="10">
        <v>8.0</v>
      </c>
      <c r="C79" s="10">
        <v>16.0</v>
      </c>
      <c r="D79" s="9">
        <v>1.0</v>
      </c>
      <c r="E79" s="10" t="s">
        <v>84</v>
      </c>
      <c r="F79" s="10">
        <v>3.0</v>
      </c>
      <c r="G79" s="10">
        <v>1.0</v>
      </c>
      <c r="H79" s="10" t="s">
        <v>39</v>
      </c>
      <c r="I79" s="10">
        <v>1.0</v>
      </c>
      <c r="J79" s="10" t="s">
        <v>40</v>
      </c>
      <c r="K79" s="10" t="s">
        <v>85</v>
      </c>
      <c r="L79" s="10">
        <v>80.74</v>
      </c>
      <c r="M79" s="10">
        <v>147.0</v>
      </c>
      <c r="N79" s="10">
        <v>47.57</v>
      </c>
      <c r="O79" s="10">
        <v>67.0</v>
      </c>
      <c r="P79" s="10">
        <v>35.0</v>
      </c>
      <c r="Q79" s="10">
        <v>32.0</v>
      </c>
      <c r="R79" s="10">
        <v>30.78</v>
      </c>
      <c r="S79" s="10">
        <v>61.0</v>
      </c>
      <c r="T79" s="10">
        <v>20.04</v>
      </c>
      <c r="U79" s="10">
        <v>17.0</v>
      </c>
      <c r="V79" s="10">
        <v>17.0</v>
      </c>
      <c r="W79" s="10">
        <v>0.0</v>
      </c>
      <c r="X79" s="10">
        <v>16.0</v>
      </c>
      <c r="Y79" s="10">
        <v>16.0</v>
      </c>
      <c r="Z79" s="10">
        <v>0.0</v>
      </c>
      <c r="AA79" s="10">
        <v>15.0</v>
      </c>
      <c r="AB79" s="10">
        <v>0.0</v>
      </c>
      <c r="AC79" s="11" t="s">
        <v>62</v>
      </c>
      <c r="AD79" s="10" t="s">
        <v>226</v>
      </c>
      <c r="AE79" s="9" t="str">
        <f>IFERROR(__xludf.DUMMYFUNCTION("GOOGLETRANSLATE(AD79,""pt"",""en"")"),"if disturbed")</f>
        <v>if disturbed</v>
      </c>
      <c r="AF79" s="10"/>
      <c r="AG79" s="9"/>
      <c r="AH79" s="10"/>
      <c r="AI79" s="9"/>
      <c r="AJ79" s="13" t="s">
        <v>227</v>
      </c>
      <c r="AK79" s="14" t="s">
        <v>228</v>
      </c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</row>
    <row r="80">
      <c r="A80" s="9">
        <v>159.0</v>
      </c>
      <c r="B80" s="10">
        <v>14.0</v>
      </c>
      <c r="C80" s="10">
        <v>28.0</v>
      </c>
      <c r="D80" s="9">
        <v>1.0</v>
      </c>
      <c r="E80" s="10" t="s">
        <v>84</v>
      </c>
      <c r="F80" s="10">
        <v>3.0</v>
      </c>
      <c r="G80" s="10">
        <v>1.0</v>
      </c>
      <c r="H80" s="10" t="s">
        <v>39</v>
      </c>
      <c r="I80" s="10">
        <v>1.0</v>
      </c>
      <c r="J80" s="10" t="s">
        <v>40</v>
      </c>
      <c r="K80" s="10" t="s">
        <v>85</v>
      </c>
      <c r="L80" s="10">
        <v>89.1</v>
      </c>
      <c r="M80" s="10">
        <v>136.0</v>
      </c>
      <c r="N80" s="10">
        <v>45.32</v>
      </c>
      <c r="O80" s="10">
        <v>55.0</v>
      </c>
      <c r="P80" s="10">
        <v>34.0</v>
      </c>
      <c r="Q80" s="10">
        <v>21.0</v>
      </c>
      <c r="R80" s="10">
        <v>41.27</v>
      </c>
      <c r="S80" s="10">
        <v>74.0</v>
      </c>
      <c r="T80" s="10">
        <v>25.25</v>
      </c>
      <c r="U80" s="10">
        <v>25.0</v>
      </c>
      <c r="V80" s="10">
        <v>25.0</v>
      </c>
      <c r="W80" s="10">
        <v>0.0</v>
      </c>
      <c r="X80" s="10">
        <v>13.0</v>
      </c>
      <c r="Y80" s="10">
        <v>13.0</v>
      </c>
      <c r="Z80" s="10">
        <v>0.0</v>
      </c>
      <c r="AA80" s="10">
        <v>12.0</v>
      </c>
      <c r="AB80" s="10">
        <v>1.0</v>
      </c>
      <c r="AC80" s="11" t="s">
        <v>72</v>
      </c>
      <c r="AD80" s="10" t="s">
        <v>229</v>
      </c>
      <c r="AE80" s="9" t="str">
        <f>IFERROR(__xludf.DUMMYFUNCTION("GOOGLETRANSLATE(AD80,""pt"",""en"")"),"was disturbed on the line of IF Terário")</f>
        <v>was disturbed on the line of IF Terário</v>
      </c>
      <c r="AF80" s="10"/>
      <c r="AG80" s="9"/>
      <c r="AH80" s="9" t="s">
        <v>230</v>
      </c>
      <c r="AI80" s="9" t="str">
        <f>IFERROR(__xludf.DUMMYFUNCTION("GOOGLETRANSLATE(AH80,""pt"",""en"")"),"spent more time on AOI and more regesvision")</f>
        <v>spent more time on AOI and more regesvision</v>
      </c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</row>
    <row r="81">
      <c r="A81" s="9">
        <v>3.0</v>
      </c>
      <c r="B81" s="10">
        <v>1.0</v>
      </c>
      <c r="C81" s="10">
        <v>2.0</v>
      </c>
      <c r="D81" s="9">
        <v>1.0</v>
      </c>
      <c r="E81" s="10" t="s">
        <v>84</v>
      </c>
      <c r="F81" s="10">
        <v>3.0</v>
      </c>
      <c r="G81" s="10">
        <v>1.0</v>
      </c>
      <c r="H81" s="10" t="s">
        <v>39</v>
      </c>
      <c r="I81" s="10">
        <v>2.0</v>
      </c>
      <c r="J81" s="10" t="s">
        <v>40</v>
      </c>
      <c r="K81" s="10" t="s">
        <v>85</v>
      </c>
      <c r="L81" s="10">
        <v>71.64</v>
      </c>
      <c r="M81" s="10">
        <v>99.0</v>
      </c>
      <c r="N81" s="10">
        <v>34.3</v>
      </c>
      <c r="O81" s="10">
        <v>48.0</v>
      </c>
      <c r="P81" s="10">
        <v>35.0</v>
      </c>
      <c r="Q81" s="10">
        <v>13.0</v>
      </c>
      <c r="R81" s="10">
        <v>35.43</v>
      </c>
      <c r="S81" s="10">
        <v>59.0</v>
      </c>
      <c r="T81" s="10">
        <v>20.92</v>
      </c>
      <c r="U81" s="10">
        <v>23.0</v>
      </c>
      <c r="V81" s="10">
        <v>23.0</v>
      </c>
      <c r="W81" s="10">
        <v>0.0</v>
      </c>
      <c r="X81" s="10">
        <v>12.0</v>
      </c>
      <c r="Y81" s="10">
        <v>11.0</v>
      </c>
      <c r="Z81" s="10">
        <v>1.0</v>
      </c>
      <c r="AA81" s="10">
        <v>10.0</v>
      </c>
      <c r="AB81" s="10">
        <v>1.0</v>
      </c>
      <c r="AC81" s="11" t="s">
        <v>81</v>
      </c>
      <c r="AD81" s="10" t="s">
        <v>200</v>
      </c>
      <c r="AE81" s="9" t="str">
        <f>IFERROR(__xludf.DUMMYFUNCTION("GOOGLETRANSLATE(AD81,""pt"",""en"")"),"IF TERNITARY")</f>
        <v>IF TERNITARY</v>
      </c>
      <c r="AF81" s="10" t="s">
        <v>231</v>
      </c>
      <c r="AG81" s="9" t="str">
        <f>IFERROR(__xludf.DUMMYFUNCTION("GOOGLETRANSLATE(AF81,""pt"",""en"")"),"verified what value would be stored at the end")</f>
        <v>verified what value would be stored at the end</v>
      </c>
      <c r="AH81" s="9" t="s">
        <v>232</v>
      </c>
      <c r="AI81" s="9" t="str">
        <f>IFERROR(__xludf.DUMMYFUNCTION("GOOGLETRANSLATE(AH81,""pt"",""en"")"),"Wrong, more time in AOI and more regressions")</f>
        <v>Wrong, more time in AOI and more regressions</v>
      </c>
      <c r="AJ81" s="13" t="s">
        <v>233</v>
      </c>
      <c r="AK81" s="13" t="str">
        <f>IFERROR(__xludf.DUMMYFUNCTION("GOOGLETRANSLATE(AJ81,""pt"",""en"")"),"Evaluating Ternary IF with attribution was difficult")</f>
        <v>Evaluating Ternary IF with attribution was difficult</v>
      </c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</row>
    <row r="82">
      <c r="A82" s="9">
        <v>321.0</v>
      </c>
      <c r="B82" s="10">
        <v>11.0</v>
      </c>
      <c r="C82" s="10">
        <v>21.0</v>
      </c>
      <c r="D82" s="9">
        <v>2.0</v>
      </c>
      <c r="E82" s="10" t="s">
        <v>135</v>
      </c>
      <c r="F82" s="10">
        <v>3.0</v>
      </c>
      <c r="G82" s="10">
        <v>2.0</v>
      </c>
      <c r="H82" s="10" t="s">
        <v>39</v>
      </c>
      <c r="I82" s="10">
        <v>1.0</v>
      </c>
      <c r="J82" s="10" t="s">
        <v>40</v>
      </c>
      <c r="K82" s="10" t="s">
        <v>41</v>
      </c>
      <c r="L82" s="10">
        <v>84.05</v>
      </c>
      <c r="M82" s="10">
        <v>109.0</v>
      </c>
      <c r="N82" s="10">
        <v>36.28</v>
      </c>
      <c r="O82" s="10">
        <v>49.0</v>
      </c>
      <c r="P82" s="10">
        <v>29.0</v>
      </c>
      <c r="Q82" s="10">
        <v>20.0</v>
      </c>
      <c r="R82" s="10">
        <v>29.64</v>
      </c>
      <c r="S82" s="10">
        <v>50.0</v>
      </c>
      <c r="T82" s="10">
        <v>16.53</v>
      </c>
      <c r="U82" s="10">
        <v>14.0</v>
      </c>
      <c r="V82" s="10">
        <v>14.0</v>
      </c>
      <c r="W82" s="10">
        <v>0.0</v>
      </c>
      <c r="X82" s="10">
        <v>19.0</v>
      </c>
      <c r="Y82" s="10">
        <v>13.0</v>
      </c>
      <c r="Z82" s="10">
        <v>6.0</v>
      </c>
      <c r="AA82" s="10">
        <v>12.0</v>
      </c>
      <c r="AB82" s="10">
        <v>7.0</v>
      </c>
      <c r="AC82" s="11" t="s">
        <v>78</v>
      </c>
      <c r="AD82" s="10" t="s">
        <v>234</v>
      </c>
      <c r="AE82" s="9" t="str">
        <f>IFERROR(__xludf.DUMMYFUNCTION("GOOGLETRANSLATE(AD82,""pt"",""en"")"),"IF TERRITARY CAN COMPLY")</f>
        <v>IF TERRITARY CAN COMPLY</v>
      </c>
      <c r="AF82" s="10"/>
      <c r="AG82" s="9"/>
      <c r="AH82" s="9" t="s">
        <v>123</v>
      </c>
      <c r="AI82" s="9" t="str">
        <f>IFERROR(__xludf.DUMMYFUNCTION("GOOGLETRANSLATE(AH82,""pt"",""en"")"),"spent more time and more regressions")</f>
        <v>spent more time and more regressions</v>
      </c>
      <c r="AJ82" s="13" t="s">
        <v>235</v>
      </c>
      <c r="AK82" s="14" t="s">
        <v>236</v>
      </c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</row>
    <row r="83">
      <c r="A83" s="9">
        <v>15.0</v>
      </c>
      <c r="B83" s="10">
        <v>2.0</v>
      </c>
      <c r="C83" s="10">
        <v>4.0</v>
      </c>
      <c r="D83" s="9">
        <v>1.0</v>
      </c>
      <c r="E83" s="10" t="s">
        <v>84</v>
      </c>
      <c r="F83" s="10">
        <v>3.0</v>
      </c>
      <c r="G83" s="10">
        <v>1.0</v>
      </c>
      <c r="H83" s="10" t="s">
        <v>39</v>
      </c>
      <c r="I83" s="10">
        <v>2.0</v>
      </c>
      <c r="J83" s="10" t="s">
        <v>40</v>
      </c>
      <c r="K83" s="10" t="s">
        <v>85</v>
      </c>
      <c r="L83" s="10">
        <v>141.49</v>
      </c>
      <c r="M83" s="10">
        <v>231.0</v>
      </c>
      <c r="N83" s="10">
        <v>85.07</v>
      </c>
      <c r="O83" s="10">
        <v>107.0</v>
      </c>
      <c r="P83" s="10">
        <v>79.0</v>
      </c>
      <c r="Q83" s="10">
        <v>28.0</v>
      </c>
      <c r="R83" s="10">
        <v>87.82</v>
      </c>
      <c r="S83" s="10">
        <v>155.0</v>
      </c>
      <c r="T83" s="10">
        <v>58.43</v>
      </c>
      <c r="U83" s="10">
        <v>62.0</v>
      </c>
      <c r="V83" s="10">
        <v>62.0</v>
      </c>
      <c r="W83" s="10">
        <v>0.0</v>
      </c>
      <c r="X83" s="10">
        <v>21.0</v>
      </c>
      <c r="Y83" s="10">
        <v>18.0</v>
      </c>
      <c r="Z83" s="10">
        <v>3.0</v>
      </c>
      <c r="AA83" s="10">
        <v>18.0</v>
      </c>
      <c r="AB83" s="10">
        <v>3.0</v>
      </c>
      <c r="AC83" s="11" t="s">
        <v>58</v>
      </c>
      <c r="AD83" s="10" t="s">
        <v>237</v>
      </c>
      <c r="AE83" s="9" t="str">
        <f>IFERROR(__xludf.DUMMYFUNCTION("GOOGLETRANSLATE(AD83,""pt"",""en"")"),"IF Confused Ternary")</f>
        <v>IF Confused Ternary</v>
      </c>
      <c r="AF83" s="10"/>
      <c r="AG83" s="9"/>
      <c r="AH83" s="9" t="s">
        <v>232</v>
      </c>
      <c r="AI83" s="9" t="str">
        <f>IFERROR(__xludf.DUMMYFUNCTION("GOOGLETRANSLATE(AH83,""pt"",""en"")"),"Wrong, more time in AOI and more regressions")</f>
        <v>Wrong, more time in AOI and more regressions</v>
      </c>
      <c r="AJ83" s="13" t="s">
        <v>238</v>
      </c>
      <c r="AK83" s="14" t="s">
        <v>239</v>
      </c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</row>
    <row r="84">
      <c r="A84" s="9">
        <v>75.0</v>
      </c>
      <c r="B84" s="10">
        <v>7.0</v>
      </c>
      <c r="C84" s="10">
        <v>14.0</v>
      </c>
      <c r="D84" s="9">
        <v>1.0</v>
      </c>
      <c r="E84" s="10" t="s">
        <v>84</v>
      </c>
      <c r="F84" s="10">
        <v>3.0</v>
      </c>
      <c r="G84" s="10">
        <v>1.0</v>
      </c>
      <c r="H84" s="10" t="s">
        <v>39</v>
      </c>
      <c r="I84" s="10">
        <v>1.0</v>
      </c>
      <c r="J84" s="10" t="s">
        <v>40</v>
      </c>
      <c r="K84" s="10" t="s">
        <v>57</v>
      </c>
      <c r="L84" s="10">
        <v>49.78</v>
      </c>
      <c r="M84" s="10">
        <v>47.0</v>
      </c>
      <c r="N84" s="10">
        <v>13.94</v>
      </c>
      <c r="O84" s="10">
        <v>15.0</v>
      </c>
      <c r="P84" s="10">
        <v>10.0</v>
      </c>
      <c r="Q84" s="10">
        <v>5.0</v>
      </c>
      <c r="R84" s="10">
        <v>8.16</v>
      </c>
      <c r="S84" s="10">
        <v>5.0</v>
      </c>
      <c r="T84" s="10">
        <v>1.15</v>
      </c>
      <c r="U84" s="10">
        <v>0.0</v>
      </c>
      <c r="V84" s="10">
        <v>0.0</v>
      </c>
      <c r="W84" s="10">
        <v>0.0</v>
      </c>
      <c r="X84" s="10">
        <v>4.0</v>
      </c>
      <c r="Y84" s="10">
        <v>4.0</v>
      </c>
      <c r="Z84" s="10">
        <v>0.0</v>
      </c>
      <c r="AA84" s="10">
        <v>3.0</v>
      </c>
      <c r="AB84" s="10">
        <v>0.0</v>
      </c>
      <c r="AC84" s="11" t="s">
        <v>118</v>
      </c>
      <c r="AD84" s="10" t="s">
        <v>240</v>
      </c>
      <c r="AE84" s="9" t="str">
        <f>IFERROR(__xludf.DUMMYFUNCTION("GOOGLETRANSLATE(AD84,""pt"",""en"")"),"IF Ternary can confuse")</f>
        <v>IF Ternary can confuse</v>
      </c>
      <c r="AF84" s="10"/>
      <c r="AG84" s="9"/>
      <c r="AH84" s="10"/>
      <c r="AI84" s="9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</row>
    <row r="85">
      <c r="A85" s="9">
        <v>273.0</v>
      </c>
      <c r="B85" s="10">
        <v>7.0</v>
      </c>
      <c r="C85" s="10">
        <v>13.0</v>
      </c>
      <c r="D85" s="9">
        <v>2.0</v>
      </c>
      <c r="E85" s="10" t="s">
        <v>135</v>
      </c>
      <c r="F85" s="10">
        <v>3.0</v>
      </c>
      <c r="G85" s="10">
        <v>2.0</v>
      </c>
      <c r="H85" s="10" t="s">
        <v>39</v>
      </c>
      <c r="I85" s="10">
        <v>1.0</v>
      </c>
      <c r="J85" s="10" t="s">
        <v>40</v>
      </c>
      <c r="K85" s="10" t="s">
        <v>85</v>
      </c>
      <c r="L85" s="10">
        <v>117.24</v>
      </c>
      <c r="M85" s="10">
        <v>211.0</v>
      </c>
      <c r="N85" s="10">
        <v>83.2</v>
      </c>
      <c r="O85" s="10">
        <v>104.0</v>
      </c>
      <c r="P85" s="10">
        <v>63.0</v>
      </c>
      <c r="Q85" s="10">
        <v>41.0</v>
      </c>
      <c r="R85" s="10">
        <v>40.34</v>
      </c>
      <c r="S85" s="10">
        <v>79.0</v>
      </c>
      <c r="T85" s="10">
        <v>28.2</v>
      </c>
      <c r="U85" s="10">
        <v>26.0</v>
      </c>
      <c r="V85" s="10">
        <v>26.0</v>
      </c>
      <c r="W85" s="10">
        <v>0.0</v>
      </c>
      <c r="X85" s="10">
        <v>28.0</v>
      </c>
      <c r="Y85" s="10">
        <v>20.0</v>
      </c>
      <c r="Z85" s="10">
        <v>8.0</v>
      </c>
      <c r="AA85" s="10">
        <v>20.0</v>
      </c>
      <c r="AB85" s="10">
        <v>8.0</v>
      </c>
      <c r="AC85" s="11" t="s">
        <v>109</v>
      </c>
      <c r="AD85" s="10" t="s">
        <v>240</v>
      </c>
      <c r="AE85" s="9" t="str">
        <f>IFERROR(__xludf.DUMMYFUNCTION("GOOGLETRANSLATE(AD85,""pt"",""en"")"),"IF Ternary can confuse")</f>
        <v>IF Ternary can confuse</v>
      </c>
      <c r="AF85" s="10"/>
      <c r="AG85" s="9"/>
      <c r="AH85" s="9" t="s">
        <v>123</v>
      </c>
      <c r="AI85" s="9" t="str">
        <f>IFERROR(__xludf.DUMMYFUNCTION("GOOGLETRANSLATE(AH85,""pt"",""en"")"),"spent more time and more regressions")</f>
        <v>spent more time and more regressions</v>
      </c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</row>
    <row r="86">
      <c r="A86" s="9">
        <v>297.0</v>
      </c>
      <c r="B86" s="10">
        <v>9.0</v>
      </c>
      <c r="C86" s="10">
        <v>17.0</v>
      </c>
      <c r="D86" s="9">
        <v>2.0</v>
      </c>
      <c r="E86" s="10" t="s">
        <v>135</v>
      </c>
      <c r="F86" s="10">
        <v>3.0</v>
      </c>
      <c r="G86" s="10">
        <v>2.0</v>
      </c>
      <c r="H86" s="10" t="s">
        <v>39</v>
      </c>
      <c r="I86" s="10">
        <v>2.0</v>
      </c>
      <c r="J86" s="10" t="s">
        <v>40</v>
      </c>
      <c r="K86" s="10" t="s">
        <v>85</v>
      </c>
      <c r="L86" s="10">
        <v>122.74</v>
      </c>
      <c r="M86" s="10">
        <v>181.0</v>
      </c>
      <c r="N86" s="10">
        <v>64.8</v>
      </c>
      <c r="O86" s="10">
        <v>68.0</v>
      </c>
      <c r="P86" s="10">
        <v>34.0</v>
      </c>
      <c r="Q86" s="10">
        <v>34.0</v>
      </c>
      <c r="R86" s="10">
        <v>54.47</v>
      </c>
      <c r="S86" s="10">
        <v>92.0</v>
      </c>
      <c r="T86" s="10">
        <v>32.34</v>
      </c>
      <c r="U86" s="10">
        <v>21.0</v>
      </c>
      <c r="V86" s="10">
        <v>21.0</v>
      </c>
      <c r="W86" s="10">
        <v>0.0</v>
      </c>
      <c r="X86" s="10">
        <v>25.0</v>
      </c>
      <c r="Y86" s="10">
        <v>17.0</v>
      </c>
      <c r="Z86" s="10">
        <v>8.0</v>
      </c>
      <c r="AA86" s="10">
        <v>12.0</v>
      </c>
      <c r="AB86" s="10">
        <v>13.0</v>
      </c>
      <c r="AC86" s="11" t="s">
        <v>54</v>
      </c>
      <c r="AD86" s="10" t="s">
        <v>241</v>
      </c>
      <c r="AE86" s="9" t="str">
        <f>IFERROR(__xludf.DUMMYFUNCTION("GOOGLETRANSLATE(AD86,""pt"",""en"")"),"IF Confused")</f>
        <v>IF Confused</v>
      </c>
      <c r="AF86" s="10"/>
      <c r="AG86" s="9"/>
      <c r="AH86" s="9" t="s">
        <v>104</v>
      </c>
      <c r="AI86" s="9" t="str">
        <f>IFERROR(__xludf.DUMMYFUNCTION("GOOGLETRANSLATE(AH86,""pt"",""en"")"),"made a mistake, spent more time and more regressions")</f>
        <v>made a mistake, spent more time and more regressions</v>
      </c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</row>
    <row r="87">
      <c r="A87" s="9">
        <v>99.0</v>
      </c>
      <c r="B87" s="10">
        <v>9.0</v>
      </c>
      <c r="C87" s="10">
        <v>18.0</v>
      </c>
      <c r="D87" s="9">
        <v>1.0</v>
      </c>
      <c r="E87" s="10" t="s">
        <v>84</v>
      </c>
      <c r="F87" s="10">
        <v>3.0</v>
      </c>
      <c r="G87" s="10">
        <v>1.0</v>
      </c>
      <c r="H87" s="10" t="s">
        <v>39</v>
      </c>
      <c r="I87" s="10">
        <v>1.0</v>
      </c>
      <c r="J87" s="10" t="s">
        <v>40</v>
      </c>
      <c r="K87" s="10" t="s">
        <v>57</v>
      </c>
      <c r="L87" s="10">
        <v>53.77</v>
      </c>
      <c r="M87" s="10">
        <v>84.0</v>
      </c>
      <c r="N87" s="10">
        <v>24.88</v>
      </c>
      <c r="O87" s="10">
        <v>36.0</v>
      </c>
      <c r="P87" s="10">
        <v>23.0</v>
      </c>
      <c r="Q87" s="10">
        <v>13.0</v>
      </c>
      <c r="R87" s="10">
        <v>25.58</v>
      </c>
      <c r="S87" s="10">
        <v>41.0</v>
      </c>
      <c r="T87" s="10">
        <v>12.69</v>
      </c>
      <c r="U87" s="10">
        <v>10.0</v>
      </c>
      <c r="V87" s="10">
        <v>10.0</v>
      </c>
      <c r="W87" s="10">
        <v>0.0</v>
      </c>
      <c r="X87" s="10">
        <v>12.0</v>
      </c>
      <c r="Y87" s="10">
        <v>9.0</v>
      </c>
      <c r="Z87" s="10">
        <v>3.0</v>
      </c>
      <c r="AA87" s="10">
        <v>8.0</v>
      </c>
      <c r="AB87" s="10">
        <v>3.0</v>
      </c>
      <c r="AC87" s="11" t="s">
        <v>42</v>
      </c>
      <c r="AD87" s="10" t="s">
        <v>179</v>
      </c>
      <c r="AE87" s="9" t="str">
        <f>IFERROR(__xludf.DUMMYFUNCTION("GOOGLETRANSLATE(AD87,""pt"",""en"")"),"He was in doubt at IF")</f>
        <v>He was in doubt at IF</v>
      </c>
      <c r="AF87" s="10"/>
      <c r="AG87" s="9"/>
      <c r="AH87" s="9" t="s">
        <v>242</v>
      </c>
      <c r="AI87" s="9" t="str">
        <f>IFERROR(__xludf.DUMMYFUNCTION("GOOGLETRANSLATE(AH87,""pt"",""en"")"),"More time at AOI")</f>
        <v>More time at AOI</v>
      </c>
      <c r="AJ87" s="13" t="s">
        <v>243</v>
      </c>
      <c r="AK87" s="14" t="s">
        <v>244</v>
      </c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</row>
    <row r="88">
      <c r="A88" s="9">
        <v>171.0</v>
      </c>
      <c r="B88" s="10">
        <v>15.0</v>
      </c>
      <c r="C88" s="10">
        <v>30.0</v>
      </c>
      <c r="D88" s="9">
        <v>1.0</v>
      </c>
      <c r="E88" s="10" t="s">
        <v>84</v>
      </c>
      <c r="F88" s="10">
        <v>3.0</v>
      </c>
      <c r="G88" s="10">
        <v>1.0</v>
      </c>
      <c r="H88" s="10" t="s">
        <v>39</v>
      </c>
      <c r="I88" s="10">
        <v>1.0</v>
      </c>
      <c r="J88" s="10" t="s">
        <v>40</v>
      </c>
      <c r="K88" s="10" t="s">
        <v>57</v>
      </c>
      <c r="L88" s="10">
        <v>67.36</v>
      </c>
      <c r="M88" s="10">
        <v>81.0</v>
      </c>
      <c r="N88" s="10">
        <v>23.69</v>
      </c>
      <c r="O88" s="10">
        <v>34.0</v>
      </c>
      <c r="P88" s="10">
        <v>19.0</v>
      </c>
      <c r="Q88" s="10">
        <v>15.0</v>
      </c>
      <c r="R88" s="10">
        <v>34.39</v>
      </c>
      <c r="S88" s="10">
        <v>52.0</v>
      </c>
      <c r="T88" s="10">
        <v>15.09</v>
      </c>
      <c r="U88" s="10">
        <v>14.0</v>
      </c>
      <c r="V88" s="10">
        <v>14.0</v>
      </c>
      <c r="W88" s="10">
        <v>0.0</v>
      </c>
      <c r="X88" s="10">
        <v>15.0</v>
      </c>
      <c r="Y88" s="10">
        <v>14.0</v>
      </c>
      <c r="Z88" s="10">
        <v>1.0</v>
      </c>
      <c r="AA88" s="10">
        <v>13.0</v>
      </c>
      <c r="AB88" s="10">
        <v>2.0</v>
      </c>
      <c r="AC88" s="11" t="s">
        <v>245</v>
      </c>
      <c r="AD88" s="10" t="s">
        <v>246</v>
      </c>
      <c r="AE88" s="9" t="str">
        <f>IFERROR(__xludf.DUMMYFUNCTION("GOOGLETRANSLATE(AD88,""pt"",""en"")"),"IFI TERNITARY HAPPENED")</f>
        <v>IFI TERNITARY HAPPENED</v>
      </c>
      <c r="AF88" s="10" t="s">
        <v>247</v>
      </c>
      <c r="AG88" s="9" t="str">
        <f>IFERROR(__xludf.DUMMYFUNCTION("GOOGLETRANSLATE(AF88,""pt"",""en"")"),"Evaluated when Elem == 3")</f>
        <v>Evaluated when Elem == 3</v>
      </c>
      <c r="AH88" s="10"/>
      <c r="AI88" s="9"/>
      <c r="AJ88" s="13" t="s">
        <v>248</v>
      </c>
      <c r="AK88" s="13" t="str">
        <f>IFERROR(__xludf.DUMMYFUNCTION("GOOGLETRANSLATE(AJ88,""pt"",""en"")"),"evaluate IF ternary made it difficult")</f>
        <v>evaluate IF ternary made it difficult</v>
      </c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</row>
    <row r="89">
      <c r="A89" s="9">
        <v>225.0</v>
      </c>
      <c r="B89" s="10">
        <v>3.0</v>
      </c>
      <c r="C89" s="10">
        <v>5.0</v>
      </c>
      <c r="D89" s="9">
        <v>2.0</v>
      </c>
      <c r="E89" s="10" t="s">
        <v>135</v>
      </c>
      <c r="F89" s="10">
        <v>3.0</v>
      </c>
      <c r="G89" s="10">
        <v>2.0</v>
      </c>
      <c r="H89" s="10" t="s">
        <v>39</v>
      </c>
      <c r="I89" s="10">
        <v>1.0</v>
      </c>
      <c r="J89" s="10" t="s">
        <v>40</v>
      </c>
      <c r="K89" s="10" t="s">
        <v>85</v>
      </c>
      <c r="L89" s="10">
        <v>119.11</v>
      </c>
      <c r="M89" s="10">
        <v>183.0</v>
      </c>
      <c r="N89" s="10">
        <v>58.4</v>
      </c>
      <c r="O89" s="10">
        <v>85.0</v>
      </c>
      <c r="P89" s="10">
        <v>54.0</v>
      </c>
      <c r="Q89" s="10">
        <v>31.0</v>
      </c>
      <c r="R89" s="10">
        <v>41.08</v>
      </c>
      <c r="S89" s="10">
        <v>67.0</v>
      </c>
      <c r="T89" s="10">
        <v>21.43</v>
      </c>
      <c r="U89" s="10">
        <v>19.0</v>
      </c>
      <c r="V89" s="10">
        <v>19.0</v>
      </c>
      <c r="W89" s="10">
        <v>0.0</v>
      </c>
      <c r="X89" s="10">
        <v>25.0</v>
      </c>
      <c r="Y89" s="10">
        <v>5.0</v>
      </c>
      <c r="Z89" s="10">
        <v>20.0</v>
      </c>
      <c r="AA89" s="10">
        <v>4.0</v>
      </c>
      <c r="AB89" s="10">
        <v>21.0</v>
      </c>
      <c r="AC89" s="11" t="s">
        <v>249</v>
      </c>
      <c r="AD89" s="10" t="s">
        <v>250</v>
      </c>
      <c r="AE89" s="9" t="str">
        <f>IFERROR(__xludf.DUMMYFUNCTION("GOOGLETRANSLATE(AD89,""pt"",""en"")"),"difficult to terminate")</f>
        <v>difficult to terminate</v>
      </c>
      <c r="AF89" s="10"/>
      <c r="AG89" s="9"/>
      <c r="AH89" s="9" t="s">
        <v>123</v>
      </c>
      <c r="AI89" s="9" t="str">
        <f>IFERROR(__xludf.DUMMYFUNCTION("GOOGLETRANSLATE(AH89,""pt"",""en"")"),"spent more time and more regressions")</f>
        <v>spent more time and more regressions</v>
      </c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</row>
    <row r="90">
      <c r="A90" s="9">
        <v>237.0</v>
      </c>
      <c r="B90" s="10">
        <v>4.0</v>
      </c>
      <c r="C90" s="10">
        <v>7.0</v>
      </c>
      <c r="D90" s="9">
        <v>2.0</v>
      </c>
      <c r="E90" s="10" t="s">
        <v>135</v>
      </c>
      <c r="F90" s="10">
        <v>3.0</v>
      </c>
      <c r="G90" s="10">
        <v>2.0</v>
      </c>
      <c r="H90" s="10" t="s">
        <v>39</v>
      </c>
      <c r="I90" s="10">
        <v>1.0</v>
      </c>
      <c r="J90" s="10" t="s">
        <v>40</v>
      </c>
      <c r="K90" s="10" t="s">
        <v>57</v>
      </c>
      <c r="L90" s="10">
        <v>197.93</v>
      </c>
      <c r="M90" s="10">
        <v>254.0</v>
      </c>
      <c r="N90" s="10">
        <v>77.67</v>
      </c>
      <c r="O90" s="10">
        <v>113.0</v>
      </c>
      <c r="P90" s="10">
        <v>68.0</v>
      </c>
      <c r="Q90" s="10">
        <v>45.0</v>
      </c>
      <c r="R90" s="10">
        <v>80.55</v>
      </c>
      <c r="S90" s="10">
        <v>132.0</v>
      </c>
      <c r="T90" s="10">
        <v>39.84</v>
      </c>
      <c r="U90" s="10">
        <v>47.0</v>
      </c>
      <c r="V90" s="10">
        <v>47.0</v>
      </c>
      <c r="W90" s="10">
        <v>0.0</v>
      </c>
      <c r="X90" s="10">
        <v>23.0</v>
      </c>
      <c r="Y90" s="10">
        <v>13.0</v>
      </c>
      <c r="Z90" s="10">
        <v>10.0</v>
      </c>
      <c r="AA90" s="10">
        <v>10.0</v>
      </c>
      <c r="AB90" s="10">
        <v>13.0</v>
      </c>
      <c r="AC90" s="11" t="s">
        <v>167</v>
      </c>
      <c r="AD90" s="10" t="s">
        <v>251</v>
      </c>
      <c r="AE90" s="9" t="str">
        <f>IFERROR(__xludf.DUMMYFUNCTION("GOOGLETRANSLATE(AD90,""pt"",""en"")"),"If Terminácl Terminal")</f>
        <v>If Terminácl Terminal</v>
      </c>
      <c r="AF90" s="10"/>
      <c r="AG90" s="9"/>
      <c r="AH90" s="9" t="s">
        <v>123</v>
      </c>
      <c r="AI90" s="9" t="str">
        <f>IFERROR(__xludf.DUMMYFUNCTION("GOOGLETRANSLATE(AH90,""pt"",""en"")"),"spent more time and more regressions")</f>
        <v>spent more time and more regressions</v>
      </c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</row>
    <row r="91">
      <c r="A91" s="9">
        <v>369.0</v>
      </c>
      <c r="B91" s="10">
        <v>15.0</v>
      </c>
      <c r="C91" s="10">
        <v>29.0</v>
      </c>
      <c r="D91" s="9">
        <v>2.0</v>
      </c>
      <c r="E91" s="10" t="s">
        <v>135</v>
      </c>
      <c r="F91" s="10">
        <v>3.0</v>
      </c>
      <c r="G91" s="10">
        <v>2.0</v>
      </c>
      <c r="H91" s="10" t="s">
        <v>39</v>
      </c>
      <c r="I91" s="10">
        <v>1.0</v>
      </c>
      <c r="J91" s="10" t="s">
        <v>40</v>
      </c>
      <c r="K91" s="10" t="s">
        <v>57</v>
      </c>
      <c r="L91" s="10">
        <v>50.22</v>
      </c>
      <c r="M91" s="10">
        <v>33.0</v>
      </c>
      <c r="N91" s="10">
        <v>11.07</v>
      </c>
      <c r="O91" s="10">
        <v>13.0</v>
      </c>
      <c r="P91" s="10">
        <v>6.0</v>
      </c>
      <c r="Q91" s="10">
        <v>7.0</v>
      </c>
      <c r="R91" s="10">
        <v>22.71</v>
      </c>
      <c r="S91" s="10">
        <v>23.0</v>
      </c>
      <c r="T91" s="10">
        <v>8.21</v>
      </c>
      <c r="U91" s="10">
        <v>6.0</v>
      </c>
      <c r="V91" s="10">
        <v>6.0</v>
      </c>
      <c r="W91" s="10">
        <v>0.0</v>
      </c>
      <c r="X91" s="10">
        <v>5.0</v>
      </c>
      <c r="Y91" s="10">
        <v>2.0</v>
      </c>
      <c r="Z91" s="10">
        <v>3.0</v>
      </c>
      <c r="AA91" s="10">
        <v>2.0</v>
      </c>
      <c r="AB91" s="10">
        <v>3.0</v>
      </c>
      <c r="AC91" s="11" t="s">
        <v>189</v>
      </c>
      <c r="AD91" s="10" t="s">
        <v>252</v>
      </c>
      <c r="AE91" s="9" t="str">
        <f>IFERROR(__xludf.DUMMYFUNCTION("GOOGLETRANSLATE(AD91,""pt"",""en"")"),"validating")</f>
        <v>validating</v>
      </c>
      <c r="AF91" s="10"/>
      <c r="AG91" s="9"/>
      <c r="AH91" s="9" t="s">
        <v>253</v>
      </c>
      <c r="AI91" s="9" t="str">
        <f>IFERROR(__xludf.DUMMYFUNCTION("GOOGLETRANSLATE(AH91,""pt"",""en"")"),"spent time on AOI")</f>
        <v>spent time on AOI</v>
      </c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</row>
    <row r="92">
      <c r="A92" s="9">
        <v>27.0</v>
      </c>
      <c r="B92" s="10">
        <v>3.0</v>
      </c>
      <c r="C92" s="10">
        <v>6.0</v>
      </c>
      <c r="D92" s="9">
        <v>1.0</v>
      </c>
      <c r="E92" s="10" t="s">
        <v>84</v>
      </c>
      <c r="F92" s="10">
        <v>3.0</v>
      </c>
      <c r="G92" s="10">
        <v>1.0</v>
      </c>
      <c r="H92" s="10" t="s">
        <v>39</v>
      </c>
      <c r="I92" s="10">
        <v>1.0</v>
      </c>
      <c r="J92" s="10" t="s">
        <v>40</v>
      </c>
      <c r="K92" s="10" t="s">
        <v>41</v>
      </c>
      <c r="L92" s="10">
        <v>37.61</v>
      </c>
      <c r="M92" s="10">
        <v>42.0</v>
      </c>
      <c r="N92" s="10">
        <v>12.55</v>
      </c>
      <c r="O92" s="10">
        <v>15.0</v>
      </c>
      <c r="P92" s="10">
        <v>5.0</v>
      </c>
      <c r="Q92" s="10">
        <v>10.0</v>
      </c>
      <c r="R92" s="10">
        <v>19.48</v>
      </c>
      <c r="S92" s="10">
        <v>23.0</v>
      </c>
      <c r="T92" s="10">
        <v>7.2</v>
      </c>
      <c r="U92" s="10">
        <v>5.0</v>
      </c>
      <c r="V92" s="10">
        <v>5.0</v>
      </c>
      <c r="W92" s="10">
        <v>0.0</v>
      </c>
      <c r="X92" s="10">
        <v>6.0</v>
      </c>
      <c r="Y92" s="10">
        <v>3.0</v>
      </c>
      <c r="Z92" s="10">
        <v>3.0</v>
      </c>
      <c r="AA92" s="10">
        <v>5.0</v>
      </c>
      <c r="AB92" s="10">
        <v>1.0</v>
      </c>
      <c r="AC92" s="11" t="s">
        <v>160</v>
      </c>
      <c r="AD92" s="10" t="s">
        <v>254</v>
      </c>
      <c r="AE92" s="9" t="str">
        <f>IFERROR(__xludf.DUMMYFUNCTION("GOOGLETRANSLATE(AD92,""pt"",""en"")"),"It takes longer to validate if")</f>
        <v>It takes longer to validate if</v>
      </c>
      <c r="AF92" s="10"/>
      <c r="AG92" s="9"/>
      <c r="AH92" s="9" t="s">
        <v>255</v>
      </c>
      <c r="AI92" s="9" t="str">
        <f>IFERROR(__xludf.DUMMYFUNCTION("GOOGLETRANSLATE(AH92,""pt"",""en"")"),"spent regular time on AOI")</f>
        <v>spent regular time on AOI</v>
      </c>
      <c r="AJ92" s="13" t="s">
        <v>256</v>
      </c>
      <c r="AK92" s="14" t="s">
        <v>257</v>
      </c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</row>
    <row r="93">
      <c r="A93" s="9">
        <v>39.0</v>
      </c>
      <c r="B93" s="10">
        <v>4.0</v>
      </c>
      <c r="C93" s="10">
        <v>8.0</v>
      </c>
      <c r="D93" s="9">
        <v>1.0</v>
      </c>
      <c r="E93" s="10" t="s">
        <v>84</v>
      </c>
      <c r="F93" s="10">
        <v>3.0</v>
      </c>
      <c r="G93" s="10">
        <v>1.0</v>
      </c>
      <c r="H93" s="10" t="s">
        <v>39</v>
      </c>
      <c r="I93" s="10">
        <v>1.0</v>
      </c>
      <c r="J93" s="10" t="s">
        <v>40</v>
      </c>
      <c r="K93" s="10" t="s">
        <v>57</v>
      </c>
      <c r="L93" s="10">
        <v>73.15</v>
      </c>
      <c r="M93" s="10">
        <v>117.0</v>
      </c>
      <c r="N93" s="10">
        <v>38.37</v>
      </c>
      <c r="O93" s="10">
        <v>43.0</v>
      </c>
      <c r="P93" s="10">
        <v>26.0</v>
      </c>
      <c r="Q93" s="10">
        <v>17.0</v>
      </c>
      <c r="R93" s="10">
        <v>42.41</v>
      </c>
      <c r="S93" s="10">
        <v>77.0</v>
      </c>
      <c r="T93" s="10">
        <v>26.37</v>
      </c>
      <c r="U93" s="10">
        <v>22.0</v>
      </c>
      <c r="V93" s="10">
        <v>22.0</v>
      </c>
      <c r="W93" s="10">
        <v>0.0</v>
      </c>
      <c r="X93" s="10">
        <v>11.0</v>
      </c>
      <c r="Y93" s="10">
        <v>10.0</v>
      </c>
      <c r="Z93" s="10">
        <v>1.0</v>
      </c>
      <c r="AA93" s="10">
        <v>9.0</v>
      </c>
      <c r="AB93" s="10">
        <v>2.0</v>
      </c>
      <c r="AC93" s="11" t="s">
        <v>153</v>
      </c>
      <c r="AD93" s="10" t="s">
        <v>258</v>
      </c>
      <c r="AE93" s="9" t="str">
        <f>IFERROR(__xludf.DUMMYFUNCTION("GOOGLETRANSLATE(AD93,""pt"",""en"")"),"If Ternary takes a long time to validate")</f>
        <v>If Ternary takes a long time to validate</v>
      </c>
      <c r="AF93" s="10"/>
      <c r="AG93" s="9"/>
      <c r="AH93" s="9" t="s">
        <v>230</v>
      </c>
      <c r="AI93" s="9" t="str">
        <f>IFERROR(__xludf.DUMMYFUNCTION("GOOGLETRANSLATE(AH93,""pt"",""en"")"),"spent more time on AOI and more regesvision")</f>
        <v>spent more time on AOI and more regesvision</v>
      </c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</row>
    <row r="94">
      <c r="A94" s="9">
        <v>63.0</v>
      </c>
      <c r="B94" s="10">
        <v>6.0</v>
      </c>
      <c r="C94" s="10">
        <v>12.0</v>
      </c>
      <c r="D94" s="9">
        <v>1.0</v>
      </c>
      <c r="E94" s="10" t="s">
        <v>84</v>
      </c>
      <c r="F94" s="10">
        <v>3.0</v>
      </c>
      <c r="G94" s="10">
        <v>1.0</v>
      </c>
      <c r="H94" s="10" t="s">
        <v>39</v>
      </c>
      <c r="I94" s="10">
        <v>1.0</v>
      </c>
      <c r="J94" s="10" t="s">
        <v>40</v>
      </c>
      <c r="K94" s="10" t="s">
        <v>41</v>
      </c>
      <c r="L94" s="10">
        <v>103.19</v>
      </c>
      <c r="M94" s="10">
        <v>144.0</v>
      </c>
      <c r="N94" s="10">
        <v>46.56</v>
      </c>
      <c r="O94" s="10">
        <v>59.0</v>
      </c>
      <c r="P94" s="10">
        <v>45.0</v>
      </c>
      <c r="Q94" s="10">
        <v>14.0</v>
      </c>
      <c r="R94" s="10">
        <v>65.58</v>
      </c>
      <c r="S94" s="10">
        <v>103.0</v>
      </c>
      <c r="T94" s="10">
        <v>34.96</v>
      </c>
      <c r="U94" s="10">
        <v>36.0</v>
      </c>
      <c r="V94" s="10">
        <v>36.0</v>
      </c>
      <c r="W94" s="10">
        <v>0.0</v>
      </c>
      <c r="X94" s="10">
        <v>13.0</v>
      </c>
      <c r="Y94" s="10">
        <v>12.0</v>
      </c>
      <c r="Z94" s="10">
        <v>1.0</v>
      </c>
      <c r="AA94" s="10">
        <v>10.0</v>
      </c>
      <c r="AB94" s="10">
        <v>2.0</v>
      </c>
      <c r="AC94" s="11" t="s">
        <v>194</v>
      </c>
      <c r="AD94" s="10"/>
      <c r="AE94" s="9" t="str">
        <f>IFERROR(__xludf.DUMMYFUNCTION("GOOGLETRANSLATE(AD94,""pt"",""en"")"),"#VALUE!")</f>
        <v>#VALUE!</v>
      </c>
      <c r="AF94" s="10" t="s">
        <v>259</v>
      </c>
      <c r="AG94" s="9" t="str">
        <f>IFERROR(__xludf.DUMMYFUNCTION("GOOGLETRANSLATE(AF94,""pt"",""en"")"),"Checked the values ​​in the vector and executed the Ternário IF")</f>
        <v>Checked the values ​​in the vector and executed the Ternário IF</v>
      </c>
      <c r="AH94" s="9" t="s">
        <v>92</v>
      </c>
      <c r="AI94" s="9" t="str">
        <f>IFERROR(__xludf.DUMMYFUNCTION("GOOGLETRANSLATE(AH94,""pt"",""en"")"),"More time and regressions")</f>
        <v>More time and regressions</v>
      </c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</row>
    <row r="95">
      <c r="A95" s="9">
        <v>147.0</v>
      </c>
      <c r="B95" s="10">
        <v>13.0</v>
      </c>
      <c r="C95" s="10">
        <v>26.0</v>
      </c>
      <c r="D95" s="9">
        <v>1.0</v>
      </c>
      <c r="E95" s="10" t="s">
        <v>84</v>
      </c>
      <c r="F95" s="10">
        <v>3.0</v>
      </c>
      <c r="G95" s="10">
        <v>1.0</v>
      </c>
      <c r="H95" s="10" t="s">
        <v>39</v>
      </c>
      <c r="I95" s="10">
        <v>1.0</v>
      </c>
      <c r="J95" s="10" t="s">
        <v>40</v>
      </c>
      <c r="K95" s="10" t="s">
        <v>57</v>
      </c>
      <c r="L95" s="10">
        <v>59.11</v>
      </c>
      <c r="M95" s="10">
        <v>107.0</v>
      </c>
      <c r="N95" s="10">
        <v>34.04</v>
      </c>
      <c r="O95" s="10">
        <v>43.0</v>
      </c>
      <c r="P95" s="10">
        <v>27.0</v>
      </c>
      <c r="Q95" s="10">
        <v>16.0</v>
      </c>
      <c r="R95" s="10">
        <v>30.02</v>
      </c>
      <c r="S95" s="10">
        <v>61.0</v>
      </c>
      <c r="T95" s="10">
        <v>20.0</v>
      </c>
      <c r="U95" s="10">
        <v>18.0</v>
      </c>
      <c r="V95" s="10">
        <v>18.0</v>
      </c>
      <c r="W95" s="10">
        <v>0.0</v>
      </c>
      <c r="X95" s="10">
        <v>13.0</v>
      </c>
      <c r="Y95" s="10">
        <v>13.0</v>
      </c>
      <c r="Z95" s="10">
        <v>0.0</v>
      </c>
      <c r="AA95" s="10">
        <v>10.0</v>
      </c>
      <c r="AB95" s="10">
        <v>2.0</v>
      </c>
      <c r="AC95" s="11" t="s">
        <v>141</v>
      </c>
      <c r="AD95" s="10" t="s">
        <v>260</v>
      </c>
      <c r="AE95" s="9" t="str">
        <f>IFERROR(__xludf.DUMMYFUNCTION("GOOGLETRANSLATE(AD95,""pt"",""en"")"),"It took time to analyze if")</f>
        <v>It took time to analyze if</v>
      </c>
      <c r="AF95" s="10"/>
      <c r="AG95" s="9"/>
      <c r="AH95" s="9" t="s">
        <v>230</v>
      </c>
      <c r="AI95" s="9" t="str">
        <f>IFERROR(__xludf.DUMMYFUNCTION("GOOGLETRANSLATE(AH95,""pt"",""en"")"),"spent more time on AOI and more regesvision")</f>
        <v>spent more time on AOI and more regesvision</v>
      </c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</row>
    <row r="96">
      <c r="A96" s="9">
        <v>238.0</v>
      </c>
      <c r="B96" s="10">
        <v>4.0</v>
      </c>
      <c r="C96" s="10">
        <v>7.0</v>
      </c>
      <c r="D96" s="9">
        <v>2.0</v>
      </c>
      <c r="E96" s="10" t="s">
        <v>261</v>
      </c>
      <c r="F96" s="10">
        <v>4.0</v>
      </c>
      <c r="G96" s="10">
        <v>2.0</v>
      </c>
      <c r="H96" s="10" t="s">
        <v>39</v>
      </c>
      <c r="I96" s="10">
        <v>2.0</v>
      </c>
      <c r="J96" s="10" t="s">
        <v>40</v>
      </c>
      <c r="K96" s="10" t="s">
        <v>57</v>
      </c>
      <c r="L96" s="10">
        <v>111.0</v>
      </c>
      <c r="M96" s="10">
        <v>108.0</v>
      </c>
      <c r="N96" s="10">
        <v>31.55</v>
      </c>
      <c r="O96" s="10">
        <v>42.0</v>
      </c>
      <c r="P96" s="10">
        <v>22.0</v>
      </c>
      <c r="Q96" s="10">
        <v>20.0</v>
      </c>
      <c r="R96" s="10">
        <v>47.69</v>
      </c>
      <c r="S96" s="10">
        <v>72.0</v>
      </c>
      <c r="T96" s="10">
        <v>21.87</v>
      </c>
      <c r="U96" s="10">
        <v>20.0</v>
      </c>
      <c r="V96" s="10">
        <v>20.0</v>
      </c>
      <c r="W96" s="10">
        <v>0.0</v>
      </c>
      <c r="X96" s="10">
        <v>13.0</v>
      </c>
      <c r="Y96" s="10">
        <v>5.0</v>
      </c>
      <c r="Z96" s="10">
        <v>8.0</v>
      </c>
      <c r="AA96" s="10">
        <v>4.0</v>
      </c>
      <c r="AB96" s="10">
        <v>9.0</v>
      </c>
      <c r="AC96" s="11" t="s">
        <v>167</v>
      </c>
      <c r="AD96" s="10" t="s">
        <v>262</v>
      </c>
      <c r="AE96" s="9" t="str">
        <f>IFERROR(__xludf.DUMMYFUNCTION("GOOGLETRANSLATE(AD96,""pt"",""en"")"),"was confused with the if")</f>
        <v>was confused with the if</v>
      </c>
      <c r="AF96" s="10"/>
      <c r="AG96" s="9"/>
      <c r="AH96" s="9" t="s">
        <v>104</v>
      </c>
      <c r="AI96" s="9" t="str">
        <f>IFERROR(__xludf.DUMMYFUNCTION("GOOGLETRANSLATE(AH96,""pt"",""en"")"),"made a mistake, spent more time and more regressions")</f>
        <v>made a mistake, spent more time and more regressions</v>
      </c>
      <c r="AJ96" s="13" t="s">
        <v>263</v>
      </c>
      <c r="AK96" s="13" t="str">
        <f>IFERROR(__xludf.DUMMYFUNCTION("GOOGLETRANSLATE(AJ96,""pt"",""en"")"),"confused if statement")</f>
        <v>confused if statement</v>
      </c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</row>
    <row r="97">
      <c r="A97" s="9">
        <v>334.0</v>
      </c>
      <c r="B97" s="10">
        <v>12.0</v>
      </c>
      <c r="C97" s="10">
        <v>23.0</v>
      </c>
      <c r="D97" s="9">
        <v>2.0</v>
      </c>
      <c r="E97" s="10" t="s">
        <v>261</v>
      </c>
      <c r="F97" s="10">
        <v>4.0</v>
      </c>
      <c r="G97" s="10">
        <v>2.0</v>
      </c>
      <c r="H97" s="10" t="s">
        <v>39</v>
      </c>
      <c r="I97" s="10">
        <v>2.0</v>
      </c>
      <c r="J97" s="10" t="s">
        <v>40</v>
      </c>
      <c r="K97" s="10" t="s">
        <v>85</v>
      </c>
      <c r="L97" s="10">
        <v>88.85</v>
      </c>
      <c r="M97" s="10">
        <v>133.0</v>
      </c>
      <c r="N97" s="10">
        <v>44.57</v>
      </c>
      <c r="O97" s="10">
        <v>60.0</v>
      </c>
      <c r="P97" s="10">
        <v>30.0</v>
      </c>
      <c r="Q97" s="10">
        <v>30.0</v>
      </c>
      <c r="R97" s="10">
        <v>29.1</v>
      </c>
      <c r="S97" s="10">
        <v>52.0</v>
      </c>
      <c r="T97" s="10">
        <v>17.74</v>
      </c>
      <c r="U97" s="10">
        <v>11.0</v>
      </c>
      <c r="V97" s="10">
        <v>11.0</v>
      </c>
      <c r="W97" s="10">
        <v>0.0</v>
      </c>
      <c r="X97" s="10">
        <v>22.0</v>
      </c>
      <c r="Y97" s="10">
        <v>3.0</v>
      </c>
      <c r="Z97" s="10">
        <v>19.0</v>
      </c>
      <c r="AA97" s="10">
        <v>3.0</v>
      </c>
      <c r="AB97" s="10">
        <v>19.0</v>
      </c>
      <c r="AC97" s="11" t="s">
        <v>158</v>
      </c>
      <c r="AD97" s="10" t="s">
        <v>264</v>
      </c>
      <c r="AE97" s="9" t="str">
        <f>IFERROR(__xludf.DUMMYFUNCTION("GOOGLETRANSLATE(AD97,""pt"",""en"")"),"if difficult to validate")</f>
        <v>if difficult to validate</v>
      </c>
      <c r="AF97" s="10"/>
      <c r="AG97" s="9"/>
      <c r="AH97" s="9" t="s">
        <v>104</v>
      </c>
      <c r="AI97" s="9" t="str">
        <f>IFERROR(__xludf.DUMMYFUNCTION("GOOGLETRANSLATE(AH97,""pt"",""en"")"),"made a mistake, spent more time and more regressions")</f>
        <v>made a mistake, spent more time and more regressions</v>
      </c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</row>
    <row r="98">
      <c r="A98" s="9">
        <v>346.0</v>
      </c>
      <c r="B98" s="10">
        <v>13.0</v>
      </c>
      <c r="C98" s="10">
        <v>25.0</v>
      </c>
      <c r="D98" s="9">
        <v>2.0</v>
      </c>
      <c r="E98" s="10" t="s">
        <v>261</v>
      </c>
      <c r="F98" s="10">
        <v>4.0</v>
      </c>
      <c r="G98" s="10">
        <v>2.0</v>
      </c>
      <c r="H98" s="10" t="s">
        <v>39</v>
      </c>
      <c r="I98" s="10">
        <v>2.0</v>
      </c>
      <c r="J98" s="10" t="s">
        <v>40</v>
      </c>
      <c r="K98" s="10" t="s">
        <v>85</v>
      </c>
      <c r="L98" s="10">
        <v>90.58</v>
      </c>
      <c r="M98" s="10">
        <v>149.0</v>
      </c>
      <c r="N98" s="10">
        <v>46.02</v>
      </c>
      <c r="O98" s="10">
        <v>68.0</v>
      </c>
      <c r="P98" s="10">
        <v>44.0</v>
      </c>
      <c r="Q98" s="10">
        <v>24.0</v>
      </c>
      <c r="R98" s="10">
        <v>35.05</v>
      </c>
      <c r="S98" s="10">
        <v>72.0</v>
      </c>
      <c r="T98" s="10">
        <v>22.58</v>
      </c>
      <c r="U98" s="10">
        <v>30.0</v>
      </c>
      <c r="V98" s="10">
        <v>30.0</v>
      </c>
      <c r="W98" s="10">
        <v>0.0</v>
      </c>
      <c r="X98" s="10">
        <v>9.0</v>
      </c>
      <c r="Y98" s="10">
        <v>1.0</v>
      </c>
      <c r="Z98" s="10">
        <v>8.0</v>
      </c>
      <c r="AA98" s="10">
        <v>1.0</v>
      </c>
      <c r="AB98" s="10">
        <v>9.0</v>
      </c>
      <c r="AC98" s="11" t="s">
        <v>125</v>
      </c>
      <c r="AD98" s="10" t="s">
        <v>265</v>
      </c>
      <c r="AE98" s="9" t="str">
        <f>IFERROR(__xludf.DUMMYFUNCTION("GOOGLETRANSLATE(AD98,""pt"",""en"")"),"Packed with IF")</f>
        <v>Packed with IF</v>
      </c>
      <c r="AF98" s="10"/>
      <c r="AG98" s="9"/>
      <c r="AH98" s="9" t="s">
        <v>104</v>
      </c>
      <c r="AI98" s="9" t="str">
        <f>IFERROR(__xludf.DUMMYFUNCTION("GOOGLETRANSLATE(AH98,""pt"",""en"")"),"made a mistake, spent more time and more regressions")</f>
        <v>made a mistake, spent more time and more regressions</v>
      </c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</row>
    <row r="99">
      <c r="A99" s="9">
        <v>239.0</v>
      </c>
      <c r="B99" s="10">
        <v>4.0</v>
      </c>
      <c r="C99" s="10">
        <v>7.0</v>
      </c>
      <c r="D99" s="9">
        <v>2.0</v>
      </c>
      <c r="E99" s="10" t="s">
        <v>129</v>
      </c>
      <c r="F99" s="10">
        <v>5.0</v>
      </c>
      <c r="G99" s="10">
        <v>2.0</v>
      </c>
      <c r="H99" s="10" t="s">
        <v>39</v>
      </c>
      <c r="I99" s="10">
        <v>2.0</v>
      </c>
      <c r="J99" s="10" t="s">
        <v>40</v>
      </c>
      <c r="K99" s="10" t="s">
        <v>85</v>
      </c>
      <c r="L99" s="10">
        <v>263.55</v>
      </c>
      <c r="M99" s="10">
        <v>310.0</v>
      </c>
      <c r="N99" s="10">
        <v>100.76</v>
      </c>
      <c r="O99" s="10">
        <v>139.0</v>
      </c>
      <c r="P99" s="10">
        <v>54.0</v>
      </c>
      <c r="Q99" s="10">
        <v>85.0</v>
      </c>
      <c r="R99" s="10">
        <v>80.94</v>
      </c>
      <c r="S99" s="10">
        <v>126.0</v>
      </c>
      <c r="T99" s="10">
        <v>45.12</v>
      </c>
      <c r="U99" s="10">
        <v>31.0</v>
      </c>
      <c r="V99" s="10">
        <v>31.0</v>
      </c>
      <c r="W99" s="10">
        <v>0.0</v>
      </c>
      <c r="X99" s="10">
        <v>62.0</v>
      </c>
      <c r="Y99" s="10">
        <v>50.0</v>
      </c>
      <c r="Z99" s="10">
        <v>12.0</v>
      </c>
      <c r="AA99" s="10">
        <v>41.0</v>
      </c>
      <c r="AB99" s="10">
        <v>20.0</v>
      </c>
      <c r="AC99" s="11" t="s">
        <v>167</v>
      </c>
      <c r="AD99" s="10" t="s">
        <v>266</v>
      </c>
      <c r="AE99" s="9" t="str">
        <f>IFERROR(__xludf.DUMMYFUNCTION("GOOGLETRANSLATE(AD99,""pt"",""en"")"),"If I confused")</f>
        <v>If I confused</v>
      </c>
      <c r="AF99" s="10"/>
      <c r="AG99" s="9"/>
      <c r="AH99" s="9" t="s">
        <v>104</v>
      </c>
      <c r="AI99" s="9" t="str">
        <f>IFERROR(__xludf.DUMMYFUNCTION("GOOGLETRANSLATE(AH99,""pt"",""en"")"),"made a mistake, spent more time and more regressions")</f>
        <v>made a mistake, spent more time and more regressions</v>
      </c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</row>
    <row r="100">
      <c r="A100" s="9">
        <v>105.0</v>
      </c>
      <c r="B100" s="10">
        <v>9.0</v>
      </c>
      <c r="C100" s="10">
        <v>18.0</v>
      </c>
      <c r="D100" s="9">
        <v>2.0</v>
      </c>
      <c r="E100" s="10" t="s">
        <v>101</v>
      </c>
      <c r="F100" s="10">
        <v>3.0</v>
      </c>
      <c r="G100" s="10">
        <v>2.0</v>
      </c>
      <c r="H100" s="10" t="s">
        <v>102</v>
      </c>
      <c r="I100" s="10">
        <v>1.0</v>
      </c>
      <c r="J100" s="10" t="s">
        <v>105</v>
      </c>
      <c r="K100" s="10" t="s">
        <v>57</v>
      </c>
      <c r="L100" s="10">
        <v>133.03</v>
      </c>
      <c r="M100" s="10">
        <v>191.0</v>
      </c>
      <c r="N100" s="10">
        <v>62.63</v>
      </c>
      <c r="O100" s="10">
        <v>72.0</v>
      </c>
      <c r="P100" s="10">
        <v>28.0</v>
      </c>
      <c r="Q100" s="10">
        <v>44.0</v>
      </c>
      <c r="R100" s="10">
        <v>80.97</v>
      </c>
      <c r="S100" s="10">
        <v>120.0</v>
      </c>
      <c r="T100" s="10">
        <v>37.64</v>
      </c>
      <c r="U100" s="10">
        <v>40.0</v>
      </c>
      <c r="V100" s="10">
        <v>21.0</v>
      </c>
      <c r="W100" s="10">
        <v>19.0</v>
      </c>
      <c r="X100" s="10">
        <v>19.0</v>
      </c>
      <c r="Y100" s="10">
        <v>11.0</v>
      </c>
      <c r="Z100" s="10">
        <v>8.0</v>
      </c>
      <c r="AA100" s="10">
        <v>11.0</v>
      </c>
      <c r="AB100" s="10">
        <v>8.0</v>
      </c>
      <c r="AC100" s="11" t="s">
        <v>42</v>
      </c>
      <c r="AD100" s="10" t="s">
        <v>267</v>
      </c>
      <c r="AE100" s="9" t="str">
        <f>IFERROR(__xludf.DUMMYFUNCTION("GOOGLETRANSLATE(AD100,""pt"",""en"")"),"He got in the way of the Else")</f>
        <v>He got in the way of the Else</v>
      </c>
      <c r="AF100" s="10"/>
      <c r="AG100" s="9"/>
      <c r="AH100" s="9" t="s">
        <v>104</v>
      </c>
      <c r="AI100" s="9" t="str">
        <f>IFERROR(__xludf.DUMMYFUNCTION("GOOGLETRANSLATE(AH100,""pt"",""en"")"),"made a mistake, spent more time and more regressions")</f>
        <v>made a mistake, spent more time and more regressions</v>
      </c>
      <c r="AJ100" s="12" t="s">
        <v>268</v>
      </c>
      <c r="AK100" s="14" t="s">
        <v>269</v>
      </c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</row>
    <row r="101">
      <c r="A101" s="9">
        <v>177.0</v>
      </c>
      <c r="B101" s="10">
        <v>15.0</v>
      </c>
      <c r="C101" s="10">
        <v>30.0</v>
      </c>
      <c r="D101" s="9">
        <v>2.0</v>
      </c>
      <c r="E101" s="10" t="s">
        <v>101</v>
      </c>
      <c r="F101" s="10">
        <v>3.0</v>
      </c>
      <c r="G101" s="10">
        <v>2.0</v>
      </c>
      <c r="H101" s="10" t="s">
        <v>102</v>
      </c>
      <c r="I101" s="10">
        <v>2.0</v>
      </c>
      <c r="J101" s="10" t="s">
        <v>40</v>
      </c>
      <c r="K101" s="10" t="s">
        <v>85</v>
      </c>
      <c r="L101" s="10">
        <v>65.22</v>
      </c>
      <c r="M101" s="10">
        <v>76.0</v>
      </c>
      <c r="N101" s="10">
        <v>28.06</v>
      </c>
      <c r="O101" s="10">
        <v>38.0</v>
      </c>
      <c r="P101" s="10">
        <v>13.0</v>
      </c>
      <c r="Q101" s="10">
        <v>25.0</v>
      </c>
      <c r="R101" s="10">
        <v>43.4</v>
      </c>
      <c r="S101" s="10">
        <v>54.0</v>
      </c>
      <c r="T101" s="10">
        <v>21.86</v>
      </c>
      <c r="U101" s="10">
        <v>22.0</v>
      </c>
      <c r="V101" s="10">
        <v>10.0</v>
      </c>
      <c r="W101" s="10">
        <v>12.0</v>
      </c>
      <c r="X101" s="10">
        <v>9.0</v>
      </c>
      <c r="Y101" s="10">
        <v>4.0</v>
      </c>
      <c r="Z101" s="10">
        <v>5.0</v>
      </c>
      <c r="AA101" s="10">
        <v>4.0</v>
      </c>
      <c r="AB101" s="10">
        <v>4.0</v>
      </c>
      <c r="AC101" s="11" t="s">
        <v>245</v>
      </c>
      <c r="AD101" s="10" t="s">
        <v>268</v>
      </c>
      <c r="AE101" s="9" t="str">
        <f>IFERROR(__xludf.DUMMYFUNCTION("GOOGLETRANSLATE(AD101,""pt"",""en"")"),"slick")</f>
        <v>slick</v>
      </c>
      <c r="AF101" s="10" t="s">
        <v>270</v>
      </c>
      <c r="AG101" s="9" t="str">
        <f>IFERROR(__xludf.DUMMYFUNCTION("GOOGLETRANSLATE(AF101,""pt"",""en"")"),"verified cont and calculated")</f>
        <v>verified cont and calculated</v>
      </c>
      <c r="AH101" s="9" t="s">
        <v>104</v>
      </c>
      <c r="AI101" s="9" t="str">
        <f>IFERROR(__xludf.DUMMYFUNCTION("GOOGLETRANSLATE(AH101,""pt"",""en"")"),"made a mistake, spent more time and more regressions")</f>
        <v>made a mistake, spent more time and more regressions</v>
      </c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</row>
    <row r="102">
      <c r="A102" s="9">
        <v>136.0</v>
      </c>
      <c r="B102" s="10">
        <v>12.0</v>
      </c>
      <c r="C102" s="10">
        <v>24.0</v>
      </c>
      <c r="D102" s="9">
        <v>1.0</v>
      </c>
      <c r="E102" s="10" t="s">
        <v>169</v>
      </c>
      <c r="F102" s="10">
        <v>4.0</v>
      </c>
      <c r="G102" s="10">
        <v>1.0</v>
      </c>
      <c r="H102" s="10" t="s">
        <v>39</v>
      </c>
      <c r="I102" s="10">
        <v>1.0</v>
      </c>
      <c r="J102" s="10" t="s">
        <v>40</v>
      </c>
      <c r="K102" s="10" t="s">
        <v>50</v>
      </c>
      <c r="L102" s="10">
        <v>15.31</v>
      </c>
      <c r="M102" s="10">
        <v>16.0</v>
      </c>
      <c r="N102" s="10">
        <v>5.2</v>
      </c>
      <c r="O102" s="10">
        <v>5.0</v>
      </c>
      <c r="P102" s="10">
        <v>3.0</v>
      </c>
      <c r="Q102" s="10">
        <v>2.0</v>
      </c>
      <c r="R102" s="10">
        <v>5.51</v>
      </c>
      <c r="S102" s="10">
        <v>5.0</v>
      </c>
      <c r="T102" s="10">
        <v>1.6</v>
      </c>
      <c r="U102" s="10">
        <v>0.0</v>
      </c>
      <c r="V102" s="10">
        <v>0.0</v>
      </c>
      <c r="W102" s="10">
        <v>0.0</v>
      </c>
      <c r="X102" s="10">
        <v>1.0</v>
      </c>
      <c r="Y102" s="10">
        <v>1.0</v>
      </c>
      <c r="Z102" s="10">
        <v>0.0</v>
      </c>
      <c r="AA102" s="10">
        <v>1.0</v>
      </c>
      <c r="AB102" s="10">
        <v>1.0</v>
      </c>
      <c r="AC102" s="11" t="s">
        <v>212</v>
      </c>
      <c r="AD102" s="10" t="s">
        <v>271</v>
      </c>
      <c r="AE102" s="9" t="str">
        <f>IFERROR(__xludf.DUMMYFUNCTION("GOOGLETRANSLATE(AD102,""pt"",""en"")"),"easy to validate")</f>
        <v>easy to validate</v>
      </c>
      <c r="AF102" s="10" t="s">
        <v>272</v>
      </c>
      <c r="AG102" s="9" t="str">
        <f>IFERROR(__xludf.DUMMYFUNCTION("GOOGLETRANSLATE(AF102,""pt"",""en"")"),"Validated from left to right")</f>
        <v>Validated from left to right</v>
      </c>
      <c r="AH102" s="10"/>
      <c r="AI102" s="9"/>
      <c r="AJ102" s="13" t="s">
        <v>273</v>
      </c>
      <c r="AK102" s="13" t="str">
        <f>IFERROR(__xludf.DUMMYFUNCTION("GOOGLETRANSLATE(AJ102,""pt"",""en"")"),"Easy to validate left to right")</f>
        <v>Easy to validate left to right</v>
      </c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</row>
    <row r="103">
      <c r="A103" s="9">
        <v>8.0</v>
      </c>
      <c r="B103" s="10">
        <v>1.0</v>
      </c>
      <c r="C103" s="10">
        <v>2.0</v>
      </c>
      <c r="D103" s="9">
        <v>2.0</v>
      </c>
      <c r="E103" s="10" t="s">
        <v>115</v>
      </c>
      <c r="F103" s="10">
        <v>2.0</v>
      </c>
      <c r="G103" s="10">
        <v>2.0</v>
      </c>
      <c r="H103" s="10" t="s">
        <v>102</v>
      </c>
      <c r="I103" s="10">
        <v>1.0</v>
      </c>
      <c r="J103" s="10" t="s">
        <v>40</v>
      </c>
      <c r="K103" s="10" t="s">
        <v>57</v>
      </c>
      <c r="L103" s="10">
        <v>47.03</v>
      </c>
      <c r="M103" s="10">
        <v>66.0</v>
      </c>
      <c r="N103" s="10">
        <v>22.89</v>
      </c>
      <c r="O103" s="10">
        <v>28.0</v>
      </c>
      <c r="P103" s="10">
        <v>13.0</v>
      </c>
      <c r="Q103" s="10">
        <v>15.0</v>
      </c>
      <c r="R103" s="10">
        <v>8.28</v>
      </c>
      <c r="S103" s="10">
        <v>16.0</v>
      </c>
      <c r="T103" s="10">
        <v>5.5</v>
      </c>
      <c r="U103" s="10">
        <v>4.0</v>
      </c>
      <c r="V103" s="10">
        <v>4.0</v>
      </c>
      <c r="W103" s="10">
        <v>0.0</v>
      </c>
      <c r="X103" s="10">
        <v>6.0</v>
      </c>
      <c r="Y103" s="10">
        <v>4.0</v>
      </c>
      <c r="Z103" s="10">
        <v>2.0</v>
      </c>
      <c r="AA103" s="10">
        <v>5.0</v>
      </c>
      <c r="AB103" s="10">
        <v>1.0</v>
      </c>
      <c r="AC103" s="11" t="s">
        <v>81</v>
      </c>
      <c r="AD103" s="10" t="s">
        <v>191</v>
      </c>
      <c r="AE103" s="9" t="str">
        <f>IFERROR(__xludf.DUMMYFUNCTION("GOOGLETRANSLATE(AD103,""pt"",""en"")"),"IF")</f>
        <v>IF</v>
      </c>
      <c r="AF103" s="10" t="s">
        <v>274</v>
      </c>
      <c r="AG103" s="9" t="str">
        <f>IFERROR(__xludf.DUMMYFUNCTION("GOOGLETRANSLATE(AF103,""pt"",""en"")"),"said IF caught the eye, but did not consider it easy or difficult")</f>
        <v>said IF caught the eye, but did not consider it easy or difficult</v>
      </c>
      <c r="AH103" s="10"/>
      <c r="AI103" s="9"/>
      <c r="AJ103" s="13" t="s">
        <v>275</v>
      </c>
      <c r="AK103" s="13" t="str">
        <f>IFERROR(__xludf.DUMMYFUNCTION("GOOGLETRANSLATE(AJ103,""pt"",""en"")"),"focused on if statement")</f>
        <v>focused on if statement</v>
      </c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</row>
    <row r="104">
      <c r="A104" s="9">
        <v>268.0</v>
      </c>
      <c r="B104" s="10">
        <v>7.0</v>
      </c>
      <c r="C104" s="10">
        <v>13.0</v>
      </c>
      <c r="D104" s="9">
        <v>1.0</v>
      </c>
      <c r="E104" s="10" t="s">
        <v>186</v>
      </c>
      <c r="F104" s="10">
        <v>4.0</v>
      </c>
      <c r="G104" s="10">
        <v>1.0</v>
      </c>
      <c r="H104" s="10" t="s">
        <v>102</v>
      </c>
      <c r="I104" s="10">
        <v>1.0</v>
      </c>
      <c r="J104" s="10" t="s">
        <v>40</v>
      </c>
      <c r="K104" s="10" t="s">
        <v>41</v>
      </c>
      <c r="L104" s="10">
        <v>66.4</v>
      </c>
      <c r="M104" s="10">
        <v>132.0</v>
      </c>
      <c r="N104" s="10">
        <v>46.0</v>
      </c>
      <c r="O104" s="10">
        <v>63.0</v>
      </c>
      <c r="P104" s="10">
        <v>46.0</v>
      </c>
      <c r="Q104" s="10">
        <v>17.0</v>
      </c>
      <c r="R104" s="10">
        <v>41.88</v>
      </c>
      <c r="S104" s="10">
        <v>88.0</v>
      </c>
      <c r="T104" s="10">
        <v>32.06</v>
      </c>
      <c r="U104" s="10">
        <v>39.0</v>
      </c>
      <c r="V104" s="10">
        <v>39.0</v>
      </c>
      <c r="W104" s="10">
        <v>0.0</v>
      </c>
      <c r="X104" s="10">
        <v>10.0</v>
      </c>
      <c r="Y104" s="10">
        <v>5.0</v>
      </c>
      <c r="Z104" s="10">
        <v>5.0</v>
      </c>
      <c r="AA104" s="10">
        <v>4.0</v>
      </c>
      <c r="AB104" s="10">
        <v>6.0</v>
      </c>
      <c r="AC104" s="11" t="s">
        <v>109</v>
      </c>
      <c r="AD104" s="10" t="s">
        <v>276</v>
      </c>
      <c r="AE104" s="9" t="str">
        <f>IFERROR(__xludf.DUMMYFUNCTION("GOOGLETRANSLATE(AD104,""pt"",""en"")"),"IF SIMPLE")</f>
        <v>IF SIMPLE</v>
      </c>
      <c r="AF104" s="10"/>
      <c r="AG104" s="9"/>
      <c r="AH104" s="9" t="s">
        <v>123</v>
      </c>
      <c r="AI104" s="9" t="str">
        <f>IFERROR(__xludf.DUMMYFUNCTION("GOOGLETRANSLATE(AH104,""pt"",""en"")"),"spent more time and more regressions")</f>
        <v>spent more time and more regressions</v>
      </c>
      <c r="AJ104" s="13" t="s">
        <v>277</v>
      </c>
      <c r="AK104" s="13" t="str">
        <f>IFERROR(__xludf.DUMMYFUNCTION("GOOGLETRANSLATE(AJ104,""pt"",""en"")"),"If statement simple to validate")</f>
        <v>If statement simple to validate</v>
      </c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</row>
    <row r="105">
      <c r="A105" s="9">
        <v>370.0</v>
      </c>
      <c r="B105" s="10">
        <v>15.0</v>
      </c>
      <c r="C105" s="10">
        <v>29.0</v>
      </c>
      <c r="D105" s="9">
        <v>2.0</v>
      </c>
      <c r="E105" s="10" t="s">
        <v>261</v>
      </c>
      <c r="F105" s="10">
        <v>4.0</v>
      </c>
      <c r="G105" s="10">
        <v>2.0</v>
      </c>
      <c r="H105" s="10" t="s">
        <v>39</v>
      </c>
      <c r="I105" s="10">
        <v>2.0</v>
      </c>
      <c r="J105" s="10" t="s">
        <v>40</v>
      </c>
      <c r="K105" s="10" t="s">
        <v>85</v>
      </c>
      <c r="L105" s="10">
        <v>39.79</v>
      </c>
      <c r="M105" s="10">
        <v>41.0</v>
      </c>
      <c r="N105" s="10">
        <v>13.3</v>
      </c>
      <c r="O105" s="10">
        <v>17.0</v>
      </c>
      <c r="P105" s="10">
        <v>9.0</v>
      </c>
      <c r="Q105" s="10">
        <v>8.0</v>
      </c>
      <c r="R105" s="10">
        <v>17.38</v>
      </c>
      <c r="S105" s="10">
        <v>24.0</v>
      </c>
      <c r="T105" s="10">
        <v>8.01</v>
      </c>
      <c r="U105" s="10">
        <v>7.0</v>
      </c>
      <c r="V105" s="10">
        <v>7.0</v>
      </c>
      <c r="W105" s="10">
        <v>0.0</v>
      </c>
      <c r="X105" s="10">
        <v>7.0</v>
      </c>
      <c r="Y105" s="10">
        <v>1.0</v>
      </c>
      <c r="Z105" s="10">
        <v>6.0</v>
      </c>
      <c r="AA105" s="10">
        <v>0.0</v>
      </c>
      <c r="AB105" s="10">
        <v>6.0</v>
      </c>
      <c r="AC105" s="11" t="s">
        <v>189</v>
      </c>
      <c r="AD105" s="10" t="s">
        <v>278</v>
      </c>
      <c r="AE105" s="9" t="str">
        <f>IFERROR(__xludf.DUMMYFUNCTION("GOOGLETRANSLATE(AD105,""pt"",""en"")"),"Lack of understanding in IF")</f>
        <v>Lack of understanding in IF</v>
      </c>
      <c r="AF105" s="10" t="s">
        <v>272</v>
      </c>
      <c r="AG105" s="9" t="str">
        <f>IFERROR(__xludf.DUMMYFUNCTION("GOOGLETRANSLATE(AF105,""pt"",""en"")"),"Validated from left to right")</f>
        <v>Validated from left to right</v>
      </c>
      <c r="AH105" s="9" t="s">
        <v>104</v>
      </c>
      <c r="AI105" s="9" t="str">
        <f>IFERROR(__xludf.DUMMYFUNCTION("GOOGLETRANSLATE(AH105,""pt"",""en"")"),"made a mistake, spent more time and more regressions")</f>
        <v>made a mistake, spent more time and more regressions</v>
      </c>
      <c r="AJ105" s="13" t="s">
        <v>279</v>
      </c>
      <c r="AK105" s="13" t="str">
        <f>IFERROR(__xludf.DUMMYFUNCTION("GOOGLETRANSLATE(AJ105,""pt"",""en"")"),"did not understand the if statement, left to right")</f>
        <v>did not understand the if statement, left to right</v>
      </c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</row>
    <row r="106">
      <c r="A106" s="9">
        <v>260.0</v>
      </c>
      <c r="B106" s="10">
        <v>6.0</v>
      </c>
      <c r="C106" s="10">
        <v>11.0</v>
      </c>
      <c r="D106" s="9">
        <v>2.0</v>
      </c>
      <c r="E106" s="10" t="s">
        <v>96</v>
      </c>
      <c r="F106" s="10">
        <v>2.0</v>
      </c>
      <c r="G106" s="10">
        <v>2.0</v>
      </c>
      <c r="H106" s="10" t="s">
        <v>39</v>
      </c>
      <c r="I106" s="10">
        <v>1.0</v>
      </c>
      <c r="J106" s="10" t="s">
        <v>40</v>
      </c>
      <c r="K106" s="10" t="s">
        <v>85</v>
      </c>
      <c r="L106" s="10">
        <v>60.86</v>
      </c>
      <c r="M106" s="10">
        <v>104.0</v>
      </c>
      <c r="N106" s="10">
        <v>34.48</v>
      </c>
      <c r="O106" s="10">
        <v>44.0</v>
      </c>
      <c r="P106" s="10">
        <v>25.0</v>
      </c>
      <c r="Q106" s="10">
        <v>19.0</v>
      </c>
      <c r="R106" s="10">
        <v>14.54</v>
      </c>
      <c r="S106" s="10">
        <v>29.0</v>
      </c>
      <c r="T106" s="10">
        <v>9.81</v>
      </c>
      <c r="U106" s="10">
        <v>7.0</v>
      </c>
      <c r="V106" s="10">
        <v>7.0</v>
      </c>
      <c r="W106" s="10">
        <v>0.0</v>
      </c>
      <c r="X106" s="10">
        <v>9.0</v>
      </c>
      <c r="Y106" s="10">
        <v>5.0</v>
      </c>
      <c r="Z106" s="10">
        <v>4.0</v>
      </c>
      <c r="AA106" s="10">
        <v>2.0</v>
      </c>
      <c r="AB106" s="10">
        <v>7.0</v>
      </c>
      <c r="AC106" s="11" t="s">
        <v>202</v>
      </c>
      <c r="AD106" s="10" t="s">
        <v>280</v>
      </c>
      <c r="AE106" s="9" t="str">
        <f>IFERROR(__xludf.DUMMYFUNCTION("GOOGLETRANSLATE(AD106,""pt"",""en"")"),"Part of IF is difficult")</f>
        <v>Part of IF is difficult</v>
      </c>
      <c r="AF106" s="10"/>
      <c r="AG106" s="9"/>
      <c r="AH106" s="10"/>
      <c r="AI106" s="9"/>
      <c r="AJ106" s="12" t="s">
        <v>280</v>
      </c>
      <c r="AK106" s="13" t="str">
        <f>IFERROR(__xludf.DUMMYFUNCTION("GOOGLETRANSLATE(AJ106,""pt"",""en"")"),"Part of IF is difficult")</f>
        <v>Part of IF is difficult</v>
      </c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</row>
    <row r="107">
      <c r="A107" s="9">
        <v>166.0</v>
      </c>
      <c r="B107" s="10">
        <v>14.0</v>
      </c>
      <c r="C107" s="10">
        <v>28.0</v>
      </c>
      <c r="D107" s="9">
        <v>2.0</v>
      </c>
      <c r="E107" s="10" t="s">
        <v>178</v>
      </c>
      <c r="F107" s="10">
        <v>4.0</v>
      </c>
      <c r="G107" s="10">
        <v>2.0</v>
      </c>
      <c r="H107" s="10" t="s">
        <v>102</v>
      </c>
      <c r="I107" s="10">
        <v>2.0</v>
      </c>
      <c r="J107" s="10" t="s">
        <v>40</v>
      </c>
      <c r="K107" s="10" t="s">
        <v>57</v>
      </c>
      <c r="L107" s="10">
        <v>71.99</v>
      </c>
      <c r="M107" s="10">
        <v>95.0</v>
      </c>
      <c r="N107" s="10">
        <v>30.2</v>
      </c>
      <c r="O107" s="10">
        <v>38.0</v>
      </c>
      <c r="P107" s="10">
        <v>17.0</v>
      </c>
      <c r="Q107" s="10">
        <v>21.0</v>
      </c>
      <c r="R107" s="10">
        <v>22.5</v>
      </c>
      <c r="S107" s="10">
        <v>42.0</v>
      </c>
      <c r="T107" s="10">
        <v>14.55</v>
      </c>
      <c r="U107" s="10">
        <v>11.0</v>
      </c>
      <c r="V107" s="10">
        <v>11.0</v>
      </c>
      <c r="W107" s="10">
        <v>0.0</v>
      </c>
      <c r="X107" s="10">
        <v>12.0</v>
      </c>
      <c r="Y107" s="10">
        <v>3.0</v>
      </c>
      <c r="Z107" s="10">
        <v>9.0</v>
      </c>
      <c r="AA107" s="10">
        <v>1.0</v>
      </c>
      <c r="AB107" s="10">
        <v>10.0</v>
      </c>
      <c r="AC107" s="11" t="s">
        <v>72</v>
      </c>
      <c r="AD107" s="10" t="s">
        <v>281</v>
      </c>
      <c r="AE107" s="9" t="str">
        <f>IFERROR(__xludf.DUMMYFUNCTION("GOOGLETRANSLATE(AD107,""pt"",""en"")"),"Beled in Validation")</f>
        <v>Beled in Validation</v>
      </c>
      <c r="AF107" s="10"/>
      <c r="AG107" s="9"/>
      <c r="AH107" s="9" t="s">
        <v>104</v>
      </c>
      <c r="AI107" s="9" t="str">
        <f>IFERROR(__xludf.DUMMYFUNCTION("GOOGLETRANSLATE(AH107,""pt"",""en"")"),"made a mistake, spent more time and more regressions")</f>
        <v>made a mistake, spent more time and more regressions</v>
      </c>
      <c r="AJ107" s="12" t="s">
        <v>281</v>
      </c>
      <c r="AK107" s="13" t="str">
        <f>IFERROR(__xludf.DUMMYFUNCTION("GOOGLETRANSLATE(AJ107,""pt"",""en"")"),"Beled in Validation")</f>
        <v>Beled in Validation</v>
      </c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</row>
    <row r="108">
      <c r="A108" s="9">
        <v>164.0</v>
      </c>
      <c r="B108" s="10">
        <v>14.0</v>
      </c>
      <c r="C108" s="10">
        <v>28.0</v>
      </c>
      <c r="D108" s="9">
        <v>2.0</v>
      </c>
      <c r="E108" s="10" t="s">
        <v>115</v>
      </c>
      <c r="F108" s="10">
        <v>2.0</v>
      </c>
      <c r="G108" s="10">
        <v>2.0</v>
      </c>
      <c r="H108" s="10" t="s">
        <v>102</v>
      </c>
      <c r="I108" s="10">
        <v>2.0</v>
      </c>
      <c r="J108" s="10" t="s">
        <v>105</v>
      </c>
      <c r="K108" s="10" t="s">
        <v>57</v>
      </c>
      <c r="L108" s="10">
        <v>101.62</v>
      </c>
      <c r="M108" s="10">
        <v>133.0</v>
      </c>
      <c r="N108" s="10">
        <v>53.64</v>
      </c>
      <c r="O108" s="10">
        <v>57.0</v>
      </c>
      <c r="P108" s="10">
        <v>21.0</v>
      </c>
      <c r="Q108" s="10">
        <v>36.0</v>
      </c>
      <c r="R108" s="10">
        <v>17.24</v>
      </c>
      <c r="S108" s="10">
        <v>31.0</v>
      </c>
      <c r="T108" s="10">
        <v>10.81</v>
      </c>
      <c r="U108" s="10">
        <v>4.0</v>
      </c>
      <c r="V108" s="10">
        <v>4.0</v>
      </c>
      <c r="W108" s="10">
        <v>0.0</v>
      </c>
      <c r="X108" s="10">
        <v>16.0</v>
      </c>
      <c r="Y108" s="10">
        <v>6.0</v>
      </c>
      <c r="Z108" s="10">
        <v>10.0</v>
      </c>
      <c r="AA108" s="10">
        <v>6.0</v>
      </c>
      <c r="AB108" s="10">
        <v>10.0</v>
      </c>
      <c r="AC108" s="11" t="s">
        <v>72</v>
      </c>
      <c r="AD108" s="10" t="s">
        <v>282</v>
      </c>
      <c r="AE108" s="9" t="str">
        <f>IFERROR(__xludf.DUMMYFUNCTION("GOOGLETRANSLATE(AD108,""pt"",""en"")"),"hindered with if")</f>
        <v>hindered with if</v>
      </c>
      <c r="AF108" s="10"/>
      <c r="AG108" s="9"/>
      <c r="AH108" s="9" t="s">
        <v>104</v>
      </c>
      <c r="AI108" s="9" t="str">
        <f>IFERROR(__xludf.DUMMYFUNCTION("GOOGLETRANSLATE(AH108,""pt"",""en"")"),"made a mistake, spent more time and more regressions")</f>
        <v>made a mistake, spent more time and more regressions</v>
      </c>
      <c r="AJ108" s="13" t="s">
        <v>283</v>
      </c>
      <c r="AK108" s="13" t="str">
        <f>IFERROR(__xludf.DUMMYFUNCTION("GOOGLETRANSLATE(AJ108,""pt"",""en"")"),"got in the way with if statement")</f>
        <v>got in the way with if statement</v>
      </c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</row>
    <row r="109">
      <c r="A109" s="9">
        <v>333.0</v>
      </c>
      <c r="B109" s="10">
        <v>12.0</v>
      </c>
      <c r="C109" s="10">
        <v>23.0</v>
      </c>
      <c r="D109" s="9">
        <v>2.0</v>
      </c>
      <c r="E109" s="10" t="s">
        <v>135</v>
      </c>
      <c r="F109" s="10">
        <v>3.0</v>
      </c>
      <c r="G109" s="10">
        <v>2.0</v>
      </c>
      <c r="H109" s="10" t="s">
        <v>39</v>
      </c>
      <c r="I109" s="10">
        <v>1.0</v>
      </c>
      <c r="J109" s="10" t="s">
        <v>40</v>
      </c>
      <c r="K109" s="10" t="s">
        <v>41</v>
      </c>
      <c r="L109" s="10">
        <v>64.17</v>
      </c>
      <c r="M109" s="10">
        <v>100.0</v>
      </c>
      <c r="N109" s="10">
        <v>32.57</v>
      </c>
      <c r="O109" s="10">
        <v>40.0</v>
      </c>
      <c r="P109" s="10">
        <v>19.0</v>
      </c>
      <c r="Q109" s="10">
        <v>21.0</v>
      </c>
      <c r="R109" s="10">
        <v>27.04</v>
      </c>
      <c r="S109" s="10">
        <v>44.0</v>
      </c>
      <c r="T109" s="10">
        <v>15.35</v>
      </c>
      <c r="U109" s="10">
        <v>12.0</v>
      </c>
      <c r="V109" s="10">
        <v>12.0</v>
      </c>
      <c r="W109" s="10">
        <v>0.0</v>
      </c>
      <c r="X109" s="10">
        <v>14.0</v>
      </c>
      <c r="Y109" s="10">
        <v>5.0</v>
      </c>
      <c r="Z109" s="10">
        <v>9.0</v>
      </c>
      <c r="AA109" s="10">
        <v>2.0</v>
      </c>
      <c r="AB109" s="10">
        <v>11.0</v>
      </c>
      <c r="AC109" s="11" t="s">
        <v>158</v>
      </c>
      <c r="AD109" s="10" t="s">
        <v>284</v>
      </c>
      <c r="AE109" s="9" t="str">
        <f>IFERROR(__xludf.DUMMYFUNCTION("GOOGLETRANSLATE(AD109,""pt"",""en"")"),"was confused in the Else")</f>
        <v>was confused in the Else</v>
      </c>
      <c r="AF109" s="10"/>
      <c r="AG109" s="9"/>
      <c r="AH109" s="9" t="s">
        <v>123</v>
      </c>
      <c r="AI109" s="9" t="str">
        <f>IFERROR(__xludf.DUMMYFUNCTION("GOOGLETRANSLATE(AH109,""pt"",""en"")"),"spent more time and more regressions")</f>
        <v>spent more time and more regressions</v>
      </c>
      <c r="AJ109" s="12" t="s">
        <v>284</v>
      </c>
      <c r="AK109" s="13" t="str">
        <f>IFERROR(__xludf.DUMMYFUNCTION("GOOGLETRANSLATE(AJ109,""pt"",""en"")"),"was confused in the Else")</f>
        <v>was confused in the Else</v>
      </c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</row>
    <row r="110">
      <c r="A110" s="9">
        <v>76.0</v>
      </c>
      <c r="B110" s="10">
        <v>7.0</v>
      </c>
      <c r="C110" s="10">
        <v>14.0</v>
      </c>
      <c r="D110" s="9">
        <v>1.0</v>
      </c>
      <c r="E110" s="10" t="s">
        <v>169</v>
      </c>
      <c r="F110" s="10">
        <v>4.0</v>
      </c>
      <c r="G110" s="10">
        <v>1.0</v>
      </c>
      <c r="H110" s="10" t="s">
        <v>39</v>
      </c>
      <c r="I110" s="10">
        <v>2.0</v>
      </c>
      <c r="J110" s="10" t="s">
        <v>40</v>
      </c>
      <c r="K110" s="10" t="s">
        <v>85</v>
      </c>
      <c r="L110" s="10">
        <v>42.35</v>
      </c>
      <c r="M110" s="10">
        <v>63.0</v>
      </c>
      <c r="N110" s="10">
        <v>20.15</v>
      </c>
      <c r="O110" s="10">
        <v>26.0</v>
      </c>
      <c r="P110" s="10">
        <v>19.0</v>
      </c>
      <c r="Q110" s="10">
        <v>7.0</v>
      </c>
      <c r="R110" s="10">
        <v>19.18</v>
      </c>
      <c r="S110" s="10">
        <v>32.0</v>
      </c>
      <c r="T110" s="10">
        <v>10.15</v>
      </c>
      <c r="U110" s="10">
        <v>12.0</v>
      </c>
      <c r="V110" s="10">
        <v>12.0</v>
      </c>
      <c r="W110" s="10">
        <v>0.0</v>
      </c>
      <c r="X110" s="10">
        <v>4.0</v>
      </c>
      <c r="Y110" s="10">
        <v>2.0</v>
      </c>
      <c r="Z110" s="10">
        <v>2.0</v>
      </c>
      <c r="AA110" s="10">
        <v>1.0</v>
      </c>
      <c r="AB110" s="10">
        <v>3.0</v>
      </c>
      <c r="AC110" s="11" t="s">
        <v>118</v>
      </c>
      <c r="AD110" s="10" t="s">
        <v>285</v>
      </c>
      <c r="AE110" s="9" t="str">
        <f>IFERROR(__xludf.DUMMYFUNCTION("GOOGLETRANSLATE(AD110,""pt"",""en"")"),"Wrong from IF")</f>
        <v>Wrong from IF</v>
      </c>
      <c r="AF110" s="10"/>
      <c r="AG110" s="9"/>
      <c r="AH110" s="9" t="s">
        <v>104</v>
      </c>
      <c r="AI110" s="9" t="str">
        <f>IFERROR(__xludf.DUMMYFUNCTION("GOOGLETRANSLATE(AH110,""pt"",""en"")"),"made a mistake, spent more time and more regressions")</f>
        <v>made a mistake, spent more time and more regressions</v>
      </c>
      <c r="AJ110" s="12" t="s">
        <v>286</v>
      </c>
      <c r="AK110" s="13" t="str">
        <f>IFERROR(__xludf.DUMMYFUNCTION("GOOGLETRANSLATE(AJ110,""pt"",""en"")"),"got confused in IF")</f>
        <v>got confused in IF</v>
      </c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</row>
    <row r="111">
      <c r="A111" s="9">
        <v>278.0</v>
      </c>
      <c r="B111" s="10">
        <v>8.0</v>
      </c>
      <c r="C111" s="10">
        <v>15.0</v>
      </c>
      <c r="D111" s="9">
        <v>1.0</v>
      </c>
      <c r="E111" s="10" t="s">
        <v>124</v>
      </c>
      <c r="F111" s="10">
        <v>2.0</v>
      </c>
      <c r="G111" s="10">
        <v>1.0</v>
      </c>
      <c r="H111" s="10" t="s">
        <v>102</v>
      </c>
      <c r="I111" s="10">
        <v>2.0</v>
      </c>
      <c r="J111" s="10" t="s">
        <v>40</v>
      </c>
      <c r="K111" s="10" t="s">
        <v>41</v>
      </c>
      <c r="L111" s="10">
        <v>86.44</v>
      </c>
      <c r="M111" s="10">
        <v>119.0</v>
      </c>
      <c r="N111" s="10">
        <v>54.38</v>
      </c>
      <c r="O111" s="10">
        <v>53.0</v>
      </c>
      <c r="P111" s="10">
        <v>20.0</v>
      </c>
      <c r="Q111" s="10">
        <v>33.0</v>
      </c>
      <c r="R111" s="10">
        <v>28.94</v>
      </c>
      <c r="S111" s="10">
        <v>51.0</v>
      </c>
      <c r="T111" s="10">
        <v>21.04</v>
      </c>
      <c r="U111" s="10">
        <v>14.0</v>
      </c>
      <c r="V111" s="10">
        <v>14.0</v>
      </c>
      <c r="W111" s="10">
        <v>0.0</v>
      </c>
      <c r="X111" s="10">
        <v>26.0</v>
      </c>
      <c r="Y111" s="10">
        <v>13.0</v>
      </c>
      <c r="Z111" s="10">
        <v>13.0</v>
      </c>
      <c r="AA111" s="10">
        <v>12.0</v>
      </c>
      <c r="AB111" s="10">
        <v>14.0</v>
      </c>
      <c r="AC111" s="11" t="s">
        <v>220</v>
      </c>
      <c r="AD111" s="10" t="s">
        <v>286</v>
      </c>
      <c r="AE111" s="9" t="str">
        <f>IFERROR(__xludf.DUMMYFUNCTION("GOOGLETRANSLATE(AD111,""pt"",""en"")"),"got confused in IF")</f>
        <v>got confused in IF</v>
      </c>
      <c r="AF111" s="10"/>
      <c r="AG111" s="9"/>
      <c r="AH111" s="9" t="s">
        <v>168</v>
      </c>
      <c r="AI111" s="9" t="str">
        <f>IFERROR(__xludf.DUMMYFUNCTION("GOOGLETRANSLATE(AH111,""pt"",""en"")"),"missed, more time, regressions in AOI, and entry")</f>
        <v>missed, more time, regressions in AOI, and entry</v>
      </c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</row>
    <row r="112">
      <c r="A112" s="9">
        <v>170.0</v>
      </c>
      <c r="B112" s="10">
        <v>15.0</v>
      </c>
      <c r="C112" s="10">
        <v>30.0</v>
      </c>
      <c r="D112" s="9">
        <v>1.0</v>
      </c>
      <c r="E112" s="10" t="s">
        <v>139</v>
      </c>
      <c r="F112" s="10">
        <v>2.0</v>
      </c>
      <c r="G112" s="10">
        <v>1.0</v>
      </c>
      <c r="H112" s="10" t="s">
        <v>39</v>
      </c>
      <c r="I112" s="10">
        <v>1.0</v>
      </c>
      <c r="J112" s="10" t="s">
        <v>40</v>
      </c>
      <c r="K112" s="10" t="s">
        <v>41</v>
      </c>
      <c r="L112" s="10">
        <v>25.02</v>
      </c>
      <c r="M112" s="10">
        <v>35.0</v>
      </c>
      <c r="N112" s="10">
        <v>13.59</v>
      </c>
      <c r="O112" s="10">
        <v>14.0</v>
      </c>
      <c r="P112" s="10">
        <v>5.0</v>
      </c>
      <c r="Q112" s="10">
        <v>9.0</v>
      </c>
      <c r="R112" s="10">
        <v>13.52</v>
      </c>
      <c r="S112" s="10">
        <v>21.0</v>
      </c>
      <c r="T112" s="10">
        <v>9.66</v>
      </c>
      <c r="U112" s="10">
        <v>2.0</v>
      </c>
      <c r="V112" s="10">
        <v>2.0</v>
      </c>
      <c r="W112" s="10">
        <v>0.0</v>
      </c>
      <c r="X112" s="10">
        <v>9.0</v>
      </c>
      <c r="Y112" s="10">
        <v>3.0</v>
      </c>
      <c r="Z112" s="10">
        <v>6.0</v>
      </c>
      <c r="AA112" s="10">
        <v>3.0</v>
      </c>
      <c r="AB112" s="10">
        <v>7.0</v>
      </c>
      <c r="AC112" s="11" t="s">
        <v>245</v>
      </c>
      <c r="AD112" s="10" t="s">
        <v>287</v>
      </c>
      <c r="AE112" s="9" t="str">
        <f>IFERROR(__xludf.DUMMYFUNCTION("GOOGLETRANSLATE(AD112,""pt"",""en"")"),"easy because it had few iterations")</f>
        <v>easy because it had few iterations</v>
      </c>
      <c r="AF112" s="10" t="s">
        <v>288</v>
      </c>
      <c r="AG112" s="9" t="str">
        <f>IFERROR(__xludf.DUMMYFUNCTION("GOOGLETRANSLATE(AF112,""pt"",""en"")"),"Verified! = 4")</f>
        <v>Verified! = 4</v>
      </c>
      <c r="AH112" s="10"/>
      <c r="AI112" s="9"/>
      <c r="AJ112" s="13" t="s">
        <v>289</v>
      </c>
      <c r="AK112" s="14" t="s">
        <v>289</v>
      </c>
      <c r="AL112" s="14" t="s">
        <v>290</v>
      </c>
      <c r="AM112" s="16" t="str">
        <f>IFERROR(__xludf.DUMMYFUNCTION("GOOGLETRANSLATE(AL112,""pt"",""en"")"),"repetition")</f>
        <v>repetition</v>
      </c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</row>
    <row r="113">
      <c r="A113" s="9">
        <v>198.0</v>
      </c>
      <c r="B113" s="10">
        <v>1.0</v>
      </c>
      <c r="C113" s="10">
        <v>1.0</v>
      </c>
      <c r="D113" s="9">
        <v>1.0</v>
      </c>
      <c r="E113" s="10" t="s">
        <v>291</v>
      </c>
      <c r="F113" s="10">
        <v>6.0</v>
      </c>
      <c r="G113" s="10">
        <v>1.0</v>
      </c>
      <c r="H113" s="10" t="s">
        <v>102</v>
      </c>
      <c r="I113" s="10">
        <v>1.0</v>
      </c>
      <c r="J113" s="10" t="s">
        <v>40</v>
      </c>
      <c r="K113" s="10" t="s">
        <v>57</v>
      </c>
      <c r="L113" s="10">
        <v>31.2</v>
      </c>
      <c r="M113" s="10">
        <v>48.0</v>
      </c>
      <c r="N113" s="10">
        <v>14.48</v>
      </c>
      <c r="O113" s="10">
        <v>17.0</v>
      </c>
      <c r="P113" s="10">
        <v>7.0</v>
      </c>
      <c r="Q113" s="10">
        <v>10.0</v>
      </c>
      <c r="R113" s="10">
        <v>7.75</v>
      </c>
      <c r="S113" s="10">
        <v>12.0</v>
      </c>
      <c r="T113" s="10">
        <v>4.27</v>
      </c>
      <c r="U113" s="10">
        <v>4.0</v>
      </c>
      <c r="V113" s="10">
        <v>4.0</v>
      </c>
      <c r="W113" s="10">
        <v>0.0</v>
      </c>
      <c r="X113" s="10">
        <v>4.0</v>
      </c>
      <c r="Y113" s="10">
        <v>3.0</v>
      </c>
      <c r="Z113" s="10">
        <v>1.0</v>
      </c>
      <c r="AA113" s="10">
        <v>3.0</v>
      </c>
      <c r="AB113" s="10">
        <v>1.0</v>
      </c>
      <c r="AC113" s="11" t="s">
        <v>51</v>
      </c>
      <c r="AD113" s="10" t="s">
        <v>292</v>
      </c>
      <c r="AE113" s="9" t="str">
        <f>IFERROR(__xludf.DUMMYFUNCTION("GOOGLETRANSLATE(AD113,""pt"",""en"")"),"for elem")</f>
        <v>for elem</v>
      </c>
      <c r="AF113" s="10" t="s">
        <v>293</v>
      </c>
      <c r="AG113" s="9" t="str">
        <f>IFERROR(__xludf.DUMMYFUNCTION("GOOGLETRANSLATE(AF113,""pt"",""en"")"),"was confused with the Elem")</f>
        <v>was confused with the Elem</v>
      </c>
      <c r="AH113" s="10"/>
      <c r="AI113" s="9"/>
      <c r="AJ113" s="14" t="s">
        <v>294</v>
      </c>
      <c r="AK113" s="13" t="str">
        <f>IFERROR(__xludf.DUMMYFUNCTION("GOOGLETRANSLATE(AJ113,""pt"",""en"")"),"confusion with Elem")</f>
        <v>confusion with Elem</v>
      </c>
      <c r="AL113" s="14" t="s">
        <v>295</v>
      </c>
      <c r="AM113" s="14" t="s">
        <v>296</v>
      </c>
      <c r="AN113" s="14" t="s">
        <v>297</v>
      </c>
      <c r="AO113" s="14" t="s">
        <v>298</v>
      </c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</row>
    <row r="114">
      <c r="A114" s="9">
        <v>264.0</v>
      </c>
      <c r="B114" s="10">
        <v>6.0</v>
      </c>
      <c r="C114" s="10">
        <v>11.0</v>
      </c>
      <c r="D114" s="9">
        <v>2.0</v>
      </c>
      <c r="E114" s="10" t="s">
        <v>157</v>
      </c>
      <c r="F114" s="10">
        <v>6.0</v>
      </c>
      <c r="G114" s="10">
        <v>2.0</v>
      </c>
      <c r="H114" s="10" t="s">
        <v>39</v>
      </c>
      <c r="I114" s="10">
        <v>2.0</v>
      </c>
      <c r="J114" s="10" t="s">
        <v>40</v>
      </c>
      <c r="K114" s="10" t="s">
        <v>41</v>
      </c>
      <c r="L114" s="10">
        <v>28.44</v>
      </c>
      <c r="M114" s="10">
        <v>39.0</v>
      </c>
      <c r="N114" s="10">
        <v>12.87</v>
      </c>
      <c r="O114" s="10">
        <v>15.0</v>
      </c>
      <c r="P114" s="10">
        <v>7.0</v>
      </c>
      <c r="Q114" s="10">
        <v>8.0</v>
      </c>
      <c r="R114" s="10">
        <v>7.02</v>
      </c>
      <c r="S114" s="10">
        <v>13.0</v>
      </c>
      <c r="T114" s="10">
        <v>4.27</v>
      </c>
      <c r="U114" s="10">
        <v>4.0</v>
      </c>
      <c r="V114" s="10">
        <v>4.0</v>
      </c>
      <c r="W114" s="10">
        <v>0.0</v>
      </c>
      <c r="X114" s="10">
        <v>5.0</v>
      </c>
      <c r="Y114" s="10">
        <v>4.0</v>
      </c>
      <c r="Z114" s="10">
        <v>1.0</v>
      </c>
      <c r="AA114" s="10">
        <v>3.0</v>
      </c>
      <c r="AB114" s="10">
        <v>1.0</v>
      </c>
      <c r="AC114" s="11" t="s">
        <v>202</v>
      </c>
      <c r="AD114" s="10" t="s">
        <v>299</v>
      </c>
      <c r="AE114" s="9" t="str">
        <f>IFERROR(__xludf.DUMMYFUNCTION("GOOGLETRANSLATE(AD114,""pt"",""en"")"),"was confused with the element")</f>
        <v>was confused with the element</v>
      </c>
      <c r="AF114" s="10"/>
      <c r="AG114" s="9"/>
      <c r="AH114" s="9" t="s">
        <v>300</v>
      </c>
      <c r="AI114" s="9" t="str">
        <f>IFERROR(__xludf.DUMMYFUNCTION("GOOGLETRANSLATE(AH114,""pt"",""en"")"),"Wrong, spent more time on AOI and more regressions")</f>
        <v>Wrong, spent more time on AOI and more regressions</v>
      </c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</row>
    <row r="115">
      <c r="A115" s="9">
        <v>354.0</v>
      </c>
      <c r="B115" s="10">
        <v>14.0</v>
      </c>
      <c r="C115" s="10">
        <v>27.0</v>
      </c>
      <c r="D115" s="9">
        <v>1.0</v>
      </c>
      <c r="E115" s="10" t="s">
        <v>291</v>
      </c>
      <c r="F115" s="10">
        <v>6.0</v>
      </c>
      <c r="G115" s="10">
        <v>1.0</v>
      </c>
      <c r="H115" s="10" t="s">
        <v>102</v>
      </c>
      <c r="I115" s="10">
        <v>1.0</v>
      </c>
      <c r="J115" s="10" t="s">
        <v>40</v>
      </c>
      <c r="K115" s="10" t="s">
        <v>41</v>
      </c>
      <c r="L115" s="10">
        <v>98.06</v>
      </c>
      <c r="M115" s="10">
        <v>126.0</v>
      </c>
      <c r="N115" s="10">
        <v>36.7</v>
      </c>
      <c r="O115" s="10">
        <v>48.0</v>
      </c>
      <c r="P115" s="10">
        <v>12.0</v>
      </c>
      <c r="Q115" s="10">
        <v>36.0</v>
      </c>
      <c r="R115" s="10">
        <v>12.18</v>
      </c>
      <c r="S115" s="10">
        <v>18.0</v>
      </c>
      <c r="T115" s="10">
        <v>5.73</v>
      </c>
      <c r="U115" s="10">
        <v>1.0</v>
      </c>
      <c r="V115" s="10">
        <v>1.0</v>
      </c>
      <c r="W115" s="10">
        <v>0.0</v>
      </c>
      <c r="X115" s="10">
        <v>12.0</v>
      </c>
      <c r="Y115" s="10">
        <v>11.0</v>
      </c>
      <c r="Z115" s="10">
        <v>1.0</v>
      </c>
      <c r="AA115" s="10">
        <v>10.0</v>
      </c>
      <c r="AB115" s="10">
        <v>2.0</v>
      </c>
      <c r="AC115" s="11" t="s">
        <v>69</v>
      </c>
      <c r="AD115" s="10" t="s">
        <v>301</v>
      </c>
      <c r="AE115" s="9" t="str">
        <f>IFERROR(__xludf.DUMMYFUNCTION("GOOGLETRANSLATE(AD115,""pt"",""en"")"),"confused Elem")</f>
        <v>confused Elem</v>
      </c>
      <c r="AF115" s="10"/>
      <c r="AG115" s="9"/>
      <c r="AH115" s="9" t="s">
        <v>302</v>
      </c>
      <c r="AI115" s="9" t="str">
        <f>IFERROR(__xludf.DUMMYFUNCTION("GOOGLETRANSLATE(AH115,""pt"",""en"")"),"spent more time on AOI")</f>
        <v>spent more time on AOI</v>
      </c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</row>
    <row r="116">
      <c r="A116" s="9">
        <v>156.0</v>
      </c>
      <c r="B116" s="10">
        <v>13.0</v>
      </c>
      <c r="C116" s="10">
        <v>26.0</v>
      </c>
      <c r="D116" s="9">
        <v>2.0</v>
      </c>
      <c r="E116" s="10" t="s">
        <v>303</v>
      </c>
      <c r="F116" s="10">
        <v>6.0</v>
      </c>
      <c r="G116" s="10">
        <v>2.0</v>
      </c>
      <c r="H116" s="10" t="s">
        <v>102</v>
      </c>
      <c r="I116" s="10">
        <v>1.0</v>
      </c>
      <c r="J116" s="10" t="s">
        <v>40</v>
      </c>
      <c r="K116" s="10" t="s">
        <v>57</v>
      </c>
      <c r="L116" s="10">
        <v>58.45</v>
      </c>
      <c r="M116" s="10">
        <v>103.0</v>
      </c>
      <c r="N116" s="10">
        <v>32.77</v>
      </c>
      <c r="O116" s="10">
        <v>47.0</v>
      </c>
      <c r="P116" s="10">
        <v>24.0</v>
      </c>
      <c r="Q116" s="10">
        <v>23.0</v>
      </c>
      <c r="R116" s="10">
        <v>12.09</v>
      </c>
      <c r="S116" s="10">
        <v>23.0</v>
      </c>
      <c r="T116" s="10">
        <v>7.18</v>
      </c>
      <c r="U116" s="10">
        <v>4.0</v>
      </c>
      <c r="V116" s="10">
        <v>4.0</v>
      </c>
      <c r="W116" s="10">
        <v>0.0</v>
      </c>
      <c r="X116" s="10">
        <v>12.0</v>
      </c>
      <c r="Y116" s="10">
        <v>11.0</v>
      </c>
      <c r="Z116" s="10">
        <v>1.0</v>
      </c>
      <c r="AA116" s="10">
        <v>10.0</v>
      </c>
      <c r="AB116" s="10">
        <v>1.0</v>
      </c>
      <c r="AC116" s="11" t="s">
        <v>141</v>
      </c>
      <c r="AD116" s="10" t="s">
        <v>304</v>
      </c>
      <c r="AE116" s="9" t="str">
        <f>IFERROR(__xludf.DUMMYFUNCTION("GOOGLETRANSLATE(AD116,""pt"",""en"")"),"Had hammed with the vector")</f>
        <v>Had hammed with the vector</v>
      </c>
      <c r="AF116" s="10"/>
      <c r="AG116" s="9"/>
      <c r="AH116" s="10"/>
      <c r="AI116" s="9"/>
      <c r="AJ116" s="13" t="s">
        <v>305</v>
      </c>
      <c r="AK116" s="13" t="str">
        <f>IFERROR(__xludf.DUMMYFUNCTION("GOOGLETRANSLATE(AJ116,""pt"",""en"")"),"Difficulty with the list")</f>
        <v>Difficulty with the list</v>
      </c>
      <c r="AP116" s="15"/>
    </row>
    <row r="117">
      <c r="A117" s="9">
        <v>111.0</v>
      </c>
      <c r="B117" s="10">
        <v>10.0</v>
      </c>
      <c r="C117" s="10">
        <v>20.0</v>
      </c>
      <c r="D117" s="9">
        <v>1.0</v>
      </c>
      <c r="E117" s="10" t="s">
        <v>84</v>
      </c>
      <c r="F117" s="10">
        <v>3.0</v>
      </c>
      <c r="G117" s="10">
        <v>1.0</v>
      </c>
      <c r="H117" s="10" t="s">
        <v>39</v>
      </c>
      <c r="I117" s="10">
        <v>1.0</v>
      </c>
      <c r="J117" s="10" t="s">
        <v>105</v>
      </c>
      <c r="K117" s="10" t="s">
        <v>50</v>
      </c>
      <c r="L117" s="10">
        <v>121.39</v>
      </c>
      <c r="M117" s="10">
        <v>185.0</v>
      </c>
      <c r="N117" s="10">
        <v>62.08</v>
      </c>
      <c r="O117" s="10">
        <v>83.0</v>
      </c>
      <c r="P117" s="10">
        <v>49.0</v>
      </c>
      <c r="Q117" s="10">
        <v>34.0</v>
      </c>
      <c r="R117" s="10">
        <v>57.23</v>
      </c>
      <c r="S117" s="10">
        <v>103.0</v>
      </c>
      <c r="T117" s="10">
        <v>35.18</v>
      </c>
      <c r="U117" s="10">
        <v>33.0</v>
      </c>
      <c r="V117" s="10">
        <v>33.0</v>
      </c>
      <c r="W117" s="10">
        <v>0.0</v>
      </c>
      <c r="X117" s="10">
        <v>21.0</v>
      </c>
      <c r="Y117" s="10">
        <v>14.0</v>
      </c>
      <c r="Z117" s="10">
        <v>7.0</v>
      </c>
      <c r="AA117" s="10">
        <v>15.0</v>
      </c>
      <c r="AB117" s="10">
        <v>6.0</v>
      </c>
      <c r="AC117" s="11" t="s">
        <v>197</v>
      </c>
      <c r="AD117" s="10" t="s">
        <v>306</v>
      </c>
      <c r="AE117" s="9" t="str">
        <f>IFERROR(__xludf.DUMMYFUNCTION("GOOGLETRANSLATE(AD117,""pt"",""en"")"),"did not understand the vector")</f>
        <v>did not understand the vector</v>
      </c>
      <c r="AF117" s="10"/>
      <c r="AG117" s="9"/>
      <c r="AH117" s="9" t="s">
        <v>104</v>
      </c>
      <c r="AI117" s="9" t="str">
        <f>IFERROR(__xludf.DUMMYFUNCTION("GOOGLETRANSLATE(AH117,""pt"",""en"")"),"made a mistake, spent more time and more regressions")</f>
        <v>made a mistake, spent more time and more regressions</v>
      </c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</row>
    <row r="118">
      <c r="A118" s="9">
        <v>342.0</v>
      </c>
      <c r="B118" s="10">
        <v>13.0</v>
      </c>
      <c r="C118" s="10">
        <v>25.0</v>
      </c>
      <c r="D118" s="9">
        <v>1.0</v>
      </c>
      <c r="E118" s="10" t="s">
        <v>291</v>
      </c>
      <c r="F118" s="10">
        <v>6.0</v>
      </c>
      <c r="G118" s="10">
        <v>1.0</v>
      </c>
      <c r="H118" s="10" t="s">
        <v>102</v>
      </c>
      <c r="I118" s="10">
        <v>1.0</v>
      </c>
      <c r="J118" s="10" t="s">
        <v>40</v>
      </c>
      <c r="K118" s="10" t="s">
        <v>85</v>
      </c>
      <c r="L118" s="10">
        <v>88.66</v>
      </c>
      <c r="M118" s="10">
        <v>138.0</v>
      </c>
      <c r="N118" s="10">
        <v>43.01</v>
      </c>
      <c r="O118" s="10">
        <v>56.0</v>
      </c>
      <c r="P118" s="10">
        <v>27.0</v>
      </c>
      <c r="Q118" s="10">
        <v>29.0</v>
      </c>
      <c r="R118" s="10">
        <v>25.48</v>
      </c>
      <c r="S118" s="10">
        <v>47.0</v>
      </c>
      <c r="T118" s="10">
        <v>15.04</v>
      </c>
      <c r="U118" s="10">
        <v>13.0</v>
      </c>
      <c r="V118" s="10">
        <v>13.0</v>
      </c>
      <c r="W118" s="10">
        <v>0.0</v>
      </c>
      <c r="X118" s="10">
        <v>16.0</v>
      </c>
      <c r="Y118" s="10">
        <v>13.0</v>
      </c>
      <c r="Z118" s="10">
        <v>3.0</v>
      </c>
      <c r="AA118" s="10">
        <v>12.0</v>
      </c>
      <c r="AB118" s="10">
        <v>4.0</v>
      </c>
      <c r="AC118" s="11" t="s">
        <v>125</v>
      </c>
      <c r="AD118" s="10" t="s">
        <v>307</v>
      </c>
      <c r="AE118" s="9" t="str">
        <f>IFERROR(__xludf.DUMMYFUNCTION("GOOGLETRANSLATE(AD118,""pt"",""en"")"),"it")</f>
        <v>it</v>
      </c>
      <c r="AF118" s="10"/>
      <c r="AG118" s="9"/>
      <c r="AH118" s="9" t="s">
        <v>308</v>
      </c>
      <c r="AI118" s="9" t="str">
        <f>IFERROR(__xludf.DUMMYFUNCTION("GOOGLETRANSLATE(AH118,""pt"",""en"")"),"spent more time on AOI and regressed more often")</f>
        <v>spent more time on AOI and regressed more often</v>
      </c>
      <c r="AJ118" s="14" t="s">
        <v>309</v>
      </c>
      <c r="AK118" s="13" t="str">
        <f>IFERROR(__xludf.DUMMYFUNCTION("GOOGLETRANSLATE(AJ118,""pt"",""en"")"),"Difficulty with Elem")</f>
        <v>Difficulty with Elem</v>
      </c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</row>
    <row r="119">
      <c r="A119" s="9">
        <v>234.0</v>
      </c>
      <c r="B119" s="10">
        <v>4.0</v>
      </c>
      <c r="C119" s="10">
        <v>7.0</v>
      </c>
      <c r="D119" s="9">
        <v>1.0</v>
      </c>
      <c r="E119" s="10" t="s">
        <v>291</v>
      </c>
      <c r="F119" s="10">
        <v>6.0</v>
      </c>
      <c r="G119" s="10">
        <v>1.0</v>
      </c>
      <c r="H119" s="10" t="s">
        <v>102</v>
      </c>
      <c r="I119" s="10">
        <v>2.0</v>
      </c>
      <c r="J119" s="10" t="s">
        <v>40</v>
      </c>
      <c r="K119" s="10" t="s">
        <v>57</v>
      </c>
      <c r="L119" s="10">
        <v>193.78</v>
      </c>
      <c r="M119" s="10">
        <v>229.0</v>
      </c>
      <c r="N119" s="10">
        <v>65.81</v>
      </c>
      <c r="O119" s="10">
        <v>104.0</v>
      </c>
      <c r="P119" s="10">
        <v>48.0</v>
      </c>
      <c r="Q119" s="10">
        <v>56.0</v>
      </c>
      <c r="R119" s="10">
        <v>23.34</v>
      </c>
      <c r="S119" s="10">
        <v>33.0</v>
      </c>
      <c r="T119" s="10">
        <v>8.96</v>
      </c>
      <c r="U119" s="10">
        <v>7.0</v>
      </c>
      <c r="V119" s="10">
        <v>7.0</v>
      </c>
      <c r="W119" s="10">
        <v>0.0</v>
      </c>
      <c r="X119" s="10">
        <v>19.0</v>
      </c>
      <c r="Y119" s="10">
        <v>15.0</v>
      </c>
      <c r="Z119" s="10">
        <v>4.0</v>
      </c>
      <c r="AA119" s="10">
        <v>14.0</v>
      </c>
      <c r="AB119" s="10">
        <v>4.0</v>
      </c>
      <c r="AC119" s="11" t="s">
        <v>167</v>
      </c>
      <c r="AD119" s="10" t="s">
        <v>310</v>
      </c>
      <c r="AE119" s="9" t="str">
        <f>IFERROR(__xludf.DUMMYFUNCTION("GOOGLETRANSLATE(AD119,""pt"",""en"")"),"Difficulty in Elem")</f>
        <v>Difficulty in Elem</v>
      </c>
      <c r="AF119" s="10"/>
      <c r="AG119" s="9"/>
      <c r="AH119" s="10"/>
      <c r="AI119" s="9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</row>
    <row r="120">
      <c r="A120" s="9">
        <v>330.0</v>
      </c>
      <c r="B120" s="10">
        <v>12.0</v>
      </c>
      <c r="C120" s="10">
        <v>23.0</v>
      </c>
      <c r="D120" s="9">
        <v>1.0</v>
      </c>
      <c r="E120" s="10" t="s">
        <v>291</v>
      </c>
      <c r="F120" s="10">
        <v>6.0</v>
      </c>
      <c r="G120" s="10">
        <v>1.0</v>
      </c>
      <c r="H120" s="10" t="s">
        <v>102</v>
      </c>
      <c r="I120" s="10">
        <v>1.0</v>
      </c>
      <c r="J120" s="10" t="s">
        <v>40</v>
      </c>
      <c r="K120" s="10" t="s">
        <v>41</v>
      </c>
      <c r="L120" s="10">
        <v>39.85</v>
      </c>
      <c r="M120" s="10">
        <v>58.0</v>
      </c>
      <c r="N120" s="10">
        <v>17.29</v>
      </c>
      <c r="O120" s="10">
        <v>25.0</v>
      </c>
      <c r="P120" s="10">
        <v>11.0</v>
      </c>
      <c r="Q120" s="10">
        <v>14.0</v>
      </c>
      <c r="R120" s="10">
        <v>6.26</v>
      </c>
      <c r="S120" s="10">
        <v>7.0</v>
      </c>
      <c r="T120" s="10">
        <v>2.01</v>
      </c>
      <c r="U120" s="10">
        <v>2.0</v>
      </c>
      <c r="V120" s="10">
        <v>2.0</v>
      </c>
      <c r="W120" s="10">
        <v>0.0</v>
      </c>
      <c r="X120" s="10">
        <v>5.0</v>
      </c>
      <c r="Y120" s="10">
        <v>5.0</v>
      </c>
      <c r="Z120" s="10">
        <v>0.0</v>
      </c>
      <c r="AA120" s="10">
        <v>5.0</v>
      </c>
      <c r="AB120" s="10">
        <v>0.0</v>
      </c>
      <c r="AC120" s="11" t="s">
        <v>158</v>
      </c>
      <c r="AD120" s="10" t="s">
        <v>311</v>
      </c>
      <c r="AE120" s="9" t="str">
        <f>IFERROR(__xludf.DUMMYFUNCTION("GOOGLETRANSLATE(AD120,""pt"",""en"")"),"clear elements in the vector")</f>
        <v>clear elements in the vector</v>
      </c>
      <c r="AF120" s="10"/>
      <c r="AG120" s="9"/>
      <c r="AH120" s="10"/>
      <c r="AI120" s="9"/>
      <c r="AJ120" s="14" t="s">
        <v>312</v>
      </c>
      <c r="AK120" s="14" t="s">
        <v>313</v>
      </c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</row>
    <row r="121">
      <c r="A121" s="9">
        <v>6.0</v>
      </c>
      <c r="B121" s="10">
        <v>1.0</v>
      </c>
      <c r="C121" s="10">
        <v>2.0</v>
      </c>
      <c r="D121" s="9">
        <v>1.0</v>
      </c>
      <c r="E121" s="10" t="s">
        <v>314</v>
      </c>
      <c r="F121" s="10">
        <v>6.0</v>
      </c>
      <c r="G121" s="10">
        <v>1.0</v>
      </c>
      <c r="H121" s="10" t="s">
        <v>39</v>
      </c>
      <c r="I121" s="10">
        <v>1.0</v>
      </c>
      <c r="J121" s="10" t="s">
        <v>40</v>
      </c>
      <c r="K121" s="10" t="s">
        <v>41</v>
      </c>
      <c r="L121" s="10">
        <v>41.52</v>
      </c>
      <c r="M121" s="10">
        <v>40.0</v>
      </c>
      <c r="N121" s="10">
        <v>12.88</v>
      </c>
      <c r="O121" s="10">
        <v>16.0</v>
      </c>
      <c r="P121" s="10">
        <v>8.0</v>
      </c>
      <c r="Q121" s="10">
        <v>8.0</v>
      </c>
      <c r="R121" s="10">
        <v>4.39</v>
      </c>
      <c r="S121" s="10">
        <v>7.0</v>
      </c>
      <c r="T121" s="10">
        <v>1.99</v>
      </c>
      <c r="U121" s="10">
        <v>1.0</v>
      </c>
      <c r="V121" s="10">
        <v>1.0</v>
      </c>
      <c r="W121" s="10">
        <v>0.0</v>
      </c>
      <c r="X121" s="10">
        <v>3.0</v>
      </c>
      <c r="Y121" s="10">
        <v>3.0</v>
      </c>
      <c r="Z121" s="10">
        <v>0.0</v>
      </c>
      <c r="AA121" s="10">
        <v>3.0</v>
      </c>
      <c r="AB121" s="10">
        <v>0.0</v>
      </c>
      <c r="AC121" s="11" t="s">
        <v>81</v>
      </c>
      <c r="AD121" s="10" t="s">
        <v>315</v>
      </c>
      <c r="AE121" s="9" t="str">
        <f>IFERROR(__xludf.DUMMYFUNCTION("GOOGLETRANSLATE(AD121,""pt"",""en"")"),"either")</f>
        <v>either</v>
      </c>
      <c r="AF121" s="10" t="s">
        <v>316</v>
      </c>
      <c r="AG121" s="9" t="str">
        <f>IFERROR(__xludf.DUMMYFUNCTION("GOOGLETRANSLATE(AF121,""pt"",""en"")"),"Said not to be familiar with Elem")</f>
        <v>Said not to be familiar with Elem</v>
      </c>
      <c r="AH121" s="10"/>
      <c r="AI121" s="9"/>
      <c r="AJ121" s="14" t="s">
        <v>317</v>
      </c>
      <c r="AK121" s="13" t="str">
        <f>IFERROR(__xludf.DUMMYFUNCTION("GOOGLETRANSLATE(AJ121,""pt"",""en"")"),"Lack of familiarity with Elem")</f>
        <v>Lack of familiarity with Elem</v>
      </c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</row>
    <row r="122">
      <c r="A122" s="9">
        <v>347.0</v>
      </c>
      <c r="B122" s="10">
        <v>13.0</v>
      </c>
      <c r="C122" s="10">
        <v>25.0</v>
      </c>
      <c r="D122" s="9">
        <v>2.0</v>
      </c>
      <c r="E122" s="10" t="s">
        <v>129</v>
      </c>
      <c r="F122" s="10">
        <v>5.0</v>
      </c>
      <c r="G122" s="10">
        <v>2.0</v>
      </c>
      <c r="H122" s="10" t="s">
        <v>39</v>
      </c>
      <c r="I122" s="10">
        <v>2.0</v>
      </c>
      <c r="J122" s="10" t="s">
        <v>105</v>
      </c>
      <c r="K122" s="10" t="s">
        <v>85</v>
      </c>
      <c r="L122" s="10">
        <v>115.11</v>
      </c>
      <c r="M122" s="10">
        <v>181.0</v>
      </c>
      <c r="N122" s="10">
        <v>59.85</v>
      </c>
      <c r="O122" s="10">
        <v>78.0</v>
      </c>
      <c r="P122" s="10">
        <v>36.0</v>
      </c>
      <c r="Q122" s="10">
        <v>42.0</v>
      </c>
      <c r="R122" s="10">
        <v>31.93</v>
      </c>
      <c r="S122" s="10">
        <v>55.0</v>
      </c>
      <c r="T122" s="10">
        <v>21.61</v>
      </c>
      <c r="U122" s="10">
        <v>14.0</v>
      </c>
      <c r="V122" s="10">
        <v>14.0</v>
      </c>
      <c r="W122" s="10">
        <v>0.0</v>
      </c>
      <c r="X122" s="10">
        <v>17.0</v>
      </c>
      <c r="Y122" s="10">
        <v>10.0</v>
      </c>
      <c r="Z122" s="10">
        <v>7.0</v>
      </c>
      <c r="AA122" s="10">
        <v>11.0</v>
      </c>
      <c r="AB122" s="10">
        <v>6.0</v>
      </c>
      <c r="AC122" s="11" t="s">
        <v>125</v>
      </c>
      <c r="AD122" s="10" t="s">
        <v>318</v>
      </c>
      <c r="AE122" s="9" t="str">
        <f>IFERROR(__xludf.DUMMYFUNCTION("GOOGLETRANSLATE(AD122,""pt"",""en"")"),"For and Elem Difficult")</f>
        <v>For and Elem Difficult</v>
      </c>
      <c r="AF122" s="10" t="s">
        <v>319</v>
      </c>
      <c r="AG122" s="9"/>
      <c r="AH122" s="9" t="s">
        <v>104</v>
      </c>
      <c r="AI122" s="9" t="str">
        <f>IFERROR(__xludf.DUMMYFUNCTION("GOOGLETRANSLATE(AH122,""pt"",""en"")"),"made a mistake, spent more time and more regressions")</f>
        <v>made a mistake, spent more time and more regressions</v>
      </c>
      <c r="AJ122" s="14" t="s">
        <v>320</v>
      </c>
      <c r="AK122" s="13" t="str">
        <f>IFERROR(__xludf.DUMMYFUNCTION("GOOGLETRANSLATE(AJ122,""pt"",""en"")"),"For and Elem is difficult")</f>
        <v>For and Elem is difficult</v>
      </c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</row>
    <row r="123">
      <c r="A123" s="9">
        <v>135.0</v>
      </c>
      <c r="B123" s="10">
        <v>12.0</v>
      </c>
      <c r="C123" s="10">
        <v>24.0</v>
      </c>
      <c r="D123" s="9">
        <v>1.0</v>
      </c>
      <c r="E123" s="10" t="s">
        <v>84</v>
      </c>
      <c r="F123" s="10">
        <v>3.0</v>
      </c>
      <c r="G123" s="10">
        <v>1.0</v>
      </c>
      <c r="H123" s="10" t="s">
        <v>39</v>
      </c>
      <c r="I123" s="10">
        <v>1.0</v>
      </c>
      <c r="J123" s="10" t="s">
        <v>40</v>
      </c>
      <c r="K123" s="10" t="s">
        <v>41</v>
      </c>
      <c r="L123" s="10">
        <v>17.91</v>
      </c>
      <c r="M123" s="10">
        <v>20.0</v>
      </c>
      <c r="N123" s="10">
        <v>5.46</v>
      </c>
      <c r="O123" s="10">
        <v>10.0</v>
      </c>
      <c r="P123" s="10">
        <v>6.0</v>
      </c>
      <c r="Q123" s="10">
        <v>4.0</v>
      </c>
      <c r="R123" s="10">
        <v>8.63</v>
      </c>
      <c r="S123" s="10">
        <v>12.0</v>
      </c>
      <c r="T123" s="10">
        <v>3.39</v>
      </c>
      <c r="U123" s="10">
        <v>5.0</v>
      </c>
      <c r="V123" s="10">
        <v>5.0</v>
      </c>
      <c r="W123" s="10">
        <v>0.0</v>
      </c>
      <c r="X123" s="10">
        <v>4.0</v>
      </c>
      <c r="Y123" s="10">
        <v>2.0</v>
      </c>
      <c r="Z123" s="10">
        <v>2.0</v>
      </c>
      <c r="AA123" s="10">
        <v>2.0</v>
      </c>
      <c r="AB123" s="10">
        <v>2.0</v>
      </c>
      <c r="AC123" s="11" t="s">
        <v>212</v>
      </c>
      <c r="AD123" s="10" t="s">
        <v>321</v>
      </c>
      <c r="AE123" s="9" t="str">
        <f>IFERROR(__xludf.DUMMYFUNCTION("GOOGLETRANSLATE(AD123,""pt"",""en"")"),"different if")</f>
        <v>different if</v>
      </c>
      <c r="AF123" s="10"/>
      <c r="AG123" s="9"/>
      <c r="AH123" s="10"/>
      <c r="AI123" s="9"/>
      <c r="AJ123" s="12" t="s">
        <v>321</v>
      </c>
      <c r="AK123" s="13" t="str">
        <f>IFERROR(__xludf.DUMMYFUNCTION("GOOGLETRANSLATE(AJ123,""pt"",""en"")"),"different if")</f>
        <v>different if</v>
      </c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</row>
    <row r="124">
      <c r="A124" s="9">
        <v>309.0</v>
      </c>
      <c r="B124" s="10">
        <v>10.0</v>
      </c>
      <c r="C124" s="10">
        <v>19.0</v>
      </c>
      <c r="D124" s="9">
        <v>2.0</v>
      </c>
      <c r="E124" s="10" t="s">
        <v>135</v>
      </c>
      <c r="F124" s="10">
        <v>3.0</v>
      </c>
      <c r="G124" s="10">
        <v>2.0</v>
      </c>
      <c r="H124" s="10" t="s">
        <v>39</v>
      </c>
      <c r="I124" s="10">
        <v>1.0</v>
      </c>
      <c r="J124" s="10" t="s">
        <v>40</v>
      </c>
      <c r="K124" s="10" t="s">
        <v>41</v>
      </c>
      <c r="L124" s="10">
        <v>49.46</v>
      </c>
      <c r="M124" s="10">
        <v>29.0</v>
      </c>
      <c r="N124" s="10">
        <v>8.09</v>
      </c>
      <c r="O124" s="10">
        <v>12.0</v>
      </c>
      <c r="P124" s="10">
        <v>6.0</v>
      </c>
      <c r="Q124" s="10">
        <v>6.0</v>
      </c>
      <c r="R124" s="10">
        <v>11.0</v>
      </c>
      <c r="S124" s="10">
        <v>12.0</v>
      </c>
      <c r="T124" s="10">
        <v>3.19</v>
      </c>
      <c r="U124" s="10">
        <v>2.0</v>
      </c>
      <c r="V124" s="10">
        <v>2.0</v>
      </c>
      <c r="W124" s="10">
        <v>0.0</v>
      </c>
      <c r="X124" s="10">
        <v>4.0</v>
      </c>
      <c r="Y124" s="10">
        <v>0.0</v>
      </c>
      <c r="Z124" s="10">
        <v>4.0</v>
      </c>
      <c r="AA124" s="10">
        <v>0.0</v>
      </c>
      <c r="AB124" s="10">
        <v>5.0</v>
      </c>
      <c r="AC124" s="11" t="s">
        <v>181</v>
      </c>
      <c r="AD124" s="10" t="s">
        <v>322</v>
      </c>
      <c r="AE124" s="9" t="str">
        <f>IFERROR(__xludf.DUMMYFUNCTION("GOOGLETRANSLATE(AD124,""pt"",""en"")"),"if difficult ternary, likes the other style")</f>
        <v>if difficult ternary, likes the other style</v>
      </c>
      <c r="AF124" s="10"/>
      <c r="AG124" s="9"/>
      <c r="AH124" s="10"/>
      <c r="AI124" s="9"/>
      <c r="AJ124" s="13" t="s">
        <v>323</v>
      </c>
      <c r="AK124" s="13" t="str">
        <f>IFERROR(__xludf.DUMMYFUNCTION("GOOGLETRANSLATE(AJ124,""pt"",""en"")"),"if difficult ternary, I prefer another style")</f>
        <v>if difficult ternary, I prefer another style</v>
      </c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</row>
    <row r="125">
      <c r="A125" s="9">
        <v>90.0</v>
      </c>
      <c r="B125" s="10">
        <v>8.0</v>
      </c>
      <c r="C125" s="10">
        <v>16.0</v>
      </c>
      <c r="D125" s="9">
        <v>1.0</v>
      </c>
      <c r="E125" s="10" t="s">
        <v>314</v>
      </c>
      <c r="F125" s="10">
        <v>6.0</v>
      </c>
      <c r="G125" s="10">
        <v>1.0</v>
      </c>
      <c r="H125" s="10" t="s">
        <v>39</v>
      </c>
      <c r="I125" s="10">
        <v>2.0</v>
      </c>
      <c r="J125" s="10" t="s">
        <v>105</v>
      </c>
      <c r="K125" s="10" t="s">
        <v>57</v>
      </c>
      <c r="L125" s="10">
        <v>86.08</v>
      </c>
      <c r="M125" s="10">
        <v>147.0</v>
      </c>
      <c r="N125" s="10">
        <v>51.03</v>
      </c>
      <c r="O125" s="10">
        <v>54.0</v>
      </c>
      <c r="P125" s="10">
        <v>21.0</v>
      </c>
      <c r="Q125" s="10">
        <v>33.0</v>
      </c>
      <c r="R125" s="10">
        <v>7.64</v>
      </c>
      <c r="S125" s="10">
        <v>9.0</v>
      </c>
      <c r="T125" s="10">
        <v>2.73</v>
      </c>
      <c r="U125" s="10">
        <v>0.0</v>
      </c>
      <c r="V125" s="10">
        <v>0.0</v>
      </c>
      <c r="W125" s="10">
        <v>0.0</v>
      </c>
      <c r="X125" s="10">
        <v>7.0</v>
      </c>
      <c r="Y125" s="10">
        <v>7.0</v>
      </c>
      <c r="Z125" s="10">
        <v>0.0</v>
      </c>
      <c r="AA125" s="10">
        <v>6.0</v>
      </c>
      <c r="AB125" s="10">
        <v>0.0</v>
      </c>
      <c r="AC125" s="11" t="s">
        <v>62</v>
      </c>
      <c r="AD125" s="10" t="s">
        <v>324</v>
      </c>
      <c r="AE125" s="9" t="str">
        <f>IFERROR(__xludf.DUMMYFUNCTION("GOOGLETRANSLATE(AD125,""pt"",""en"")"),"Line of the total is strange")</f>
        <v>Line of the total is strange</v>
      </c>
      <c r="AF125" s="10"/>
      <c r="AG125" s="9"/>
      <c r="AH125" s="10"/>
      <c r="AI125" s="9"/>
      <c r="AJ125" s="14" t="s">
        <v>325</v>
      </c>
      <c r="AK125" s="14" t="s">
        <v>326</v>
      </c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</row>
    <row r="126">
      <c r="A126" s="9">
        <v>285.0</v>
      </c>
      <c r="B126" s="10">
        <v>8.0</v>
      </c>
      <c r="C126" s="10">
        <v>15.0</v>
      </c>
      <c r="D126" s="9">
        <v>2.0</v>
      </c>
      <c r="E126" s="10" t="s">
        <v>135</v>
      </c>
      <c r="F126" s="10">
        <v>3.0</v>
      </c>
      <c r="G126" s="10">
        <v>2.0</v>
      </c>
      <c r="H126" s="10" t="s">
        <v>39</v>
      </c>
      <c r="I126" s="10">
        <v>1.0</v>
      </c>
      <c r="J126" s="10" t="s">
        <v>105</v>
      </c>
      <c r="K126" s="10" t="s">
        <v>140</v>
      </c>
      <c r="L126" s="10">
        <v>243.16</v>
      </c>
      <c r="M126" s="10">
        <v>365.0</v>
      </c>
      <c r="N126" s="10">
        <v>114.95</v>
      </c>
      <c r="O126" s="10">
        <v>168.0</v>
      </c>
      <c r="P126" s="10">
        <v>98.0</v>
      </c>
      <c r="Q126" s="10">
        <v>70.0</v>
      </c>
      <c r="R126" s="10">
        <v>137.78</v>
      </c>
      <c r="S126" s="10">
        <v>246.0</v>
      </c>
      <c r="T126" s="10">
        <v>79.19</v>
      </c>
      <c r="U126" s="10">
        <v>84.0</v>
      </c>
      <c r="V126" s="10">
        <v>84.0</v>
      </c>
      <c r="W126" s="10">
        <v>0.0</v>
      </c>
      <c r="X126" s="10">
        <v>60.0</v>
      </c>
      <c r="Y126" s="10">
        <v>29.0</v>
      </c>
      <c r="Z126" s="10">
        <v>31.0</v>
      </c>
      <c r="AA126" s="10">
        <v>29.0</v>
      </c>
      <c r="AB126" s="10">
        <v>30.0</v>
      </c>
      <c r="AC126" s="11" t="s">
        <v>220</v>
      </c>
      <c r="AD126" s="10" t="s">
        <v>327</v>
      </c>
      <c r="AE126" s="9" t="str">
        <f>IFERROR(__xludf.DUMMYFUNCTION("GOOGLETRANSLATE(AD126,""pt"",""en"")"),"not used to the Ternary if")</f>
        <v>not used to the Ternary if</v>
      </c>
      <c r="AF126" s="10"/>
      <c r="AG126" s="9"/>
      <c r="AH126" s="9" t="s">
        <v>104</v>
      </c>
      <c r="AI126" s="9" t="str">
        <f>IFERROR(__xludf.DUMMYFUNCTION("GOOGLETRANSLATE(AH126,""pt"",""en"")"),"made a mistake, spent more time and more regressions")</f>
        <v>made a mistake, spent more time and more regressions</v>
      </c>
      <c r="AJ126" s="12" t="s">
        <v>327</v>
      </c>
      <c r="AK126" s="13" t="str">
        <f>IFERROR(__xludf.DUMMYFUNCTION("GOOGLETRANSLATE(AJ126,""pt"",""en"")"),"not used to the Ternary if")</f>
        <v>not used to the Ternary if</v>
      </c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</row>
    <row r="127">
      <c r="A127" s="9">
        <v>120.0</v>
      </c>
      <c r="B127" s="10">
        <v>10.0</v>
      </c>
      <c r="C127" s="10">
        <v>20.0</v>
      </c>
      <c r="D127" s="9">
        <v>2.0</v>
      </c>
      <c r="E127" s="10" t="s">
        <v>303</v>
      </c>
      <c r="F127" s="10">
        <v>6.0</v>
      </c>
      <c r="G127" s="10">
        <v>2.0</v>
      </c>
      <c r="H127" s="10" t="s">
        <v>102</v>
      </c>
      <c r="I127" s="10">
        <v>2.0</v>
      </c>
      <c r="J127" s="10" t="s">
        <v>40</v>
      </c>
      <c r="K127" s="10" t="s">
        <v>41</v>
      </c>
      <c r="L127" s="10">
        <v>86.45</v>
      </c>
      <c r="M127" s="10">
        <v>115.0</v>
      </c>
      <c r="N127" s="10">
        <v>39.87</v>
      </c>
      <c r="O127" s="10">
        <v>58.0</v>
      </c>
      <c r="P127" s="10">
        <v>23.0</v>
      </c>
      <c r="Q127" s="10">
        <v>35.0</v>
      </c>
      <c r="R127" s="10">
        <v>11.79</v>
      </c>
      <c r="S127" s="10">
        <v>17.0</v>
      </c>
      <c r="T127" s="10">
        <v>5.75</v>
      </c>
      <c r="U127" s="10">
        <v>4.0</v>
      </c>
      <c r="V127" s="10">
        <v>4.0</v>
      </c>
      <c r="W127" s="10">
        <v>0.0</v>
      </c>
      <c r="X127" s="10">
        <v>9.0</v>
      </c>
      <c r="Y127" s="10">
        <v>6.0</v>
      </c>
      <c r="Z127" s="10">
        <v>3.0</v>
      </c>
      <c r="AA127" s="10">
        <v>8.0</v>
      </c>
      <c r="AB127" s="10">
        <v>1.0</v>
      </c>
      <c r="AC127" s="11" t="s">
        <v>197</v>
      </c>
      <c r="AD127" s="10" t="s">
        <v>328</v>
      </c>
      <c r="AE127" s="9" t="str">
        <f>IFERROR(__xludf.DUMMYFUNCTION("GOOGLETRANSLATE(AD127,""pt"",""en"")"),"did not understand the list")</f>
        <v>did not understand the list</v>
      </c>
      <c r="AF127" s="10"/>
      <c r="AG127" s="9"/>
      <c r="AH127" s="9" t="s">
        <v>329</v>
      </c>
      <c r="AI127" s="9" t="str">
        <f>IFERROR(__xludf.DUMMYFUNCTION("GOOGLETRANSLATE(AH127,""pt"",""en"")"),"more regressions in the code")</f>
        <v>more regressions in the code</v>
      </c>
      <c r="AJ127" s="12" t="s">
        <v>328</v>
      </c>
      <c r="AK127" s="13" t="str">
        <f>IFERROR(__xludf.DUMMYFUNCTION("GOOGLETRANSLATE(AJ127,""pt"",""en"")"),"did not understand the list")</f>
        <v>did not understand the list</v>
      </c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</row>
    <row r="128">
      <c r="A128" s="9">
        <v>378.0</v>
      </c>
      <c r="B128" s="9">
        <v>16.0</v>
      </c>
      <c r="C128" s="10">
        <v>31.0</v>
      </c>
      <c r="D128" s="9">
        <v>1.0</v>
      </c>
      <c r="E128" s="10" t="s">
        <v>291</v>
      </c>
      <c r="F128" s="10">
        <v>6.0</v>
      </c>
      <c r="G128" s="10">
        <v>1.0</v>
      </c>
      <c r="H128" s="10" t="s">
        <v>102</v>
      </c>
      <c r="I128" s="9">
        <v>2.0</v>
      </c>
      <c r="J128" s="9" t="s">
        <v>105</v>
      </c>
      <c r="K128" s="9" t="s">
        <v>57</v>
      </c>
      <c r="L128" s="10">
        <v>86.09</v>
      </c>
      <c r="M128" s="10">
        <v>127.0</v>
      </c>
      <c r="N128" s="10">
        <v>42.01</v>
      </c>
      <c r="O128" s="10">
        <v>54.0</v>
      </c>
      <c r="P128" s="10">
        <v>24.0</v>
      </c>
      <c r="Q128" s="10">
        <v>30.0</v>
      </c>
      <c r="R128" s="10">
        <v>11.97</v>
      </c>
      <c r="S128" s="10">
        <v>26.0</v>
      </c>
      <c r="T128" s="10">
        <v>7.98</v>
      </c>
      <c r="U128" s="10">
        <v>6.0</v>
      </c>
      <c r="V128" s="10">
        <v>6.0</v>
      </c>
      <c r="W128" s="10">
        <v>0.0</v>
      </c>
      <c r="X128" s="10">
        <v>11.0</v>
      </c>
      <c r="Y128" s="10">
        <v>11.0</v>
      </c>
      <c r="Z128" s="10">
        <v>0.0</v>
      </c>
      <c r="AA128" s="10">
        <v>11.0</v>
      </c>
      <c r="AB128" s="10">
        <v>0.0</v>
      </c>
      <c r="AC128" s="11" t="s">
        <v>144</v>
      </c>
      <c r="AD128" s="10" t="s">
        <v>330</v>
      </c>
      <c r="AE128" s="9" t="str">
        <f>IFERROR(__xludf.DUMMYFUNCTION("GOOGLETRANSLATE(AD128,""pt"",""en"")"),"I didn't remember Elem")</f>
        <v>I didn't remember Elem</v>
      </c>
      <c r="AF128" s="10"/>
      <c r="AG128" s="9"/>
      <c r="AH128" s="9" t="s">
        <v>331</v>
      </c>
      <c r="AI128" s="9" t="str">
        <f>IFERROR(__xludf.DUMMYFUNCTION("GOOGLETRANSLATE(AH128,""pt"",""en"")"),"more time")</f>
        <v>more time</v>
      </c>
      <c r="AJ128" s="14" t="s">
        <v>330</v>
      </c>
      <c r="AK128" s="13" t="str">
        <f>IFERROR(__xludf.DUMMYFUNCTION("GOOGLETRANSLATE(AJ128,""pt"",""en"")"),"I didn't remember Elem")</f>
        <v>I didn't remember Elem</v>
      </c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</row>
    <row r="129">
      <c r="A129" s="9">
        <v>73.0</v>
      </c>
      <c r="B129" s="10">
        <v>7.0</v>
      </c>
      <c r="C129" s="10">
        <v>14.0</v>
      </c>
      <c r="D129" s="9">
        <v>1.0</v>
      </c>
      <c r="E129" s="10" t="s">
        <v>38</v>
      </c>
      <c r="F129" s="10">
        <v>1.0</v>
      </c>
      <c r="G129" s="10">
        <v>1.0</v>
      </c>
      <c r="H129" s="10" t="s">
        <v>39</v>
      </c>
      <c r="I129" s="10">
        <v>2.0</v>
      </c>
      <c r="J129" s="10" t="s">
        <v>40</v>
      </c>
      <c r="K129" s="10" t="s">
        <v>85</v>
      </c>
      <c r="L129" s="10">
        <v>79.47</v>
      </c>
      <c r="M129" s="10">
        <v>107.0</v>
      </c>
      <c r="N129" s="10">
        <v>35.97</v>
      </c>
      <c r="O129" s="10">
        <v>47.0</v>
      </c>
      <c r="P129" s="10">
        <v>23.0</v>
      </c>
      <c r="Q129" s="10">
        <v>24.0</v>
      </c>
      <c r="R129" s="10">
        <v>16.8</v>
      </c>
      <c r="S129" s="10">
        <v>26.0</v>
      </c>
      <c r="T129" s="10">
        <v>8.61</v>
      </c>
      <c r="U129" s="10">
        <v>6.0</v>
      </c>
      <c r="V129" s="10">
        <v>6.0</v>
      </c>
      <c r="W129" s="10">
        <v>0.0</v>
      </c>
      <c r="X129" s="10">
        <v>10.0</v>
      </c>
      <c r="Y129" s="10">
        <v>0.0</v>
      </c>
      <c r="Z129" s="10">
        <v>10.0</v>
      </c>
      <c r="AA129" s="10">
        <v>0.0</v>
      </c>
      <c r="AB129" s="10">
        <v>11.0</v>
      </c>
      <c r="AC129" s="11" t="s">
        <v>118</v>
      </c>
      <c r="AD129" s="10" t="s">
        <v>332</v>
      </c>
      <c r="AE129" s="9" t="str">
        <f>IFERROR(__xludf.DUMMYFUNCTION("GOOGLETRANSLATE(AD129,""pt"",""en"")"),"did not remember the assignment, pointed to the atom")</f>
        <v>did not remember the assignment, pointed to the atom</v>
      </c>
      <c r="AF129" s="10"/>
      <c r="AG129" s="9"/>
      <c r="AH129" s="10"/>
      <c r="AI129" s="9"/>
      <c r="AJ129" s="13" t="s">
        <v>333</v>
      </c>
      <c r="AK129" s="13" t="str">
        <f>IFERROR(__xludf.DUMMYFUNCTION("GOOGLETRANSLATE(AJ129,""pt"",""en"")"),"did not remember this assignment")</f>
        <v>did not remember this assignment</v>
      </c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</row>
    <row r="130">
      <c r="A130" s="9">
        <v>213.0</v>
      </c>
      <c r="B130" s="10">
        <v>2.0</v>
      </c>
      <c r="C130" s="10">
        <v>3.0</v>
      </c>
      <c r="D130" s="9">
        <v>2.0</v>
      </c>
      <c r="E130" s="10" t="s">
        <v>135</v>
      </c>
      <c r="F130" s="10">
        <v>3.0</v>
      </c>
      <c r="G130" s="10">
        <v>2.0</v>
      </c>
      <c r="H130" s="10" t="s">
        <v>39</v>
      </c>
      <c r="I130" s="10">
        <v>2.0</v>
      </c>
      <c r="J130" s="10" t="s">
        <v>40</v>
      </c>
      <c r="K130" s="10" t="s">
        <v>57</v>
      </c>
      <c r="L130" s="10">
        <v>124.0</v>
      </c>
      <c r="M130" s="10">
        <v>227.0</v>
      </c>
      <c r="N130" s="10">
        <v>74.44</v>
      </c>
      <c r="O130" s="10">
        <v>91.0</v>
      </c>
      <c r="P130" s="10">
        <v>57.0</v>
      </c>
      <c r="Q130" s="10">
        <v>34.0</v>
      </c>
      <c r="R130" s="10">
        <v>64.7</v>
      </c>
      <c r="S130" s="10">
        <v>130.0</v>
      </c>
      <c r="T130" s="10">
        <v>45.22</v>
      </c>
      <c r="U130" s="10">
        <v>43.0</v>
      </c>
      <c r="V130" s="10">
        <v>43.0</v>
      </c>
      <c r="W130" s="10">
        <v>0.0</v>
      </c>
      <c r="X130" s="10">
        <v>28.0</v>
      </c>
      <c r="Y130" s="10">
        <v>17.0</v>
      </c>
      <c r="Z130" s="10">
        <v>11.0</v>
      </c>
      <c r="AA130" s="10">
        <v>14.0</v>
      </c>
      <c r="AB130" s="10">
        <v>13.0</v>
      </c>
      <c r="AC130" s="11" t="s">
        <v>97</v>
      </c>
      <c r="AD130" s="10" t="s">
        <v>334</v>
      </c>
      <c r="AE130" s="9" t="str">
        <f>IFERROR(__xludf.DUMMYFUNCTION("GOOGLETRANSLATE(AD130,""pt"",""en"")"),"I didn't remember the Ternário if")</f>
        <v>I didn't remember the Ternário if</v>
      </c>
      <c r="AF130" s="10"/>
      <c r="AG130" s="9"/>
      <c r="AH130" s="9" t="s">
        <v>104</v>
      </c>
      <c r="AI130" s="9" t="str">
        <f>IFERROR(__xludf.DUMMYFUNCTION("GOOGLETRANSLATE(AH130,""pt"",""en"")"),"made a mistake, spent more time and more regressions")</f>
        <v>made a mistake, spent more time and more regressions</v>
      </c>
      <c r="AJ130" s="12" t="s">
        <v>334</v>
      </c>
      <c r="AK130" s="13" t="str">
        <f>IFERROR(__xludf.DUMMYFUNCTION("GOOGLETRANSLATE(AJ130,""pt"",""en"")"),"I didn't remember the Ternário if")</f>
        <v>I didn't remember the Ternário if</v>
      </c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</row>
    <row r="131">
      <c r="A131" s="9">
        <v>362.0</v>
      </c>
      <c r="B131" s="10">
        <v>15.0</v>
      </c>
      <c r="C131" s="10">
        <v>29.0</v>
      </c>
      <c r="D131" s="9">
        <v>1.0</v>
      </c>
      <c r="E131" s="10" t="s">
        <v>124</v>
      </c>
      <c r="F131" s="10">
        <v>2.0</v>
      </c>
      <c r="G131" s="10">
        <v>1.0</v>
      </c>
      <c r="H131" s="10" t="s">
        <v>102</v>
      </c>
      <c r="I131" s="10">
        <v>2.0</v>
      </c>
      <c r="J131" s="10" t="s">
        <v>40</v>
      </c>
      <c r="K131" s="10" t="s">
        <v>57</v>
      </c>
      <c r="L131" s="10">
        <v>41.96</v>
      </c>
      <c r="M131" s="10">
        <v>49.0</v>
      </c>
      <c r="N131" s="10">
        <v>16.34</v>
      </c>
      <c r="O131" s="10">
        <v>18.0</v>
      </c>
      <c r="P131" s="10">
        <v>10.0</v>
      </c>
      <c r="Q131" s="10">
        <v>8.0</v>
      </c>
      <c r="R131" s="10">
        <v>11.88</v>
      </c>
      <c r="S131" s="10">
        <v>12.0</v>
      </c>
      <c r="T131" s="10">
        <v>3.65</v>
      </c>
      <c r="U131" s="10">
        <v>1.0</v>
      </c>
      <c r="V131" s="10">
        <v>1.0</v>
      </c>
      <c r="W131" s="10">
        <v>0.0</v>
      </c>
      <c r="X131" s="10">
        <v>5.0</v>
      </c>
      <c r="Y131" s="10">
        <v>4.0</v>
      </c>
      <c r="Z131" s="10">
        <v>1.0</v>
      </c>
      <c r="AA131" s="10">
        <v>2.0</v>
      </c>
      <c r="AB131" s="10">
        <v>3.0</v>
      </c>
      <c r="AC131" s="11" t="s">
        <v>189</v>
      </c>
      <c r="AD131" s="10" t="s">
        <v>335</v>
      </c>
      <c r="AE131" s="9" t="str">
        <f>IFERROR(__xludf.DUMMYFUNCTION("GOOGLETRANSLATE(AD131,""pt"",""en"")"),"had difficulty in the range")</f>
        <v>had difficulty in the range</v>
      </c>
      <c r="AF131" s="10"/>
      <c r="AG131" s="9"/>
      <c r="AH131" s="9" t="s">
        <v>162</v>
      </c>
      <c r="AI131" s="9" t="str">
        <f>IFERROR(__xludf.DUMMYFUNCTION("GOOGLETRANSLATE(AH131,""pt"",""en"")"),"mislead")</f>
        <v>mislead</v>
      </c>
      <c r="AJ131" s="12" t="s">
        <v>335</v>
      </c>
      <c r="AK131" s="13" t="str">
        <f>IFERROR(__xludf.DUMMYFUNCTION("GOOGLETRANSLATE(AJ131,""pt"",""en"")"),"had difficulty in the range")</f>
        <v>had difficulty in the range</v>
      </c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</row>
    <row r="132">
      <c r="A132" s="9">
        <v>25.0</v>
      </c>
      <c r="B132" s="10">
        <v>3.0</v>
      </c>
      <c r="C132" s="10">
        <v>6.0</v>
      </c>
      <c r="D132" s="9">
        <v>1.0</v>
      </c>
      <c r="E132" s="10" t="s">
        <v>38</v>
      </c>
      <c r="F132" s="10">
        <v>1.0</v>
      </c>
      <c r="G132" s="10">
        <v>1.0</v>
      </c>
      <c r="H132" s="10" t="s">
        <v>39</v>
      </c>
      <c r="I132" s="10">
        <v>1.0</v>
      </c>
      <c r="J132" s="10" t="s">
        <v>40</v>
      </c>
      <c r="K132" s="10" t="s">
        <v>41</v>
      </c>
      <c r="L132" s="10">
        <v>41.98</v>
      </c>
      <c r="M132" s="10">
        <v>49.0</v>
      </c>
      <c r="N132" s="10">
        <v>15.41</v>
      </c>
      <c r="O132" s="10">
        <v>22.0</v>
      </c>
      <c r="P132" s="10">
        <v>11.0</v>
      </c>
      <c r="Q132" s="10">
        <v>11.0</v>
      </c>
      <c r="R132" s="10">
        <v>3.36</v>
      </c>
      <c r="S132" s="10">
        <v>4.0</v>
      </c>
      <c r="T132" s="10">
        <v>1.02</v>
      </c>
      <c r="U132" s="10">
        <v>1.0</v>
      </c>
      <c r="V132" s="10">
        <v>1.0</v>
      </c>
      <c r="W132" s="10">
        <v>0.0</v>
      </c>
      <c r="X132" s="10">
        <v>2.0</v>
      </c>
      <c r="Y132" s="10">
        <v>0.0</v>
      </c>
      <c r="Z132" s="10">
        <v>2.0</v>
      </c>
      <c r="AA132" s="10">
        <v>0.0</v>
      </c>
      <c r="AB132" s="10">
        <v>3.0</v>
      </c>
      <c r="AC132" s="11" t="s">
        <v>160</v>
      </c>
      <c r="AD132" s="10" t="s">
        <v>336</v>
      </c>
      <c r="AE132" s="9" t="str">
        <f>IFERROR(__xludf.DUMMYFUNCTION("GOOGLETRANSLATE(AD132,""pt"",""en"")"),"EXTENSION OF THE STRANGE HEALTH")</f>
        <v>EXTENSION OF THE STRANGE HEALTH</v>
      </c>
      <c r="AF132" s="10"/>
      <c r="AG132" s="9"/>
      <c r="AH132" s="10"/>
      <c r="AI132" s="9"/>
      <c r="AJ132" s="12" t="s">
        <v>336</v>
      </c>
      <c r="AK132" s="14" t="s">
        <v>337</v>
      </c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</row>
    <row r="133">
      <c r="A133" s="9">
        <v>37.0</v>
      </c>
      <c r="B133" s="10">
        <v>4.0</v>
      </c>
      <c r="C133" s="10">
        <v>8.0</v>
      </c>
      <c r="D133" s="9">
        <v>1.0</v>
      </c>
      <c r="E133" s="10" t="s">
        <v>38</v>
      </c>
      <c r="F133" s="10">
        <v>1.0</v>
      </c>
      <c r="G133" s="10">
        <v>1.0</v>
      </c>
      <c r="H133" s="10" t="s">
        <v>39</v>
      </c>
      <c r="I133" s="10">
        <v>2.0</v>
      </c>
      <c r="J133" s="10" t="s">
        <v>40</v>
      </c>
      <c r="K133" s="10" t="s">
        <v>57</v>
      </c>
      <c r="L133" s="10">
        <v>37.26</v>
      </c>
      <c r="M133" s="10">
        <v>44.0</v>
      </c>
      <c r="N133" s="10">
        <v>14.4</v>
      </c>
      <c r="O133" s="10">
        <v>20.0</v>
      </c>
      <c r="P133" s="10">
        <v>8.0</v>
      </c>
      <c r="Q133" s="10">
        <v>12.0</v>
      </c>
      <c r="R133" s="10">
        <v>6.71</v>
      </c>
      <c r="S133" s="10">
        <v>13.0</v>
      </c>
      <c r="T133" s="10">
        <v>3.96</v>
      </c>
      <c r="U133" s="10">
        <v>4.0</v>
      </c>
      <c r="V133" s="10">
        <v>4.0</v>
      </c>
      <c r="W133" s="10">
        <v>0.0</v>
      </c>
      <c r="X133" s="10">
        <v>4.0</v>
      </c>
      <c r="Y133" s="10">
        <v>0.0</v>
      </c>
      <c r="Z133" s="10">
        <v>4.0</v>
      </c>
      <c r="AA133" s="10">
        <v>0.0</v>
      </c>
      <c r="AB133" s="10">
        <v>5.0</v>
      </c>
      <c r="AC133" s="11" t="s">
        <v>153</v>
      </c>
      <c r="AD133" s="10" t="s">
        <v>336</v>
      </c>
      <c r="AE133" s="9" t="str">
        <f>IFERROR(__xludf.DUMMYFUNCTION("GOOGLETRANSLATE(AD133,""pt"",""en"")"),"EXTENSION OF THE STRANGE HEALTH")</f>
        <v>EXTENSION OF THE STRANGE HEALTH</v>
      </c>
      <c r="AF133" s="10"/>
      <c r="AG133" s="9"/>
      <c r="AH133" s="9" t="s">
        <v>338</v>
      </c>
      <c r="AI133" s="9" t="str">
        <f>IFERROR(__xludf.DUMMYFUNCTION("GOOGLETRANSLATE(AH133,""pt"",""en"")"),"Made a mistake, made more regressions in AOI, and found it strange")</f>
        <v>Made a mistake, made more regressions in AOI, and found it strange</v>
      </c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</row>
    <row r="134">
      <c r="A134" s="9">
        <v>216.0</v>
      </c>
      <c r="B134" s="10">
        <v>2.0</v>
      </c>
      <c r="C134" s="10">
        <v>3.0</v>
      </c>
      <c r="D134" s="9">
        <v>2.0</v>
      </c>
      <c r="E134" s="10" t="s">
        <v>157</v>
      </c>
      <c r="F134" s="10">
        <v>6.0</v>
      </c>
      <c r="G134" s="10">
        <v>2.0</v>
      </c>
      <c r="H134" s="10" t="s">
        <v>39</v>
      </c>
      <c r="I134" s="10">
        <v>2.0</v>
      </c>
      <c r="J134" s="10" t="s">
        <v>40</v>
      </c>
      <c r="K134" s="10" t="s">
        <v>41</v>
      </c>
      <c r="L134" s="10">
        <v>116.59</v>
      </c>
      <c r="M134" s="10">
        <v>186.0</v>
      </c>
      <c r="N134" s="10">
        <v>71.43</v>
      </c>
      <c r="O134" s="10">
        <v>71.0</v>
      </c>
      <c r="P134" s="10">
        <v>35.0</v>
      </c>
      <c r="Q134" s="10">
        <v>36.0</v>
      </c>
      <c r="R134" s="10">
        <v>50.69</v>
      </c>
      <c r="S134" s="10">
        <v>86.0</v>
      </c>
      <c r="T134" s="10">
        <v>40.6</v>
      </c>
      <c r="U134" s="10">
        <v>26.0</v>
      </c>
      <c r="V134" s="10">
        <v>26.0</v>
      </c>
      <c r="W134" s="10">
        <v>0.0</v>
      </c>
      <c r="X134" s="10">
        <v>25.0</v>
      </c>
      <c r="Y134" s="10">
        <v>24.0</v>
      </c>
      <c r="Z134" s="10">
        <v>1.0</v>
      </c>
      <c r="AA134" s="10">
        <v>22.0</v>
      </c>
      <c r="AB134" s="10">
        <v>3.0</v>
      </c>
      <c r="AC134" s="11" t="s">
        <v>97</v>
      </c>
      <c r="AD134" s="10" t="s">
        <v>339</v>
      </c>
      <c r="AE134" s="9" t="str">
        <f>IFERROR(__xludf.DUMMYFUNCTION("GOOGLETRANSLATE(AD134,""pt"",""en"")"),"*= Strange")</f>
        <v>*= Strange</v>
      </c>
      <c r="AF134" s="10"/>
      <c r="AG134" s="9"/>
      <c r="AH134" s="9" t="s">
        <v>300</v>
      </c>
      <c r="AI134" s="9" t="str">
        <f>IFERROR(__xludf.DUMMYFUNCTION("GOOGLETRANSLATE(AH134,""pt"",""en"")"),"Wrong, spent more time on AOI and more regressions")</f>
        <v>Wrong, spent more time on AOI and more regressions</v>
      </c>
      <c r="AJ134" s="13" t="s">
        <v>340</v>
      </c>
      <c r="AK134" s="13" t="str">
        <f>IFERROR(__xludf.DUMMYFUNCTION("GOOGLETRANSLATE(AJ134,""pt"",""en"")"),"found operator *= strange")</f>
        <v>found operator *= strange</v>
      </c>
      <c r="AL134" s="14" t="s">
        <v>341</v>
      </c>
      <c r="AM134" s="13" t="str">
        <f>IFERROR(__xludf.DUMMYFUNCTION("GOOGLETRANSLATE(AL134,""pt"",""en"")"),"Knowledge of Language")</f>
        <v>Knowledge of Language</v>
      </c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</row>
    <row r="135">
      <c r="A135" s="9">
        <v>228.0</v>
      </c>
      <c r="B135" s="10">
        <v>3.0</v>
      </c>
      <c r="C135" s="10">
        <v>5.0</v>
      </c>
      <c r="D135" s="9">
        <v>2.0</v>
      </c>
      <c r="E135" s="10" t="s">
        <v>157</v>
      </c>
      <c r="F135" s="10">
        <v>6.0</v>
      </c>
      <c r="G135" s="10">
        <v>2.0</v>
      </c>
      <c r="H135" s="10" t="s">
        <v>39</v>
      </c>
      <c r="I135" s="10">
        <v>1.0</v>
      </c>
      <c r="J135" s="10" t="s">
        <v>40</v>
      </c>
      <c r="K135" s="10" t="s">
        <v>57</v>
      </c>
      <c r="L135" s="10">
        <v>45.54</v>
      </c>
      <c r="M135" s="10">
        <v>71.0</v>
      </c>
      <c r="N135" s="10">
        <v>22.47</v>
      </c>
      <c r="O135" s="10">
        <v>32.0</v>
      </c>
      <c r="P135" s="10">
        <v>22.0</v>
      </c>
      <c r="Q135" s="10">
        <v>10.0</v>
      </c>
      <c r="R135" s="10">
        <v>16.14</v>
      </c>
      <c r="S135" s="10">
        <v>28.0</v>
      </c>
      <c r="T135" s="10">
        <v>9.5</v>
      </c>
      <c r="U135" s="10">
        <v>11.0</v>
      </c>
      <c r="V135" s="10">
        <v>11.0</v>
      </c>
      <c r="W135" s="10">
        <v>0.0</v>
      </c>
      <c r="X135" s="10">
        <v>8.0</v>
      </c>
      <c r="Y135" s="10">
        <v>8.0</v>
      </c>
      <c r="Z135" s="10">
        <v>0.0</v>
      </c>
      <c r="AA135" s="10">
        <v>6.0</v>
      </c>
      <c r="AB135" s="10">
        <v>1.0</v>
      </c>
      <c r="AC135" s="11" t="s">
        <v>249</v>
      </c>
      <c r="AD135" s="10" t="s">
        <v>339</v>
      </c>
      <c r="AE135" s="9" t="str">
        <f>IFERROR(__xludf.DUMMYFUNCTION("GOOGLETRANSLATE(AD135,""pt"",""en"")"),"*= Strange")</f>
        <v>*= Strange</v>
      </c>
      <c r="AF135" s="10"/>
      <c r="AG135" s="9"/>
      <c r="AH135" s="9" t="s">
        <v>131</v>
      </c>
      <c r="AI135" s="9" t="str">
        <f>IFERROR(__xludf.DUMMYFUNCTION("GOOGLETRANSLATE(AH135,""pt"",""en"")"),"spent more time on AOI and more regressions")</f>
        <v>spent more time on AOI and more regressions</v>
      </c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</row>
    <row r="136">
      <c r="A136" s="9">
        <v>372.0</v>
      </c>
      <c r="B136" s="10">
        <v>15.0</v>
      </c>
      <c r="C136" s="10">
        <v>29.0</v>
      </c>
      <c r="D136" s="9">
        <v>2.0</v>
      </c>
      <c r="E136" s="10" t="s">
        <v>157</v>
      </c>
      <c r="F136" s="10">
        <v>6.0</v>
      </c>
      <c r="G136" s="10">
        <v>2.0</v>
      </c>
      <c r="H136" s="10" t="s">
        <v>39</v>
      </c>
      <c r="I136" s="10">
        <v>1.0</v>
      </c>
      <c r="J136" s="10" t="s">
        <v>40</v>
      </c>
      <c r="K136" s="10" t="s">
        <v>41</v>
      </c>
      <c r="L136" s="10">
        <v>46.7</v>
      </c>
      <c r="M136" s="10">
        <v>42.0</v>
      </c>
      <c r="N136" s="10">
        <v>12.21</v>
      </c>
      <c r="O136" s="10">
        <v>21.0</v>
      </c>
      <c r="P136" s="10">
        <v>9.0</v>
      </c>
      <c r="Q136" s="10">
        <v>12.0</v>
      </c>
      <c r="R136" s="10">
        <v>4.81</v>
      </c>
      <c r="S136" s="10">
        <v>9.0</v>
      </c>
      <c r="T136" s="10">
        <v>2.43</v>
      </c>
      <c r="U136" s="10">
        <v>2.0</v>
      </c>
      <c r="V136" s="10">
        <v>2.0</v>
      </c>
      <c r="W136" s="10">
        <v>0.0</v>
      </c>
      <c r="X136" s="10">
        <v>5.0</v>
      </c>
      <c r="Y136" s="10">
        <v>5.0</v>
      </c>
      <c r="Z136" s="10">
        <v>0.0</v>
      </c>
      <c r="AA136" s="10">
        <v>5.0</v>
      </c>
      <c r="AB136" s="10">
        <v>0.0</v>
      </c>
      <c r="AC136" s="11" t="s">
        <v>189</v>
      </c>
      <c r="AD136" s="10" t="s">
        <v>342</v>
      </c>
      <c r="AE136" s="9" t="str">
        <f>IFERROR(__xludf.DUMMYFUNCTION("GOOGLETRANSLATE(AD136,""pt"",""en"")"),"Strange the *=")</f>
        <v>Strange the *=</v>
      </c>
      <c r="AF136" s="10"/>
      <c r="AG136" s="9"/>
      <c r="AH136" s="10"/>
      <c r="AI136" s="9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</row>
    <row r="137">
      <c r="A137" s="9">
        <v>243.0</v>
      </c>
      <c r="B137" s="10">
        <v>5.0</v>
      </c>
      <c r="C137" s="10">
        <v>9.0</v>
      </c>
      <c r="D137" s="9">
        <v>1.0</v>
      </c>
      <c r="E137" s="10" t="s">
        <v>204</v>
      </c>
      <c r="F137" s="10">
        <v>3.0</v>
      </c>
      <c r="G137" s="10">
        <v>1.0</v>
      </c>
      <c r="H137" s="10" t="s">
        <v>102</v>
      </c>
      <c r="I137" s="10">
        <v>1.0</v>
      </c>
      <c r="J137" s="10" t="s">
        <v>40</v>
      </c>
      <c r="K137" s="10" t="s">
        <v>85</v>
      </c>
      <c r="L137" s="10">
        <v>80.65</v>
      </c>
      <c r="M137" s="10">
        <v>124.0</v>
      </c>
      <c r="N137" s="10">
        <v>41.3</v>
      </c>
      <c r="O137" s="10">
        <v>57.0</v>
      </c>
      <c r="P137" s="10">
        <v>20.0</v>
      </c>
      <c r="Q137" s="10">
        <v>37.0</v>
      </c>
      <c r="R137" s="10">
        <v>53.4</v>
      </c>
      <c r="S137" s="10">
        <v>82.0</v>
      </c>
      <c r="T137" s="10">
        <v>27.68</v>
      </c>
      <c r="U137" s="10">
        <v>34.0</v>
      </c>
      <c r="V137" s="10">
        <v>16.0</v>
      </c>
      <c r="W137" s="10">
        <v>18.0</v>
      </c>
      <c r="X137" s="10">
        <v>15.0</v>
      </c>
      <c r="Y137" s="10">
        <v>11.0</v>
      </c>
      <c r="Z137" s="10">
        <v>4.0</v>
      </c>
      <c r="AA137" s="10">
        <v>11.0</v>
      </c>
      <c r="AB137" s="10">
        <v>4.0</v>
      </c>
      <c r="AC137" s="11" t="s">
        <v>65</v>
      </c>
      <c r="AD137" s="10" t="s">
        <v>343</v>
      </c>
      <c r="AE137" s="9" t="str">
        <f>IFERROR(__xludf.DUMMYFUNCTION("GOOGLETRANSLATE(AD137,""pt"",""en"")"),"Assimilating the array requires attention")</f>
        <v>Assimilating the array requires attention</v>
      </c>
      <c r="AF137" s="10"/>
      <c r="AG137" s="9"/>
      <c r="AH137" s="10"/>
      <c r="AI137" s="9"/>
      <c r="AJ137" s="12" t="s">
        <v>343</v>
      </c>
      <c r="AK137" s="13" t="str">
        <f>IFERROR(__xludf.DUMMYFUNCTION("GOOGLETRANSLATE(AJ137,""pt"",""en"")"),"Assimilating the array requires attention")</f>
        <v>Assimilating the array requires attention</v>
      </c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</row>
    <row r="138">
      <c r="A138" s="9">
        <v>114.0</v>
      </c>
      <c r="B138" s="10">
        <v>10.0</v>
      </c>
      <c r="C138" s="10">
        <v>20.0</v>
      </c>
      <c r="D138" s="9">
        <v>1.0</v>
      </c>
      <c r="E138" s="10" t="s">
        <v>314</v>
      </c>
      <c r="F138" s="10">
        <v>6.0</v>
      </c>
      <c r="G138" s="10">
        <v>1.0</v>
      </c>
      <c r="H138" s="10" t="s">
        <v>39</v>
      </c>
      <c r="I138" s="10">
        <v>1.0</v>
      </c>
      <c r="J138" s="10" t="s">
        <v>105</v>
      </c>
      <c r="K138" s="10" t="s">
        <v>41</v>
      </c>
      <c r="L138" s="10">
        <v>105.1</v>
      </c>
      <c r="M138" s="10">
        <v>141.0</v>
      </c>
      <c r="N138" s="10">
        <v>50.7</v>
      </c>
      <c r="O138" s="10">
        <v>63.0</v>
      </c>
      <c r="P138" s="10">
        <v>23.0</v>
      </c>
      <c r="Q138" s="10">
        <v>40.0</v>
      </c>
      <c r="R138" s="10">
        <v>6.5</v>
      </c>
      <c r="S138" s="10">
        <v>8.0</v>
      </c>
      <c r="T138" s="10">
        <v>3.91</v>
      </c>
      <c r="U138" s="10">
        <v>3.0</v>
      </c>
      <c r="V138" s="10">
        <v>3.0</v>
      </c>
      <c r="W138" s="10">
        <v>0.0</v>
      </c>
      <c r="X138" s="10">
        <v>4.0</v>
      </c>
      <c r="Y138" s="10">
        <v>3.0</v>
      </c>
      <c r="Z138" s="10">
        <v>1.0</v>
      </c>
      <c r="AA138" s="10">
        <v>2.0</v>
      </c>
      <c r="AB138" s="10">
        <v>2.0</v>
      </c>
      <c r="AC138" s="11" t="s">
        <v>197</v>
      </c>
      <c r="AD138" s="10" t="s">
        <v>344</v>
      </c>
      <c r="AE138" s="9" t="str">
        <f>IFERROR(__xludf.DUMMYFUNCTION("GOOGLETRANSLATE(AD138,""pt"",""en"")"),"Has difficulty with list")</f>
        <v>Has difficulty with list</v>
      </c>
      <c r="AF138" s="10"/>
      <c r="AG138" s="9"/>
      <c r="AH138" s="9" t="s">
        <v>331</v>
      </c>
      <c r="AI138" s="9" t="str">
        <f>IFERROR(__xludf.DUMMYFUNCTION("GOOGLETRANSLATE(AH138,""pt"",""en"")"),"more time")</f>
        <v>more time</v>
      </c>
      <c r="AJ138" s="14" t="s">
        <v>345</v>
      </c>
      <c r="AK138" s="13" t="str">
        <f>IFERROR(__xludf.DUMMYFUNCTION("GOOGLETRANSLATE(AJ138,""pt"",""en"")"),"Difficulty with lists")</f>
        <v>Difficulty with lists</v>
      </c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</row>
    <row r="139">
      <c r="A139" s="9">
        <v>350.0</v>
      </c>
      <c r="B139" s="10">
        <v>14.0</v>
      </c>
      <c r="C139" s="10">
        <v>27.0</v>
      </c>
      <c r="D139" s="9">
        <v>1.0</v>
      </c>
      <c r="E139" s="10" t="s">
        <v>124</v>
      </c>
      <c r="F139" s="10">
        <v>2.0</v>
      </c>
      <c r="G139" s="10">
        <v>1.0</v>
      </c>
      <c r="H139" s="10" t="s">
        <v>102</v>
      </c>
      <c r="I139" s="10">
        <v>1.0</v>
      </c>
      <c r="J139" s="10" t="s">
        <v>105</v>
      </c>
      <c r="K139" s="10" t="s">
        <v>57</v>
      </c>
      <c r="L139" s="10">
        <v>102.13</v>
      </c>
      <c r="M139" s="10">
        <v>138.0</v>
      </c>
      <c r="N139" s="10">
        <v>61.55</v>
      </c>
      <c r="O139" s="10">
        <v>61.0</v>
      </c>
      <c r="P139" s="10">
        <v>26.0</v>
      </c>
      <c r="Q139" s="10">
        <v>35.0</v>
      </c>
      <c r="R139" s="10">
        <v>41.26</v>
      </c>
      <c r="S139" s="10">
        <v>64.0</v>
      </c>
      <c r="T139" s="10">
        <v>32.42</v>
      </c>
      <c r="U139" s="10">
        <v>13.0</v>
      </c>
      <c r="V139" s="10">
        <v>13.0</v>
      </c>
      <c r="W139" s="10">
        <v>0.0</v>
      </c>
      <c r="X139" s="10">
        <v>26.0</v>
      </c>
      <c r="Y139" s="10">
        <v>24.0</v>
      </c>
      <c r="Z139" s="10">
        <v>2.0</v>
      </c>
      <c r="AA139" s="10">
        <v>23.0</v>
      </c>
      <c r="AB139" s="10">
        <v>3.0</v>
      </c>
      <c r="AC139" s="11" t="s">
        <v>69</v>
      </c>
      <c r="AD139" s="10" t="s">
        <v>346</v>
      </c>
      <c r="AE139" s="9" t="str">
        <f>IFERROR(__xludf.DUMMYFUNCTION("GOOGLETRANSLATE(AD139,""pt"",""en"")"),"Forgot O! =")</f>
        <v>Forgot O! =</v>
      </c>
      <c r="AF139" s="10"/>
      <c r="AG139" s="9"/>
      <c r="AH139" s="9" t="s">
        <v>104</v>
      </c>
      <c r="AI139" s="9" t="str">
        <f>IFERROR(__xludf.DUMMYFUNCTION("GOOGLETRANSLATE(AH139,""pt"",""en"")"),"made a mistake, spent more time and more regressions")</f>
        <v>made a mistake, spent more time and more regressions</v>
      </c>
      <c r="AJ139" s="13" t="s">
        <v>347</v>
      </c>
      <c r="AK139" s="13" t="str">
        <f>IFERROR(__xludf.DUMMYFUNCTION("GOOGLETRANSLATE(AJ139,""pt"",""en"")"),"Forgot the operator of difference")</f>
        <v>Forgot the operator of difference</v>
      </c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</row>
    <row r="140">
      <c r="A140" s="9">
        <v>189.0</v>
      </c>
      <c r="B140" s="9">
        <v>16.0</v>
      </c>
      <c r="C140" s="10">
        <v>32.0</v>
      </c>
      <c r="D140" s="9">
        <v>2.0</v>
      </c>
      <c r="E140" s="10" t="s">
        <v>101</v>
      </c>
      <c r="F140" s="10">
        <v>3.0</v>
      </c>
      <c r="G140" s="10">
        <v>2.0</v>
      </c>
      <c r="H140" s="10" t="s">
        <v>39</v>
      </c>
      <c r="I140" s="9">
        <v>2.0</v>
      </c>
      <c r="J140" s="10" t="s">
        <v>40</v>
      </c>
      <c r="K140" s="10"/>
      <c r="L140" s="10">
        <v>81.97</v>
      </c>
      <c r="M140" s="10">
        <v>135.0</v>
      </c>
      <c r="N140" s="10">
        <v>40.7</v>
      </c>
      <c r="O140" s="10">
        <v>51.0</v>
      </c>
      <c r="P140" s="10">
        <v>11.0</v>
      </c>
      <c r="Q140" s="10">
        <v>40.0</v>
      </c>
      <c r="R140" s="10">
        <v>34.9</v>
      </c>
      <c r="S140" s="10">
        <v>65.0</v>
      </c>
      <c r="T140" s="10">
        <v>18.91</v>
      </c>
      <c r="U140" s="10">
        <v>15.0</v>
      </c>
      <c r="V140" s="10">
        <v>4.0</v>
      </c>
      <c r="W140" s="10">
        <v>11.0</v>
      </c>
      <c r="X140" s="10">
        <v>23.0</v>
      </c>
      <c r="Y140" s="10">
        <v>8.0</v>
      </c>
      <c r="Z140" s="10">
        <v>15.0</v>
      </c>
      <c r="AA140" s="10">
        <v>7.0</v>
      </c>
      <c r="AB140" s="10">
        <v>16.0</v>
      </c>
      <c r="AC140" s="11" t="s">
        <v>146</v>
      </c>
      <c r="AD140" s="10" t="s">
        <v>348</v>
      </c>
      <c r="AE140" s="9" t="str">
        <f>IFERROR(__xludf.DUMMYFUNCTION("GOOGLETRANSLATE(AD140,""pt"",""en"")"),"difficult structure without; and {")</f>
        <v>difficult structure without; and {</v>
      </c>
      <c r="AF140" s="10" t="s">
        <v>349</v>
      </c>
      <c r="AG140" s="9" t="str">
        <f>IFERROR(__xludf.DUMMYFUNCTION("GOOGLETRANSLATE(AF140,""pt"",""en"")"),"verified the sum")</f>
        <v>verified the sum</v>
      </c>
      <c r="AH140" s="10"/>
      <c r="AI140" s="9"/>
      <c r="AJ140" s="12" t="s">
        <v>348</v>
      </c>
      <c r="AK140" s="13" t="str">
        <f>IFERROR(__xludf.DUMMYFUNCTION("GOOGLETRANSLATE(AJ140,""pt"",""en"")"),"difficult structure without; and {")</f>
        <v>difficult structure without; and {</v>
      </c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</row>
    <row r="141">
      <c r="A141" s="9">
        <v>133.0</v>
      </c>
      <c r="B141" s="10">
        <v>12.0</v>
      </c>
      <c r="C141" s="10">
        <v>24.0</v>
      </c>
      <c r="D141" s="9">
        <v>1.0</v>
      </c>
      <c r="E141" s="10" t="s">
        <v>38</v>
      </c>
      <c r="F141" s="10">
        <v>1.0</v>
      </c>
      <c r="G141" s="10">
        <v>1.0</v>
      </c>
      <c r="H141" s="10" t="s">
        <v>39</v>
      </c>
      <c r="I141" s="10">
        <v>1.0</v>
      </c>
      <c r="J141" s="10" t="s">
        <v>40</v>
      </c>
      <c r="K141" s="10" t="s">
        <v>50</v>
      </c>
      <c r="L141" s="10">
        <v>19.5</v>
      </c>
      <c r="M141" s="10">
        <v>20.0</v>
      </c>
      <c r="N141" s="10">
        <v>5.74</v>
      </c>
      <c r="O141" s="10">
        <v>10.0</v>
      </c>
      <c r="P141" s="10">
        <v>4.0</v>
      </c>
      <c r="Q141" s="10">
        <v>6.0</v>
      </c>
      <c r="R141" s="10">
        <v>1.76</v>
      </c>
      <c r="S141" s="10">
        <v>2.0</v>
      </c>
      <c r="T141" s="10">
        <v>0.5</v>
      </c>
      <c r="U141" s="10">
        <v>1.0</v>
      </c>
      <c r="V141" s="10">
        <v>1.0</v>
      </c>
      <c r="W141" s="10">
        <v>0.0</v>
      </c>
      <c r="X141" s="10">
        <v>1.0</v>
      </c>
      <c r="Y141" s="10">
        <v>0.0</v>
      </c>
      <c r="Z141" s="10">
        <v>1.0</v>
      </c>
      <c r="AA141" s="10">
        <v>0.0</v>
      </c>
      <c r="AB141" s="10">
        <v>1.0</v>
      </c>
      <c r="AC141" s="11" t="s">
        <v>212</v>
      </c>
      <c r="AD141" s="9" t="s">
        <v>350</v>
      </c>
      <c r="AE141" s="9" t="str">
        <f>IFERROR(__xludf.DUMMYFUNCTION("GOOGLETRANSLATE(AD141,""pt"",""en"")"),"I am used to logic")</f>
        <v>I am used to logic</v>
      </c>
      <c r="AF141" s="10"/>
      <c r="AG141" s="9"/>
      <c r="AH141" s="9"/>
      <c r="AI141" s="9"/>
      <c r="AJ141" s="13" t="s">
        <v>351</v>
      </c>
      <c r="AK141" s="13" t="str">
        <f>IFERROR(__xludf.DUMMYFUNCTION("GOOGLETRANSLATE(AJ141,""pt"",""en"")"),"familiarity with logic")</f>
        <v>familiarity with logic</v>
      </c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</row>
    <row r="142">
      <c r="A142" s="9">
        <v>254.0</v>
      </c>
      <c r="B142" s="10">
        <v>6.0</v>
      </c>
      <c r="C142" s="10">
        <v>11.0</v>
      </c>
      <c r="D142" s="9">
        <v>1.0</v>
      </c>
      <c r="E142" s="10" t="s">
        <v>124</v>
      </c>
      <c r="F142" s="10">
        <v>2.0</v>
      </c>
      <c r="G142" s="10">
        <v>1.0</v>
      </c>
      <c r="H142" s="10" t="s">
        <v>102</v>
      </c>
      <c r="I142" s="10">
        <v>2.0</v>
      </c>
      <c r="J142" s="10" t="s">
        <v>40</v>
      </c>
      <c r="K142" s="10" t="s">
        <v>57</v>
      </c>
      <c r="L142" s="10">
        <v>69.8</v>
      </c>
      <c r="M142" s="10">
        <v>99.0</v>
      </c>
      <c r="N142" s="10">
        <v>40.06</v>
      </c>
      <c r="O142" s="10">
        <v>44.0</v>
      </c>
      <c r="P142" s="10">
        <v>24.0</v>
      </c>
      <c r="Q142" s="10">
        <v>20.0</v>
      </c>
      <c r="R142" s="10">
        <v>23.52</v>
      </c>
      <c r="S142" s="10">
        <v>45.0</v>
      </c>
      <c r="T142" s="10">
        <v>18.37</v>
      </c>
      <c r="U142" s="10">
        <v>14.0</v>
      </c>
      <c r="V142" s="10">
        <v>14.0</v>
      </c>
      <c r="W142" s="10">
        <v>0.0</v>
      </c>
      <c r="X142" s="10">
        <v>14.0</v>
      </c>
      <c r="Y142" s="10">
        <v>9.0</v>
      </c>
      <c r="Z142" s="10">
        <v>5.0</v>
      </c>
      <c r="AA142" s="10">
        <v>9.0</v>
      </c>
      <c r="AB142" s="10">
        <v>5.0</v>
      </c>
      <c r="AC142" s="11" t="s">
        <v>202</v>
      </c>
      <c r="AD142" s="10" t="s">
        <v>352</v>
      </c>
      <c r="AE142" s="9" t="str">
        <f>IFERROR(__xludf.DUMMYFUNCTION("GOOGLETRANSLATE(AD142,""pt"",""en"")"),"for the python is weird")</f>
        <v>for the python is weird</v>
      </c>
      <c r="AF142" s="10"/>
      <c r="AG142" s="9"/>
      <c r="AH142" s="9" t="s">
        <v>168</v>
      </c>
      <c r="AI142" s="9" t="str">
        <f>IFERROR(__xludf.DUMMYFUNCTION("GOOGLETRANSLATE(AH142,""pt"",""en"")"),"missed, more time, regressions in AOI, and entry")</f>
        <v>missed, more time, regressions in AOI, and entry</v>
      </c>
      <c r="AJ142" s="12" t="s">
        <v>352</v>
      </c>
      <c r="AK142" s="14" t="s">
        <v>353</v>
      </c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</row>
    <row r="143">
      <c r="A143" s="9">
        <v>227.0</v>
      </c>
      <c r="B143" s="10">
        <v>3.0</v>
      </c>
      <c r="C143" s="10">
        <v>5.0</v>
      </c>
      <c r="D143" s="9">
        <v>2.0</v>
      </c>
      <c r="E143" s="10" t="s">
        <v>129</v>
      </c>
      <c r="F143" s="10">
        <v>5.0</v>
      </c>
      <c r="G143" s="10">
        <v>2.0</v>
      </c>
      <c r="H143" s="10" t="s">
        <v>39</v>
      </c>
      <c r="I143" s="10">
        <v>2.0</v>
      </c>
      <c r="J143" s="10" t="s">
        <v>40</v>
      </c>
      <c r="K143" s="10" t="s">
        <v>85</v>
      </c>
      <c r="L143" s="10">
        <v>95.43</v>
      </c>
      <c r="M143" s="10">
        <v>139.0</v>
      </c>
      <c r="N143" s="10">
        <v>47.98</v>
      </c>
      <c r="O143" s="10">
        <v>61.0</v>
      </c>
      <c r="P143" s="10">
        <v>29.0</v>
      </c>
      <c r="Q143" s="10">
        <v>32.0</v>
      </c>
      <c r="R143" s="10">
        <v>33.42</v>
      </c>
      <c r="S143" s="10">
        <v>55.0</v>
      </c>
      <c r="T143" s="10">
        <v>19.12</v>
      </c>
      <c r="U143" s="10">
        <v>17.0</v>
      </c>
      <c r="V143" s="10">
        <v>17.0</v>
      </c>
      <c r="W143" s="10">
        <v>0.0</v>
      </c>
      <c r="X143" s="10">
        <v>20.0</v>
      </c>
      <c r="Y143" s="10">
        <v>15.0</v>
      </c>
      <c r="Z143" s="10">
        <v>5.0</v>
      </c>
      <c r="AA143" s="10">
        <v>11.0</v>
      </c>
      <c r="AB143" s="10">
        <v>8.0</v>
      </c>
      <c r="AC143" s="11" t="s">
        <v>249</v>
      </c>
      <c r="AD143" s="10" t="s">
        <v>354</v>
      </c>
      <c r="AE143" s="9" t="str">
        <f>IFERROR(__xludf.DUMMYFUNCTION("GOOGLETRANSLATE(AD143,""pt"",""en"")"),"did not understand if %")</f>
        <v>did not understand if %</v>
      </c>
      <c r="AF143" s="10"/>
      <c r="AG143" s="9"/>
      <c r="AH143" s="9" t="s">
        <v>104</v>
      </c>
      <c r="AI143" s="9" t="str">
        <f>IFERROR(__xludf.DUMMYFUNCTION("GOOGLETRANSLATE(AH143,""pt"",""en"")"),"made a mistake, spent more time and more regressions")</f>
        <v>made a mistake, spent more time and more regressions</v>
      </c>
      <c r="AJ143" s="13" t="s">
        <v>355</v>
      </c>
      <c r="AK143" s="13" t="str">
        <f>IFERROR(__xludf.DUMMYFUNCTION("GOOGLETRANSLATE(AJ143,""pt"",""en"")"),"did not understand the if with module")</f>
        <v>did not understand the if with module</v>
      </c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</row>
    <row r="144">
      <c r="A144" s="9">
        <v>376.0</v>
      </c>
      <c r="B144" s="9">
        <v>16.0</v>
      </c>
      <c r="C144" s="10">
        <v>31.0</v>
      </c>
      <c r="D144" s="9">
        <v>1.0</v>
      </c>
      <c r="E144" s="10" t="s">
        <v>186</v>
      </c>
      <c r="F144" s="10">
        <v>4.0</v>
      </c>
      <c r="G144" s="10">
        <v>1.0</v>
      </c>
      <c r="H144" s="10" t="s">
        <v>102</v>
      </c>
      <c r="I144" s="9">
        <v>2.0</v>
      </c>
      <c r="J144" s="9" t="s">
        <v>40</v>
      </c>
      <c r="K144" s="9" t="s">
        <v>85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1" t="s">
        <v>144</v>
      </c>
      <c r="AD144" s="10" t="s">
        <v>356</v>
      </c>
      <c r="AE144" s="9" t="str">
        <f>IFERROR(__xludf.DUMMYFUNCTION("GOOGLETRANSLATE(AD144,""pt"",""en"")"),"I didn't remember and or")</f>
        <v>I didn't remember and or</v>
      </c>
      <c r="AF144" s="10"/>
      <c r="AG144" s="9"/>
      <c r="AH144" s="9" t="s">
        <v>162</v>
      </c>
      <c r="AI144" s="9" t="str">
        <f>IFERROR(__xludf.DUMMYFUNCTION("GOOGLETRANSLATE(AH144,""pt"",""en"")"),"mislead")</f>
        <v>mislead</v>
      </c>
      <c r="AJ144" s="12" t="s">
        <v>356</v>
      </c>
      <c r="AK144" s="13" t="str">
        <f>IFERROR(__xludf.DUMMYFUNCTION("GOOGLETRANSLATE(AJ144,""pt"",""en"")"),"I didn't remember and or")</f>
        <v>I didn't remember and or</v>
      </c>
      <c r="AX144" s="15"/>
      <c r="BA144" s="15"/>
      <c r="BW144" s="15"/>
      <c r="BZ144" s="15"/>
      <c r="CY144" s="17"/>
      <c r="CZ144" s="18"/>
      <c r="DA144" s="19"/>
      <c r="DB144" s="18"/>
      <c r="DG144" s="15"/>
      <c r="DH144" s="15"/>
    </row>
    <row r="145">
      <c r="A145" s="9">
        <v>382.0</v>
      </c>
      <c r="B145" s="9">
        <v>16.0</v>
      </c>
      <c r="C145" s="10">
        <v>31.0</v>
      </c>
      <c r="D145" s="9">
        <v>2.0</v>
      </c>
      <c r="E145" s="10" t="s">
        <v>261</v>
      </c>
      <c r="F145" s="10">
        <v>4.0</v>
      </c>
      <c r="G145" s="10">
        <v>2.0</v>
      </c>
      <c r="H145" s="10" t="s">
        <v>39</v>
      </c>
      <c r="I145" s="9">
        <v>2.0</v>
      </c>
      <c r="J145" s="9" t="s">
        <v>40</v>
      </c>
      <c r="K145" s="9" t="s">
        <v>41</v>
      </c>
      <c r="L145" s="10">
        <v>35.34</v>
      </c>
      <c r="M145" s="10">
        <v>49.0</v>
      </c>
      <c r="N145" s="10">
        <v>16.05</v>
      </c>
      <c r="O145" s="10">
        <v>19.0</v>
      </c>
      <c r="P145" s="10">
        <v>12.0</v>
      </c>
      <c r="Q145" s="10">
        <v>7.0</v>
      </c>
      <c r="R145" s="10">
        <v>10.83</v>
      </c>
      <c r="S145" s="10">
        <v>14.0</v>
      </c>
      <c r="T145" s="10">
        <v>5.71</v>
      </c>
      <c r="U145" s="10">
        <v>2.0</v>
      </c>
      <c r="V145" s="10">
        <v>2.0</v>
      </c>
      <c r="W145" s="10">
        <v>0.0</v>
      </c>
      <c r="X145" s="10">
        <v>3.0</v>
      </c>
      <c r="Y145" s="10">
        <v>2.0</v>
      </c>
      <c r="Z145" s="10">
        <v>1.0</v>
      </c>
      <c r="AA145" s="10">
        <v>1.0</v>
      </c>
      <c r="AB145" s="10">
        <v>3.0</v>
      </c>
      <c r="AC145" s="11" t="s">
        <v>144</v>
      </c>
      <c r="AD145" s="10" t="s">
        <v>357</v>
      </c>
      <c r="AE145" s="9" t="str">
        <f>IFERROR(__xludf.DUMMYFUNCTION("GOOGLETRANSLATE(AD145,""pt"",""en"")"),"I didn't remember and or")</f>
        <v>I didn't remember and or</v>
      </c>
      <c r="AF145" s="10"/>
      <c r="AG145" s="9"/>
      <c r="AH145" s="9" t="s">
        <v>104</v>
      </c>
      <c r="AI145" s="9" t="str">
        <f>IFERROR(__xludf.DUMMYFUNCTION("GOOGLETRANSLATE(AH145,""pt"",""en"")"),"made a mistake, spent more time and more regressions")</f>
        <v>made a mistake, spent more time and more regressions</v>
      </c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</row>
    <row r="146">
      <c r="A146" s="9">
        <v>300.0</v>
      </c>
      <c r="B146" s="10">
        <v>9.0</v>
      </c>
      <c r="C146" s="10">
        <v>17.0</v>
      </c>
      <c r="D146" s="9">
        <v>2.0</v>
      </c>
      <c r="E146" s="10" t="s">
        <v>157</v>
      </c>
      <c r="F146" s="10">
        <v>6.0</v>
      </c>
      <c r="G146" s="10">
        <v>2.0</v>
      </c>
      <c r="H146" s="10" t="s">
        <v>39</v>
      </c>
      <c r="I146" s="10">
        <v>2.0</v>
      </c>
      <c r="J146" s="10" t="s">
        <v>40</v>
      </c>
      <c r="K146" s="10" t="s">
        <v>85</v>
      </c>
      <c r="L146" s="10">
        <v>92.03</v>
      </c>
      <c r="M146" s="10">
        <v>124.0</v>
      </c>
      <c r="N146" s="10">
        <v>53.86</v>
      </c>
      <c r="O146" s="10">
        <v>57.0</v>
      </c>
      <c r="P146" s="10">
        <v>28.0</v>
      </c>
      <c r="Q146" s="10">
        <v>29.0</v>
      </c>
      <c r="R146" s="10">
        <v>24.94</v>
      </c>
      <c r="S146" s="10">
        <v>40.0</v>
      </c>
      <c r="T146" s="10">
        <v>20.1</v>
      </c>
      <c r="U146" s="10">
        <v>10.0</v>
      </c>
      <c r="V146" s="10">
        <v>10.0</v>
      </c>
      <c r="W146" s="10">
        <v>0.0</v>
      </c>
      <c r="X146" s="10">
        <v>16.0</v>
      </c>
      <c r="Y146" s="10">
        <v>14.0</v>
      </c>
      <c r="Z146" s="10">
        <v>2.0</v>
      </c>
      <c r="AA146" s="10">
        <v>13.0</v>
      </c>
      <c r="AB146" s="10">
        <v>3.0</v>
      </c>
      <c r="AC146" s="11" t="s">
        <v>54</v>
      </c>
      <c r="AD146" s="9" t="s">
        <v>358</v>
      </c>
      <c r="AE146" s="9" t="str">
        <f>IFERROR(__xludf.DUMMYFUNCTION("GOOGLETRANSLATE(AD146,""pt"",""en"")"),"did not recognize *=")</f>
        <v>did not recognize *=</v>
      </c>
      <c r="AF146" s="10"/>
      <c r="AG146" s="9"/>
      <c r="AH146" s="9" t="s">
        <v>308</v>
      </c>
      <c r="AI146" s="9" t="str">
        <f>IFERROR(__xludf.DUMMYFUNCTION("GOOGLETRANSLATE(AH146,""pt"",""en"")"),"spent more time on AOI and regressed more often")</f>
        <v>spent more time on AOI and regressed more often</v>
      </c>
      <c r="AJ146" s="13" t="s">
        <v>359</v>
      </c>
      <c r="AK146" s="13" t="str">
        <f>IFERROR(__xludf.DUMMYFUNCTION("GOOGLETRANSLATE(AJ146,""pt"",""en"")"),"did not recognize the operator *=")</f>
        <v>did not recognize the operator *=</v>
      </c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</row>
    <row r="147">
      <c r="A147" s="9">
        <v>356.0</v>
      </c>
      <c r="B147" s="10">
        <v>14.0</v>
      </c>
      <c r="C147" s="10">
        <v>27.0</v>
      </c>
      <c r="D147" s="9">
        <v>2.0</v>
      </c>
      <c r="E147" s="10" t="s">
        <v>96</v>
      </c>
      <c r="F147" s="10">
        <v>2.0</v>
      </c>
      <c r="G147" s="10">
        <v>2.0</v>
      </c>
      <c r="H147" s="10" t="s">
        <v>39</v>
      </c>
      <c r="I147" s="10">
        <v>1.0</v>
      </c>
      <c r="J147" s="10" t="s">
        <v>105</v>
      </c>
      <c r="K147" s="10" t="s">
        <v>85</v>
      </c>
      <c r="L147" s="10">
        <v>126.63</v>
      </c>
      <c r="M147" s="10">
        <v>180.0</v>
      </c>
      <c r="N147" s="10">
        <v>62.33</v>
      </c>
      <c r="O147" s="10">
        <v>84.0</v>
      </c>
      <c r="P147" s="10">
        <v>33.0</v>
      </c>
      <c r="Q147" s="10">
        <v>51.0</v>
      </c>
      <c r="R147" s="10">
        <v>23.29</v>
      </c>
      <c r="S147" s="10">
        <v>34.0</v>
      </c>
      <c r="T147" s="10">
        <v>10.37</v>
      </c>
      <c r="U147" s="10">
        <v>7.0</v>
      </c>
      <c r="V147" s="10">
        <v>7.0</v>
      </c>
      <c r="W147" s="10">
        <v>0.0</v>
      </c>
      <c r="X147" s="10">
        <v>18.0</v>
      </c>
      <c r="Y147" s="10">
        <v>12.0</v>
      </c>
      <c r="Z147" s="10">
        <v>6.0</v>
      </c>
      <c r="AA147" s="10">
        <v>11.0</v>
      </c>
      <c r="AB147" s="10">
        <v>6.0</v>
      </c>
      <c r="AC147" s="11" t="s">
        <v>69</v>
      </c>
      <c r="AD147" s="10" t="s">
        <v>360</v>
      </c>
      <c r="AE147" s="9" t="str">
        <f>IFERROR(__xludf.DUMMYFUNCTION("GOOGLETRANSLATE(AD147,""pt"",""en"")"),"NOT Strange Particle")</f>
        <v>NOT Strange Particle</v>
      </c>
      <c r="AF147" s="10"/>
      <c r="AG147" s="9"/>
      <c r="AH147" s="9" t="s">
        <v>104</v>
      </c>
      <c r="AI147" s="9" t="str">
        <f>IFERROR(__xludf.DUMMYFUNCTION("GOOGLETRANSLATE(AH147,""pt"",""en"")"),"made a mistake, spent more time and more regressions")</f>
        <v>made a mistake, spent more time and more regressions</v>
      </c>
      <c r="AJ147" s="12" t="s">
        <v>360</v>
      </c>
      <c r="AK147" s="14" t="s">
        <v>361</v>
      </c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</row>
    <row r="148">
      <c r="A148" s="9">
        <v>182.0</v>
      </c>
      <c r="B148" s="9">
        <v>16.0</v>
      </c>
      <c r="C148" s="10">
        <v>32.0</v>
      </c>
      <c r="D148" s="9">
        <v>1.0</v>
      </c>
      <c r="E148" s="10" t="s">
        <v>139</v>
      </c>
      <c r="F148" s="10">
        <v>2.0</v>
      </c>
      <c r="G148" s="10">
        <v>1.0</v>
      </c>
      <c r="H148" s="10" t="s">
        <v>102</v>
      </c>
      <c r="I148" s="9">
        <v>1.0</v>
      </c>
      <c r="J148" s="10" t="s">
        <v>40</v>
      </c>
      <c r="K148" s="10"/>
      <c r="L148" s="10">
        <v>24.71</v>
      </c>
      <c r="M148" s="10">
        <v>32.0</v>
      </c>
      <c r="N148" s="10">
        <v>12.28</v>
      </c>
      <c r="O148" s="10">
        <v>14.0</v>
      </c>
      <c r="P148" s="10">
        <v>3.0</v>
      </c>
      <c r="Q148" s="10">
        <v>11.0</v>
      </c>
      <c r="R148" s="10">
        <v>6.93</v>
      </c>
      <c r="S148" s="10">
        <v>8.0</v>
      </c>
      <c r="T148" s="10">
        <v>3.77</v>
      </c>
      <c r="U148" s="10">
        <v>1.0</v>
      </c>
      <c r="V148" s="10">
        <v>1.0</v>
      </c>
      <c r="W148" s="10">
        <v>0.0</v>
      </c>
      <c r="X148" s="10">
        <v>4.0</v>
      </c>
      <c r="Y148" s="10">
        <v>2.0</v>
      </c>
      <c r="Z148" s="10">
        <v>2.0</v>
      </c>
      <c r="AA148" s="10">
        <v>3.0</v>
      </c>
      <c r="AB148" s="10">
        <v>1.0</v>
      </c>
      <c r="AC148" s="11" t="s">
        <v>146</v>
      </c>
      <c r="AD148" s="10" t="s">
        <v>360</v>
      </c>
      <c r="AE148" s="9" t="str">
        <f>IFERROR(__xludf.DUMMYFUNCTION("GOOGLETRANSLATE(AD148,""pt"",""en"")"),"NOT Strange Particle")</f>
        <v>NOT Strange Particle</v>
      </c>
      <c r="AF148" s="10" t="s">
        <v>362</v>
      </c>
      <c r="AG148" s="9" t="str">
        <f>IFERROR(__xludf.DUMMYFUNCTION("GOOGLETRANSLATE(AF148,""pt"",""en"")"),"verified when i == 4 to add")</f>
        <v>verified when i == 4 to add</v>
      </c>
      <c r="AH148" s="10"/>
      <c r="AI148" s="9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</row>
    <row r="149">
      <c r="A149" s="9">
        <v>258.0</v>
      </c>
      <c r="B149" s="10">
        <v>6.0</v>
      </c>
      <c r="C149" s="10">
        <v>11.0</v>
      </c>
      <c r="D149" s="9">
        <v>1.0</v>
      </c>
      <c r="E149" s="10" t="s">
        <v>291</v>
      </c>
      <c r="F149" s="10">
        <v>6.0</v>
      </c>
      <c r="G149" s="10">
        <v>1.0</v>
      </c>
      <c r="H149" s="10" t="s">
        <v>102</v>
      </c>
      <c r="I149" s="10">
        <v>1.0</v>
      </c>
      <c r="J149" s="10" t="s">
        <v>40</v>
      </c>
      <c r="K149" s="10" t="s">
        <v>50</v>
      </c>
      <c r="L149" s="10">
        <v>40.43</v>
      </c>
      <c r="M149" s="10">
        <v>67.0</v>
      </c>
      <c r="N149" s="10">
        <v>21.07</v>
      </c>
      <c r="O149" s="10">
        <v>30.0</v>
      </c>
      <c r="P149" s="10">
        <v>15.0</v>
      </c>
      <c r="Q149" s="10">
        <v>15.0</v>
      </c>
      <c r="R149" s="10">
        <v>4.81</v>
      </c>
      <c r="S149" s="10">
        <v>10.0</v>
      </c>
      <c r="T149" s="10">
        <v>2.93</v>
      </c>
      <c r="U149" s="10">
        <v>2.0</v>
      </c>
      <c r="V149" s="10">
        <v>2.0</v>
      </c>
      <c r="W149" s="10">
        <v>0.0</v>
      </c>
      <c r="X149" s="10">
        <v>8.0</v>
      </c>
      <c r="Y149" s="10">
        <v>7.0</v>
      </c>
      <c r="Z149" s="10">
        <v>1.0</v>
      </c>
      <c r="AA149" s="10">
        <v>5.0</v>
      </c>
      <c r="AB149" s="10">
        <v>2.0</v>
      </c>
      <c r="AC149" s="11" t="s">
        <v>202</v>
      </c>
      <c r="AD149" s="10" t="s">
        <v>363</v>
      </c>
      <c r="AE149" s="9" t="str">
        <f>IFERROR(__xludf.DUMMYFUNCTION("GOOGLETRANSLATE(AD149,""pt"",""en"")"),"easy calculation")</f>
        <v>easy calculation</v>
      </c>
      <c r="AF149" s="10"/>
      <c r="AG149" s="9"/>
      <c r="AH149" s="10"/>
      <c r="AI149" s="9"/>
      <c r="AJ149" s="12" t="s">
        <v>363</v>
      </c>
      <c r="AK149" s="13" t="str">
        <f>IFERROR(__xludf.DUMMYFUNCTION("GOOGLETRANSLATE(AJ149,""pt"",""en"")"),"easy calculation")</f>
        <v>easy calculation</v>
      </c>
      <c r="AL149" s="14" t="s">
        <v>364</v>
      </c>
      <c r="AM149" s="13" t="str">
        <f>IFERROR(__xludf.DUMMYFUNCTION("GOOGLETRANSLATE(AL149,""pt"",""en"")"),"mathematical calculations")</f>
        <v>mathematical calculations</v>
      </c>
      <c r="AN149" s="13" t="s">
        <v>365</v>
      </c>
      <c r="AO149" s="14" t="s">
        <v>366</v>
      </c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</row>
    <row r="150">
      <c r="A150" s="9">
        <v>265.0</v>
      </c>
      <c r="B150" s="10">
        <v>7.0</v>
      </c>
      <c r="C150" s="10">
        <v>13.0</v>
      </c>
      <c r="D150" s="9">
        <v>1.0</v>
      </c>
      <c r="E150" s="10" t="s">
        <v>367</v>
      </c>
      <c r="F150" s="10">
        <v>1.0</v>
      </c>
      <c r="G150" s="10">
        <v>1.0</v>
      </c>
      <c r="H150" s="10" t="s">
        <v>102</v>
      </c>
      <c r="I150" s="10">
        <v>1.0</v>
      </c>
      <c r="J150" s="10" t="s">
        <v>40</v>
      </c>
      <c r="K150" s="10" t="s">
        <v>41</v>
      </c>
      <c r="L150" s="10">
        <v>55.21</v>
      </c>
      <c r="M150" s="10">
        <v>105.0</v>
      </c>
      <c r="N150" s="10">
        <v>34.91</v>
      </c>
      <c r="O150" s="10">
        <v>57.0</v>
      </c>
      <c r="P150" s="10">
        <v>27.0</v>
      </c>
      <c r="Q150" s="10">
        <v>30.0</v>
      </c>
      <c r="R150" s="10">
        <v>15.3</v>
      </c>
      <c r="S150" s="10">
        <v>31.0</v>
      </c>
      <c r="T150" s="10">
        <v>10.64</v>
      </c>
      <c r="U150" s="10">
        <v>11.0</v>
      </c>
      <c r="V150" s="10">
        <v>7.0</v>
      </c>
      <c r="W150" s="10">
        <v>4.0</v>
      </c>
      <c r="X150" s="10">
        <v>7.0</v>
      </c>
      <c r="Y150" s="10">
        <v>0.0</v>
      </c>
      <c r="Z150" s="10">
        <v>7.0</v>
      </c>
      <c r="AA150" s="10">
        <v>0.0</v>
      </c>
      <c r="AB150" s="10">
        <v>8.0</v>
      </c>
      <c r="AC150" s="11" t="s">
        <v>109</v>
      </c>
      <c r="AD150" s="10" t="s">
        <v>363</v>
      </c>
      <c r="AE150" s="9" t="str">
        <f>IFERROR(__xludf.DUMMYFUNCTION("GOOGLETRANSLATE(AD150,""pt"",""en"")"),"easy calculation")</f>
        <v>easy calculation</v>
      </c>
      <c r="AF150" s="10"/>
      <c r="AG150" s="9"/>
      <c r="AH150" s="9" t="s">
        <v>368</v>
      </c>
      <c r="AI150" s="9" t="str">
        <f>IFERROR(__xludf.DUMMYFUNCTION("GOOGLETRANSLATE(AH150,""pt"",""en"")"),"Hit, more time, more regressions")</f>
        <v>Hit, more time, more regressions</v>
      </c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</row>
    <row r="151">
      <c r="A151" s="9">
        <v>361.0</v>
      </c>
      <c r="B151" s="10">
        <v>15.0</v>
      </c>
      <c r="C151" s="10">
        <v>29.0</v>
      </c>
      <c r="D151" s="9">
        <v>1.0</v>
      </c>
      <c r="E151" s="10" t="s">
        <v>367</v>
      </c>
      <c r="F151" s="10">
        <v>1.0</v>
      </c>
      <c r="G151" s="10">
        <v>1.0</v>
      </c>
      <c r="H151" s="10" t="s">
        <v>102</v>
      </c>
      <c r="I151" s="10">
        <v>1.0</v>
      </c>
      <c r="J151" s="10" t="s">
        <v>40</v>
      </c>
      <c r="K151" s="10" t="s">
        <v>41</v>
      </c>
      <c r="L151" s="10">
        <v>27.73</v>
      </c>
      <c r="M151" s="10">
        <v>19.0</v>
      </c>
      <c r="N151" s="10">
        <v>5.5</v>
      </c>
      <c r="O151" s="10">
        <v>9.0</v>
      </c>
      <c r="P151" s="10">
        <v>5.0</v>
      </c>
      <c r="Q151" s="10">
        <v>4.0</v>
      </c>
      <c r="R151" s="10">
        <v>2.23</v>
      </c>
      <c r="S151" s="10">
        <v>2.0</v>
      </c>
      <c r="T151" s="10">
        <v>0.53</v>
      </c>
      <c r="U151" s="10">
        <v>1.0</v>
      </c>
      <c r="V151" s="10">
        <v>1.0</v>
      </c>
      <c r="W151" s="10">
        <v>0.0</v>
      </c>
      <c r="X151" s="10">
        <v>0.0</v>
      </c>
      <c r="Y151" s="10">
        <v>0.0</v>
      </c>
      <c r="Z151" s="10">
        <v>0.0</v>
      </c>
      <c r="AA151" s="10">
        <v>0.0</v>
      </c>
      <c r="AB151" s="10">
        <v>1.0</v>
      </c>
      <c r="AC151" s="11" t="s">
        <v>189</v>
      </c>
      <c r="AD151" s="9" t="s">
        <v>369</v>
      </c>
      <c r="AE151" s="9" t="str">
        <f>IFERROR(__xludf.DUMMYFUNCTION("GOOGLETRANSLATE(AD151,""pt"",""en"")"),"simple calculation")</f>
        <v>simple calculation</v>
      </c>
      <c r="AF151" s="10"/>
      <c r="AG151" s="9"/>
      <c r="AH151" s="10"/>
      <c r="AI151" s="9"/>
      <c r="AJ151" s="13" t="s">
        <v>369</v>
      </c>
      <c r="AK151" s="13" t="str">
        <f>IFERROR(__xludf.DUMMYFUNCTION("GOOGLETRANSLATE(AJ151,""pt"",""en"")"),"simple calculation")</f>
        <v>simple calculation</v>
      </c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</row>
    <row r="152">
      <c r="A152" s="9">
        <v>235.0</v>
      </c>
      <c r="B152" s="10">
        <v>4.0</v>
      </c>
      <c r="C152" s="10">
        <v>7.0</v>
      </c>
      <c r="D152" s="9">
        <v>2.0</v>
      </c>
      <c r="E152" s="10" t="s">
        <v>49</v>
      </c>
      <c r="F152" s="10">
        <v>1.0</v>
      </c>
      <c r="G152" s="10">
        <v>2.0</v>
      </c>
      <c r="H152" s="10" t="s">
        <v>39</v>
      </c>
      <c r="I152" s="10">
        <v>1.0</v>
      </c>
      <c r="J152" s="10" t="s">
        <v>40</v>
      </c>
      <c r="K152" s="10" t="s">
        <v>41</v>
      </c>
      <c r="L152" s="10">
        <v>70.75</v>
      </c>
      <c r="M152" s="10">
        <v>83.0</v>
      </c>
      <c r="N152" s="10">
        <v>25.13</v>
      </c>
      <c r="O152" s="10">
        <v>34.0</v>
      </c>
      <c r="P152" s="10">
        <v>14.0</v>
      </c>
      <c r="Q152" s="10">
        <v>20.0</v>
      </c>
      <c r="R152" s="10">
        <v>18.55</v>
      </c>
      <c r="S152" s="10">
        <v>32.0</v>
      </c>
      <c r="T152" s="10">
        <v>8.99</v>
      </c>
      <c r="U152" s="10">
        <v>5.0</v>
      </c>
      <c r="V152" s="10">
        <v>5.0</v>
      </c>
      <c r="W152" s="10">
        <v>0.0</v>
      </c>
      <c r="X152" s="10">
        <v>14.0</v>
      </c>
      <c r="Y152" s="10">
        <v>0.0</v>
      </c>
      <c r="Z152" s="10">
        <v>14.0</v>
      </c>
      <c r="AA152" s="10">
        <v>0.0</v>
      </c>
      <c r="AB152" s="10">
        <v>15.0</v>
      </c>
      <c r="AC152" s="11" t="s">
        <v>167</v>
      </c>
      <c r="AD152" s="10" t="s">
        <v>370</v>
      </c>
      <c r="AE152" s="9" t="str">
        <f>IFERROR(__xludf.DUMMYFUNCTION("GOOGLETRANSLATE(AD152,""pt"",""en"")"),"It's just math")</f>
        <v>It's just math</v>
      </c>
      <c r="AF152" s="10"/>
      <c r="AG152" s="9"/>
      <c r="AH152" s="9" t="s">
        <v>371</v>
      </c>
      <c r="AI152" s="9" t="str">
        <f>IFERROR(__xludf.DUMMYFUNCTION("GOOGLETRANSLATE(AH152,""pt"",""en"")"),"entered more often in AOI")</f>
        <v>entered more often in AOI</v>
      </c>
      <c r="AJ152" s="13" t="s">
        <v>372</v>
      </c>
      <c r="AK152" s="13" t="str">
        <f>IFERROR(__xludf.DUMMYFUNCTION("GOOGLETRANSLATE(AJ152,""pt"",""en"")"),"only math")</f>
        <v>only math</v>
      </c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</row>
    <row r="153">
      <c r="A153" s="9">
        <v>271.0</v>
      </c>
      <c r="B153" s="10">
        <v>7.0</v>
      </c>
      <c r="C153" s="10">
        <v>13.0</v>
      </c>
      <c r="D153" s="9">
        <v>2.0</v>
      </c>
      <c r="E153" s="10" t="s">
        <v>49</v>
      </c>
      <c r="F153" s="10">
        <v>1.0</v>
      </c>
      <c r="G153" s="10">
        <v>2.0</v>
      </c>
      <c r="H153" s="10" t="s">
        <v>39</v>
      </c>
      <c r="I153" s="10">
        <v>1.0</v>
      </c>
      <c r="J153" s="10" t="s">
        <v>40</v>
      </c>
      <c r="K153" s="10" t="s">
        <v>50</v>
      </c>
      <c r="L153" s="10">
        <v>60.28</v>
      </c>
      <c r="M153" s="10">
        <v>111.0</v>
      </c>
      <c r="N153" s="10">
        <v>38.66</v>
      </c>
      <c r="O153" s="10">
        <v>54.0</v>
      </c>
      <c r="P153" s="10">
        <v>30.0</v>
      </c>
      <c r="Q153" s="10">
        <v>24.0</v>
      </c>
      <c r="R153" s="10">
        <v>13.64</v>
      </c>
      <c r="S153" s="10">
        <v>24.0</v>
      </c>
      <c r="T153" s="10">
        <v>8.7</v>
      </c>
      <c r="U153" s="10">
        <v>8.0</v>
      </c>
      <c r="V153" s="10">
        <v>8.0</v>
      </c>
      <c r="W153" s="10">
        <v>0.0</v>
      </c>
      <c r="X153" s="10">
        <v>13.0</v>
      </c>
      <c r="Y153" s="10">
        <v>2.0</v>
      </c>
      <c r="Z153" s="10">
        <v>11.0</v>
      </c>
      <c r="AA153" s="10">
        <v>2.0</v>
      </c>
      <c r="AB153" s="10">
        <v>12.0</v>
      </c>
      <c r="AC153" s="11" t="s">
        <v>109</v>
      </c>
      <c r="AD153" s="10" t="s">
        <v>369</v>
      </c>
      <c r="AE153" s="9" t="str">
        <f>IFERROR(__xludf.DUMMYFUNCTION("GOOGLETRANSLATE(AD153,""pt"",""en"")"),"simple calculation")</f>
        <v>simple calculation</v>
      </c>
      <c r="AF153" s="10"/>
      <c r="AG153" s="9"/>
      <c r="AH153" s="10"/>
      <c r="AI153" s="9"/>
      <c r="AJ153" s="13" t="s">
        <v>369</v>
      </c>
      <c r="AK153" s="13" t="str">
        <f>IFERROR(__xludf.DUMMYFUNCTION("GOOGLETRANSLATE(AJ153,""pt"",""en"")"),"simple calculation")</f>
        <v>simple calculation</v>
      </c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</row>
    <row r="154">
      <c r="A154" s="9">
        <v>283.0</v>
      </c>
      <c r="B154" s="10">
        <v>8.0</v>
      </c>
      <c r="C154" s="10">
        <v>15.0</v>
      </c>
      <c r="D154" s="9">
        <v>2.0</v>
      </c>
      <c r="E154" s="10" t="s">
        <v>49</v>
      </c>
      <c r="F154" s="10">
        <v>1.0</v>
      </c>
      <c r="G154" s="10">
        <v>2.0</v>
      </c>
      <c r="H154" s="10" t="s">
        <v>39</v>
      </c>
      <c r="I154" s="10">
        <v>1.0</v>
      </c>
      <c r="J154" s="10" t="s">
        <v>40</v>
      </c>
      <c r="K154" s="10" t="s">
        <v>50</v>
      </c>
      <c r="L154" s="10">
        <v>41.12</v>
      </c>
      <c r="M154" s="10">
        <v>51.0</v>
      </c>
      <c r="N154" s="10">
        <v>15.8</v>
      </c>
      <c r="O154" s="10">
        <v>23.0</v>
      </c>
      <c r="P154" s="10">
        <v>4.0</v>
      </c>
      <c r="Q154" s="10">
        <v>19.0</v>
      </c>
      <c r="R154" s="10">
        <v>9.05</v>
      </c>
      <c r="S154" s="10">
        <v>13.0</v>
      </c>
      <c r="T154" s="10">
        <v>3.78</v>
      </c>
      <c r="U154" s="10">
        <v>2.0</v>
      </c>
      <c r="V154" s="10">
        <v>2.0</v>
      </c>
      <c r="W154" s="10">
        <v>0.0</v>
      </c>
      <c r="X154" s="10">
        <v>9.0</v>
      </c>
      <c r="Y154" s="10">
        <v>0.0</v>
      </c>
      <c r="Z154" s="10">
        <v>9.0</v>
      </c>
      <c r="AA154" s="10">
        <v>0.0</v>
      </c>
      <c r="AB154" s="10">
        <v>10.0</v>
      </c>
      <c r="AC154" s="11" t="s">
        <v>220</v>
      </c>
      <c r="AD154" s="10" t="s">
        <v>373</v>
      </c>
      <c r="AE154" s="9" t="str">
        <f>IFERROR(__xludf.DUMMYFUNCTION("GOOGLETRANSLATE(AD154,""pt"",""en"")"),"Sum Few X")</f>
        <v>Sum Few X</v>
      </c>
      <c r="AF154" s="10"/>
      <c r="AG154" s="9"/>
      <c r="AH154" s="10"/>
      <c r="AI154" s="9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</row>
    <row r="155">
      <c r="A155" s="9">
        <v>175.0</v>
      </c>
      <c r="B155" s="10">
        <v>15.0</v>
      </c>
      <c r="C155" s="10">
        <v>30.0</v>
      </c>
      <c r="D155" s="9">
        <v>2.0</v>
      </c>
      <c r="E155" s="10" t="s">
        <v>374</v>
      </c>
      <c r="F155" s="10">
        <v>1.0</v>
      </c>
      <c r="G155" s="10">
        <v>2.0</v>
      </c>
      <c r="H155" s="10" t="s">
        <v>102</v>
      </c>
      <c r="I155" s="10">
        <v>1.0</v>
      </c>
      <c r="J155" s="10" t="s">
        <v>40</v>
      </c>
      <c r="K155" s="10" t="s">
        <v>41</v>
      </c>
      <c r="L155" s="10">
        <v>44.38</v>
      </c>
      <c r="M155" s="10">
        <v>64.0</v>
      </c>
      <c r="N155" s="10">
        <v>18.64</v>
      </c>
      <c r="O155" s="10">
        <v>30.0</v>
      </c>
      <c r="P155" s="10">
        <v>15.0</v>
      </c>
      <c r="Q155" s="10">
        <v>15.0</v>
      </c>
      <c r="R155" s="10">
        <v>4.17</v>
      </c>
      <c r="S155" s="10">
        <v>4.0</v>
      </c>
      <c r="T155" s="10">
        <v>1.04</v>
      </c>
      <c r="U155" s="10">
        <v>0.0</v>
      </c>
      <c r="V155" s="10">
        <v>0.0</v>
      </c>
      <c r="W155" s="10">
        <v>0.0</v>
      </c>
      <c r="X155" s="10">
        <v>3.0</v>
      </c>
      <c r="Y155" s="10">
        <v>0.0</v>
      </c>
      <c r="Z155" s="10">
        <v>3.0</v>
      </c>
      <c r="AA155" s="10">
        <v>0.0</v>
      </c>
      <c r="AB155" s="10">
        <v>3.0</v>
      </c>
      <c r="AC155" s="11" t="s">
        <v>245</v>
      </c>
      <c r="AD155" s="10" t="s">
        <v>375</v>
      </c>
      <c r="AE155" s="9" t="str">
        <f>IFERROR(__xludf.DUMMYFUNCTION("GOOGLETRANSLATE(AD155,""pt"",""en"")"),"quiet")</f>
        <v>quiet</v>
      </c>
      <c r="AF155" s="10" t="s">
        <v>376</v>
      </c>
      <c r="AG155" s="9" t="str">
        <f>IFERROR(__xludf.DUMMYFUNCTION("GOOGLETRANSLATE(AF155,""pt"",""en"")"),"added 1x only")</f>
        <v>added 1x only</v>
      </c>
      <c r="AH155" s="10"/>
      <c r="AI155" s="9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</row>
    <row r="156">
      <c r="A156" s="9">
        <v>302.0</v>
      </c>
      <c r="B156" s="10">
        <v>10.0</v>
      </c>
      <c r="C156" s="10">
        <v>19.0</v>
      </c>
      <c r="D156" s="9">
        <v>1.0</v>
      </c>
      <c r="E156" s="10" t="s">
        <v>124</v>
      </c>
      <c r="F156" s="10">
        <v>2.0</v>
      </c>
      <c r="G156" s="10">
        <v>1.0</v>
      </c>
      <c r="H156" s="10" t="s">
        <v>102</v>
      </c>
      <c r="I156" s="10">
        <v>1.0</v>
      </c>
      <c r="J156" s="10" t="s">
        <v>40</v>
      </c>
      <c r="K156" s="10" t="s">
        <v>50</v>
      </c>
      <c r="L156" s="10">
        <v>22.44</v>
      </c>
      <c r="M156" s="10">
        <v>19.0</v>
      </c>
      <c r="N156" s="10">
        <v>6.86</v>
      </c>
      <c r="O156" s="10">
        <v>9.0</v>
      </c>
      <c r="P156" s="10">
        <v>2.0</v>
      </c>
      <c r="Q156" s="10">
        <v>7.0</v>
      </c>
      <c r="R156" s="10">
        <v>7.75</v>
      </c>
      <c r="S156" s="10">
        <v>11.0</v>
      </c>
      <c r="T156" s="10">
        <v>4.01</v>
      </c>
      <c r="U156" s="10">
        <v>2.0</v>
      </c>
      <c r="V156" s="10">
        <v>2.0</v>
      </c>
      <c r="W156" s="10">
        <v>0.0</v>
      </c>
      <c r="X156" s="10">
        <v>5.0</v>
      </c>
      <c r="Y156" s="10">
        <v>2.0</v>
      </c>
      <c r="Z156" s="10">
        <v>3.0</v>
      </c>
      <c r="AA156" s="10">
        <v>2.0</v>
      </c>
      <c r="AB156" s="10">
        <v>3.0</v>
      </c>
      <c r="AC156" s="11" t="s">
        <v>181</v>
      </c>
      <c r="AD156" s="10" t="s">
        <v>377</v>
      </c>
      <c r="AE156" s="9" t="str">
        <f>IFERROR(__xludf.DUMMYFUNCTION("GOOGLETRANSLATE(AD156,""pt"",""en"")"),"Just add, nothing difficult")</f>
        <v>Just add, nothing difficult</v>
      </c>
      <c r="AF156" s="10"/>
      <c r="AG156" s="9"/>
      <c r="AH156" s="10"/>
      <c r="AI156" s="9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</row>
    <row r="157">
      <c r="A157" s="9">
        <v>160.0</v>
      </c>
      <c r="B157" s="10">
        <v>14.0</v>
      </c>
      <c r="C157" s="10">
        <v>28.0</v>
      </c>
      <c r="D157" s="9">
        <v>1.0</v>
      </c>
      <c r="E157" s="10" t="s">
        <v>169</v>
      </c>
      <c r="F157" s="10">
        <v>4.0</v>
      </c>
      <c r="G157" s="10">
        <v>1.0</v>
      </c>
      <c r="H157" s="10" t="s">
        <v>39</v>
      </c>
      <c r="I157" s="10">
        <v>1.0</v>
      </c>
      <c r="J157" s="10" t="s">
        <v>40</v>
      </c>
      <c r="K157" s="10" t="s">
        <v>41</v>
      </c>
      <c r="L157" s="10">
        <v>14.89</v>
      </c>
      <c r="M157" s="10">
        <v>23.0</v>
      </c>
      <c r="N157" s="10">
        <v>7.94</v>
      </c>
      <c r="O157" s="10">
        <v>8.0</v>
      </c>
      <c r="P157" s="10">
        <v>5.0</v>
      </c>
      <c r="Q157" s="10">
        <v>3.0</v>
      </c>
      <c r="R157" s="10">
        <v>3.74</v>
      </c>
      <c r="S157" s="10">
        <v>6.0</v>
      </c>
      <c r="T157" s="10">
        <v>1.53</v>
      </c>
      <c r="U157" s="10">
        <v>1.0</v>
      </c>
      <c r="V157" s="10">
        <v>1.0</v>
      </c>
      <c r="W157" s="10">
        <v>0.0</v>
      </c>
      <c r="X157" s="10">
        <v>1.0</v>
      </c>
      <c r="Y157" s="10">
        <v>1.0</v>
      </c>
      <c r="Z157" s="10">
        <v>0.0</v>
      </c>
      <c r="AA157" s="10">
        <v>0.0</v>
      </c>
      <c r="AB157" s="10">
        <v>1.0</v>
      </c>
      <c r="AC157" s="11" t="s">
        <v>72</v>
      </c>
      <c r="AD157" s="10" t="s">
        <v>52</v>
      </c>
      <c r="AE157" s="9" t="str">
        <f>IFERROR(__xludf.DUMMYFUNCTION("GOOGLETRANSLATE(AD157,""pt"",""en"")"),"no difficulty pointed out")</f>
        <v>no difficulty pointed out</v>
      </c>
      <c r="AF157" s="10" t="s">
        <v>378</v>
      </c>
      <c r="AG157" s="9" t="str">
        <f>IFERROR(__xludf.DUMMYFUNCTION("GOOGLETRANSLATE(AF157,""pt"",""en"")"),"focused on the division")</f>
        <v>focused on the division</v>
      </c>
      <c r="AH157" s="10"/>
      <c r="AI157" s="9"/>
      <c r="AJ157" s="13" t="s">
        <v>379</v>
      </c>
      <c r="AK157" s="13" t="str">
        <f>IFERROR(__xludf.DUMMYFUNCTION("GOOGLETRANSLATE(AJ157,""pt"",""en"")"),"concentrated in the division")</f>
        <v>concentrated in the division</v>
      </c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</row>
    <row r="158">
      <c r="A158" s="9">
        <v>215.0</v>
      </c>
      <c r="B158" s="10">
        <v>2.0</v>
      </c>
      <c r="C158" s="10">
        <v>3.0</v>
      </c>
      <c r="D158" s="9">
        <v>2.0</v>
      </c>
      <c r="E158" s="10" t="s">
        <v>129</v>
      </c>
      <c r="F158" s="10">
        <v>5.0</v>
      </c>
      <c r="G158" s="10">
        <v>2.0</v>
      </c>
      <c r="H158" s="10" t="s">
        <v>39</v>
      </c>
      <c r="I158" s="10">
        <v>2.0</v>
      </c>
      <c r="J158" s="10" t="s">
        <v>40</v>
      </c>
      <c r="K158" s="10" t="s">
        <v>57</v>
      </c>
      <c r="L158" s="10">
        <v>152.8</v>
      </c>
      <c r="M158" s="10">
        <v>251.0</v>
      </c>
      <c r="N158" s="10">
        <v>90.0</v>
      </c>
      <c r="O158" s="10">
        <v>113.0</v>
      </c>
      <c r="P158" s="10">
        <v>43.0</v>
      </c>
      <c r="Q158" s="10">
        <v>70.0</v>
      </c>
      <c r="R158" s="10">
        <v>59.56</v>
      </c>
      <c r="S158" s="10">
        <v>103.0</v>
      </c>
      <c r="T158" s="10">
        <v>41.55</v>
      </c>
      <c r="U158" s="10">
        <v>25.0</v>
      </c>
      <c r="V158" s="10">
        <v>25.0</v>
      </c>
      <c r="W158" s="10">
        <v>0.0</v>
      </c>
      <c r="X158" s="10">
        <v>45.0</v>
      </c>
      <c r="Y158" s="10">
        <v>34.0</v>
      </c>
      <c r="Z158" s="10">
        <v>11.0</v>
      </c>
      <c r="AA158" s="10">
        <v>35.0</v>
      </c>
      <c r="AB158" s="10">
        <v>10.0</v>
      </c>
      <c r="AC158" s="11" t="s">
        <v>97</v>
      </c>
      <c r="AD158" s="10" t="s">
        <v>380</v>
      </c>
      <c r="AE158" s="9" t="str">
        <f>IFERROR(__xludf.DUMMYFUNCTION("GOOGLETRANSLATE(AD158,""pt"",""en"")"),"Difficulty with Elem % 5")</f>
        <v>Difficulty with Elem % 5</v>
      </c>
      <c r="AF158" s="10"/>
      <c r="AG158" s="9"/>
      <c r="AH158" s="9" t="s">
        <v>104</v>
      </c>
      <c r="AI158" s="9" t="str">
        <f>IFERROR(__xludf.DUMMYFUNCTION("GOOGLETRANSLATE(AH158,""pt"",""en"")"),"made a mistake, spent more time and more regressions")</f>
        <v>made a mistake, spent more time and more regressions</v>
      </c>
      <c r="AJ158" s="13" t="s">
        <v>381</v>
      </c>
      <c r="AK158" s="13" t="str">
        <f>IFERROR(__xludf.DUMMYFUNCTION("GOOGLETRANSLATE(AJ158,""pt"",""en"")"),"Difficulty with variable module and number")</f>
        <v>Difficulty with variable module and number</v>
      </c>
      <c r="AL158" s="14" t="s">
        <v>382</v>
      </c>
      <c r="AM158" s="13" t="str">
        <f>IFERROR(__xludf.DUMMYFUNCTION("GOOGLETRANSLATE(AL158,""pt"",""en"")"),"Calculations of the rest of division")</f>
        <v>Calculations of the rest of division</v>
      </c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</row>
    <row r="159">
      <c r="A159" s="9">
        <v>263.0</v>
      </c>
      <c r="B159" s="10">
        <v>6.0</v>
      </c>
      <c r="C159" s="10">
        <v>11.0</v>
      </c>
      <c r="D159" s="9">
        <v>2.0</v>
      </c>
      <c r="E159" s="10" t="s">
        <v>129</v>
      </c>
      <c r="F159" s="10">
        <v>5.0</v>
      </c>
      <c r="G159" s="10">
        <v>2.0</v>
      </c>
      <c r="H159" s="10" t="s">
        <v>39</v>
      </c>
      <c r="I159" s="10">
        <v>1.0</v>
      </c>
      <c r="J159" s="10" t="s">
        <v>40</v>
      </c>
      <c r="K159" s="10" t="s">
        <v>41</v>
      </c>
      <c r="L159" s="10">
        <v>67.04</v>
      </c>
      <c r="M159" s="10">
        <v>83.0</v>
      </c>
      <c r="N159" s="10">
        <v>42.74</v>
      </c>
      <c r="O159" s="10">
        <v>36.0</v>
      </c>
      <c r="P159" s="10">
        <v>19.0</v>
      </c>
      <c r="Q159" s="10">
        <v>17.0</v>
      </c>
      <c r="R159" s="10">
        <v>33.75</v>
      </c>
      <c r="S159" s="10">
        <v>43.0</v>
      </c>
      <c r="T159" s="10">
        <v>28.11</v>
      </c>
      <c r="U159" s="10">
        <v>13.0</v>
      </c>
      <c r="V159" s="10">
        <v>13.0</v>
      </c>
      <c r="W159" s="10">
        <v>0.0</v>
      </c>
      <c r="X159" s="10">
        <v>13.0</v>
      </c>
      <c r="Y159" s="10">
        <v>10.0</v>
      </c>
      <c r="Z159" s="10">
        <v>3.0</v>
      </c>
      <c r="AA159" s="10">
        <v>10.0</v>
      </c>
      <c r="AB159" s="10">
        <v>3.0</v>
      </c>
      <c r="AC159" s="11" t="s">
        <v>202</v>
      </c>
      <c r="AD159" s="10" t="s">
        <v>383</v>
      </c>
      <c r="AE159" s="9" t="str">
        <f>IFERROR(__xludf.DUMMYFUNCTION("GOOGLETRANSLATE(AD159,""pt"",""en"")"),"Hard to check the divisible")</f>
        <v>Hard to check the divisible</v>
      </c>
      <c r="AF159" s="10"/>
      <c r="AG159" s="9"/>
      <c r="AH159" s="9" t="s">
        <v>185</v>
      </c>
      <c r="AI159" s="9" t="str">
        <f>IFERROR(__xludf.DUMMYFUNCTION("GOOGLETRANSLATE(AH159,""pt"",""en"")"),"more regressions")</f>
        <v>more regressions</v>
      </c>
      <c r="AJ159" s="13" t="s">
        <v>384</v>
      </c>
      <c r="AK159" s="13" t="str">
        <f>IFERROR(__xludf.DUMMYFUNCTION("GOOGLETRANSLATE(AJ159,""pt"",""en"")"),"Hard to check if it is divisible")</f>
        <v>Hard to check if it is divisible</v>
      </c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</row>
    <row r="160">
      <c r="A160" s="9">
        <v>311.0</v>
      </c>
      <c r="B160" s="10">
        <v>10.0</v>
      </c>
      <c r="C160" s="10">
        <v>19.0</v>
      </c>
      <c r="D160" s="9">
        <v>2.0</v>
      </c>
      <c r="E160" s="10" t="s">
        <v>129</v>
      </c>
      <c r="F160" s="10">
        <v>5.0</v>
      </c>
      <c r="G160" s="10">
        <v>2.0</v>
      </c>
      <c r="H160" s="10" t="s">
        <v>39</v>
      </c>
      <c r="I160" s="10">
        <v>1.0</v>
      </c>
      <c r="J160" s="10" t="s">
        <v>40</v>
      </c>
      <c r="K160" s="10" t="s">
        <v>50</v>
      </c>
      <c r="L160" s="10">
        <v>18.4</v>
      </c>
      <c r="M160" s="10">
        <v>13.0</v>
      </c>
      <c r="N160" s="10">
        <v>3.31</v>
      </c>
      <c r="O160" s="10">
        <v>3.0</v>
      </c>
      <c r="P160" s="10">
        <v>0.0</v>
      </c>
      <c r="Q160" s="10">
        <v>3.0</v>
      </c>
      <c r="R160" s="10">
        <v>4.72</v>
      </c>
      <c r="S160" s="10">
        <v>4.0</v>
      </c>
      <c r="T160" s="10">
        <v>0.89</v>
      </c>
      <c r="U160" s="10">
        <v>0.0</v>
      </c>
      <c r="V160" s="10">
        <v>0.0</v>
      </c>
      <c r="W160" s="10">
        <v>0.0</v>
      </c>
      <c r="X160" s="10">
        <v>2.0</v>
      </c>
      <c r="Y160" s="10">
        <v>2.0</v>
      </c>
      <c r="Z160" s="10">
        <v>0.0</v>
      </c>
      <c r="AA160" s="10">
        <v>0.0</v>
      </c>
      <c r="AB160" s="10">
        <v>2.0</v>
      </c>
      <c r="AC160" s="11" t="s">
        <v>181</v>
      </c>
      <c r="AD160" s="10" t="s">
        <v>385</v>
      </c>
      <c r="AE160" s="9" t="str">
        <f>IFERROR(__xludf.DUMMYFUNCTION("GOOGLETRANSLATE(AD160,""pt"",""en"")"),"Division can be difficult")</f>
        <v>Division can be difficult</v>
      </c>
      <c r="AF160" s="10"/>
      <c r="AG160" s="9"/>
      <c r="AH160" s="10"/>
      <c r="AI160" s="9"/>
      <c r="AJ160" s="12" t="s">
        <v>385</v>
      </c>
      <c r="AK160" s="13" t="str">
        <f>IFERROR(__xludf.DUMMYFUNCTION("GOOGLETRANSLATE(AJ160,""pt"",""en"")"),"Division can be difficult")</f>
        <v>Division can be difficult</v>
      </c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</row>
    <row r="161">
      <c r="A161" s="9">
        <v>95.0</v>
      </c>
      <c r="B161" s="10">
        <v>8.0</v>
      </c>
      <c r="C161" s="10">
        <v>16.0</v>
      </c>
      <c r="D161" s="9">
        <v>2.0</v>
      </c>
      <c r="E161" s="10" t="s">
        <v>152</v>
      </c>
      <c r="F161" s="10">
        <v>5.0</v>
      </c>
      <c r="G161" s="10">
        <v>2.0</v>
      </c>
      <c r="H161" s="10" t="s">
        <v>102</v>
      </c>
      <c r="I161" s="10">
        <v>2.0</v>
      </c>
      <c r="J161" s="10" t="s">
        <v>40</v>
      </c>
      <c r="K161" s="10" t="s">
        <v>57</v>
      </c>
      <c r="L161" s="10">
        <v>82.92</v>
      </c>
      <c r="M161" s="10">
        <v>143.0</v>
      </c>
      <c r="N161" s="10">
        <v>52.07</v>
      </c>
      <c r="O161" s="10">
        <v>59.0</v>
      </c>
      <c r="P161" s="10">
        <v>32.0</v>
      </c>
      <c r="Q161" s="10">
        <v>27.0</v>
      </c>
      <c r="R161" s="10">
        <v>32.74</v>
      </c>
      <c r="S161" s="10">
        <v>64.0</v>
      </c>
      <c r="T161" s="10">
        <v>24.6</v>
      </c>
      <c r="U161" s="10">
        <v>21.0</v>
      </c>
      <c r="V161" s="10">
        <v>21.0</v>
      </c>
      <c r="W161" s="10">
        <v>0.0</v>
      </c>
      <c r="X161" s="10">
        <v>17.0</v>
      </c>
      <c r="Y161" s="10">
        <v>15.0</v>
      </c>
      <c r="Z161" s="10">
        <v>2.0</v>
      </c>
      <c r="AA161" s="10">
        <v>12.0</v>
      </c>
      <c r="AB161" s="10">
        <v>5.0</v>
      </c>
      <c r="AC161" s="11" t="s">
        <v>62</v>
      </c>
      <c r="AD161" s="10" t="s">
        <v>386</v>
      </c>
      <c r="AE161" s="9" t="str">
        <f>IFERROR(__xludf.DUMMYFUNCTION("GOOGLETRANSLATE(AD161,""pt"",""en"")"),"Difficulty with the rest")</f>
        <v>Difficulty with the rest</v>
      </c>
      <c r="AF161" s="10"/>
      <c r="AG161" s="9"/>
      <c r="AH161" s="9" t="s">
        <v>190</v>
      </c>
      <c r="AI161" s="9" t="str">
        <f>IFERROR(__xludf.DUMMYFUNCTION("GOOGLETRANSLATE(AH161,""pt"",""en"")"),"Wrong and spent more time and entrances to AOI")</f>
        <v>Wrong and spent more time and entrances to AOI</v>
      </c>
      <c r="AJ161" s="14" t="s">
        <v>387</v>
      </c>
      <c r="AK161" s="13" t="str">
        <f>IFERROR(__xludf.DUMMYFUNCTION("GOOGLETRANSLATE(AJ161,""pt"",""en"")"),"Difficulty with the rest of the division")</f>
        <v>Difficulty with the rest of the division</v>
      </c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</row>
    <row r="162">
      <c r="A162" s="9">
        <v>176.0</v>
      </c>
      <c r="B162" s="10">
        <v>15.0</v>
      </c>
      <c r="C162" s="10">
        <v>30.0</v>
      </c>
      <c r="D162" s="9">
        <v>2.0</v>
      </c>
      <c r="E162" s="10" t="s">
        <v>115</v>
      </c>
      <c r="F162" s="10">
        <v>2.0</v>
      </c>
      <c r="G162" s="10">
        <v>2.0</v>
      </c>
      <c r="H162" s="10" t="s">
        <v>102</v>
      </c>
      <c r="I162" s="10">
        <v>2.0</v>
      </c>
      <c r="J162" s="10" t="s">
        <v>40</v>
      </c>
      <c r="K162" s="10" t="s">
        <v>85</v>
      </c>
      <c r="L162" s="10">
        <v>41.01</v>
      </c>
      <c r="M162" s="10">
        <v>45.0</v>
      </c>
      <c r="N162" s="10">
        <v>18.4</v>
      </c>
      <c r="O162" s="10">
        <v>19.0</v>
      </c>
      <c r="P162" s="10">
        <v>11.0</v>
      </c>
      <c r="Q162" s="10">
        <v>8.0</v>
      </c>
      <c r="R162" s="10">
        <v>15.29</v>
      </c>
      <c r="S162" s="10">
        <v>19.0</v>
      </c>
      <c r="T162" s="10">
        <v>7.66</v>
      </c>
      <c r="U162" s="10">
        <v>4.0</v>
      </c>
      <c r="V162" s="10">
        <v>4.0</v>
      </c>
      <c r="W162" s="10">
        <v>0.0</v>
      </c>
      <c r="X162" s="10">
        <v>9.0</v>
      </c>
      <c r="Y162" s="10">
        <v>7.0</v>
      </c>
      <c r="Z162" s="10">
        <v>2.0</v>
      </c>
      <c r="AA162" s="10">
        <v>5.0</v>
      </c>
      <c r="AB162" s="10">
        <v>3.0</v>
      </c>
      <c r="AC162" s="11" t="s">
        <v>245</v>
      </c>
      <c r="AD162" s="10" t="s">
        <v>388</v>
      </c>
      <c r="AE162" s="9" t="str">
        <f>IFERROR(__xludf.DUMMYFUNCTION("GOOGLETRANSLATE(AD162,""pt"",""en"")"),"was confused with counting")</f>
        <v>was confused with counting</v>
      </c>
      <c r="AF162" s="10" t="s">
        <v>389</v>
      </c>
      <c r="AG162" s="9" t="str">
        <f>IFERROR(__xludf.DUMMYFUNCTION("GOOGLETRANSLATE(AF162,""pt"",""en"")"),"thought it was 2")</f>
        <v>thought it was 2</v>
      </c>
      <c r="AH162" s="9" t="s">
        <v>117</v>
      </c>
      <c r="AI162" s="9" t="str">
        <f>IFERROR(__xludf.DUMMYFUNCTION("GOOGLETRANSLATE(AH162,""pt"",""en"")"),"Wrong, more time and regressions")</f>
        <v>Wrong, more time and regressions</v>
      </c>
      <c r="AJ162" s="13" t="s">
        <v>390</v>
      </c>
      <c r="AK162" s="13" t="str">
        <f>IFERROR(__xludf.DUMMYFUNCTION("GOOGLETRANSLATE(AJ162,""pt"",""en"")"),"confused value of the variable")</f>
        <v>confused value of the variable</v>
      </c>
      <c r="AL162" s="13" t="s">
        <v>391</v>
      </c>
      <c r="AM162" s="13" t="str">
        <f>IFERROR(__xludf.DUMMYFUNCTION("GOOGLETRANSLATE(AL162,""pt"",""en"")"),"enhancement")</f>
        <v>enhancement</v>
      </c>
      <c r="AN162" s="14" t="s">
        <v>392</v>
      </c>
      <c r="AO162" s="14" t="s">
        <v>393</v>
      </c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</row>
    <row r="163">
      <c r="A163" s="9">
        <v>257.0</v>
      </c>
      <c r="B163" s="10">
        <v>6.0</v>
      </c>
      <c r="C163" s="10">
        <v>11.0</v>
      </c>
      <c r="D163" s="9">
        <v>1.0</v>
      </c>
      <c r="E163" s="10" t="s">
        <v>121</v>
      </c>
      <c r="F163" s="10">
        <v>5.0</v>
      </c>
      <c r="G163" s="10">
        <v>1.0</v>
      </c>
      <c r="H163" s="10" t="s">
        <v>102</v>
      </c>
      <c r="I163" s="10">
        <v>3.0</v>
      </c>
      <c r="J163" s="10" t="s">
        <v>105</v>
      </c>
      <c r="K163" s="10" t="s">
        <v>85</v>
      </c>
      <c r="L163" s="10">
        <v>128.47</v>
      </c>
      <c r="M163" s="10">
        <v>203.0</v>
      </c>
      <c r="N163" s="10">
        <v>78.58</v>
      </c>
      <c r="O163" s="10">
        <v>91.0</v>
      </c>
      <c r="P163" s="10">
        <v>51.0</v>
      </c>
      <c r="Q163" s="10">
        <v>40.0</v>
      </c>
      <c r="R163" s="10">
        <v>50.99</v>
      </c>
      <c r="S163" s="10">
        <v>87.0</v>
      </c>
      <c r="T163" s="10">
        <v>42.32</v>
      </c>
      <c r="U163" s="10">
        <v>30.0</v>
      </c>
      <c r="V163" s="10">
        <v>30.0</v>
      </c>
      <c r="W163" s="10">
        <v>0.0</v>
      </c>
      <c r="X163" s="10">
        <v>19.0</v>
      </c>
      <c r="Y163" s="10">
        <v>7.0</v>
      </c>
      <c r="Z163" s="10">
        <v>12.0</v>
      </c>
      <c r="AA163" s="10">
        <v>8.0</v>
      </c>
      <c r="AB163" s="10">
        <v>11.0</v>
      </c>
      <c r="AC163" s="11" t="s">
        <v>202</v>
      </c>
      <c r="AD163" s="10" t="s">
        <v>394</v>
      </c>
      <c r="AE163" s="9" t="str">
        <f>IFERROR(__xludf.DUMMYFUNCTION("GOOGLETRANSLATE(AD163,""pt"",""en"")"),"dirty")</f>
        <v>dirty</v>
      </c>
      <c r="AF163" s="10"/>
      <c r="AG163" s="9"/>
      <c r="AH163" s="10"/>
      <c r="AI163" s="9"/>
      <c r="AJ163" s="12" t="s">
        <v>394</v>
      </c>
      <c r="AK163" s="14" t="s">
        <v>395</v>
      </c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</row>
    <row r="164">
      <c r="A164" s="9">
        <v>218.0</v>
      </c>
      <c r="B164" s="10">
        <v>3.0</v>
      </c>
      <c r="C164" s="10">
        <v>5.0</v>
      </c>
      <c r="D164" s="9">
        <v>1.0</v>
      </c>
      <c r="E164" s="10" t="s">
        <v>124</v>
      </c>
      <c r="F164" s="10">
        <v>2.0</v>
      </c>
      <c r="G164" s="10">
        <v>1.0</v>
      </c>
      <c r="H164" s="10" t="s">
        <v>102</v>
      </c>
      <c r="I164" s="10">
        <v>2.0</v>
      </c>
      <c r="J164" s="10" t="s">
        <v>40</v>
      </c>
      <c r="K164" s="10" t="s">
        <v>57</v>
      </c>
      <c r="L164" s="10">
        <v>131.91</v>
      </c>
      <c r="M164" s="10">
        <v>232.0</v>
      </c>
      <c r="N164" s="10">
        <v>83.94</v>
      </c>
      <c r="O164" s="10">
        <v>104.0</v>
      </c>
      <c r="P164" s="10">
        <v>67.0</v>
      </c>
      <c r="Q164" s="10">
        <v>37.0</v>
      </c>
      <c r="R164" s="10">
        <v>41.14</v>
      </c>
      <c r="S164" s="10">
        <v>72.0</v>
      </c>
      <c r="T164" s="10">
        <v>26.76</v>
      </c>
      <c r="U164" s="10">
        <v>14.0</v>
      </c>
      <c r="V164" s="10">
        <v>14.0</v>
      </c>
      <c r="W164" s="10">
        <v>0.0</v>
      </c>
      <c r="X164" s="10">
        <v>32.0</v>
      </c>
      <c r="Y164" s="10">
        <v>12.0</v>
      </c>
      <c r="Z164" s="10">
        <v>20.0</v>
      </c>
      <c r="AA164" s="10">
        <v>12.0</v>
      </c>
      <c r="AB164" s="10">
        <v>20.0</v>
      </c>
      <c r="AC164" s="11" t="s">
        <v>249</v>
      </c>
      <c r="AD164" s="10" t="s">
        <v>396</v>
      </c>
      <c r="AE164" s="9" t="str">
        <f>IFERROR(__xludf.DUMMYFUNCTION("GOOGLETRANSLATE(AD164,""pt"",""en"")"),"was confused with the increase")</f>
        <v>was confused with the increase</v>
      </c>
      <c r="AF164" s="10"/>
      <c r="AG164" s="9"/>
      <c r="AH164" s="9" t="s">
        <v>168</v>
      </c>
      <c r="AI164" s="9" t="str">
        <f>IFERROR(__xludf.DUMMYFUNCTION("GOOGLETRANSLATE(AH164,""pt"",""en"")"),"missed, more time, regressions in AOI, and entry")</f>
        <v>missed, more time, regressions in AOI, and entry</v>
      </c>
      <c r="AJ164" s="12" t="s">
        <v>396</v>
      </c>
      <c r="AK164" s="14" t="s">
        <v>397</v>
      </c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</row>
    <row r="165">
      <c r="A165" s="9">
        <v>339.0</v>
      </c>
      <c r="B165" s="10">
        <v>13.0</v>
      </c>
      <c r="C165" s="10">
        <v>25.0</v>
      </c>
      <c r="D165" s="9">
        <v>1.0</v>
      </c>
      <c r="E165" s="10" t="s">
        <v>204</v>
      </c>
      <c r="F165" s="10">
        <v>3.0</v>
      </c>
      <c r="G165" s="10">
        <v>1.0</v>
      </c>
      <c r="H165" s="10" t="s">
        <v>102</v>
      </c>
      <c r="I165" s="10">
        <v>1.0</v>
      </c>
      <c r="J165" s="10" t="s">
        <v>40</v>
      </c>
      <c r="K165" s="10" t="s">
        <v>57</v>
      </c>
      <c r="L165" s="10">
        <v>85.59</v>
      </c>
      <c r="M165" s="10">
        <v>121.0</v>
      </c>
      <c r="N165" s="10">
        <v>32.96</v>
      </c>
      <c r="O165" s="10">
        <v>46.0</v>
      </c>
      <c r="P165" s="10">
        <v>17.0</v>
      </c>
      <c r="Q165" s="10">
        <v>29.0</v>
      </c>
      <c r="R165" s="10">
        <v>32.95</v>
      </c>
      <c r="S165" s="10">
        <v>56.0</v>
      </c>
      <c r="T165" s="10">
        <v>14.61</v>
      </c>
      <c r="U165" s="10">
        <v>14.0</v>
      </c>
      <c r="V165" s="10">
        <v>6.0</v>
      </c>
      <c r="W165" s="10">
        <v>8.0</v>
      </c>
      <c r="X165" s="10">
        <v>18.0</v>
      </c>
      <c r="Y165" s="10">
        <v>16.0</v>
      </c>
      <c r="Z165" s="10">
        <v>2.0</v>
      </c>
      <c r="AA165" s="10">
        <v>15.0</v>
      </c>
      <c r="AB165" s="10">
        <v>2.0</v>
      </c>
      <c r="AC165" s="11" t="s">
        <v>125</v>
      </c>
      <c r="AD165" s="10" t="s">
        <v>398</v>
      </c>
      <c r="AE165" s="9" t="str">
        <f>IFERROR(__xludf.DUMMYFUNCTION("GOOGLETRANSLATE(AD165,""pt"",""en"")"),"Had difficulty with Elem")</f>
        <v>Had difficulty with Elem</v>
      </c>
      <c r="AF165" s="10"/>
      <c r="AG165" s="9"/>
      <c r="AH165" s="9" t="s">
        <v>193</v>
      </c>
      <c r="AI165" s="9" t="str">
        <f>IFERROR(__xludf.DUMMYFUNCTION("GOOGLETRANSLATE(AH165,""pt"",""en"")"),"More time and regressions in AOI")</f>
        <v>More time and regressions in AOI</v>
      </c>
      <c r="AJ165" s="13" t="s">
        <v>399</v>
      </c>
      <c r="AK165" s="13" t="str">
        <f>IFERROR(__xludf.DUMMYFUNCTION("GOOGLETRANSLATE(AJ165,""pt"",""en"")"),"The index of for can confuse")</f>
        <v>The index of for can confuse</v>
      </c>
      <c r="AL165" s="13" t="s">
        <v>400</v>
      </c>
      <c r="AM165" s="13" t="str">
        <f>IFERROR(__xludf.DUMMYFUNCTION("GOOGLETRANSLATE(AL165,""pt"",""en"")"),"loop")</f>
        <v>loop</v>
      </c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</row>
    <row r="166">
      <c r="A166" s="9">
        <v>231.0</v>
      </c>
      <c r="B166" s="10">
        <v>4.0</v>
      </c>
      <c r="C166" s="10">
        <v>7.0</v>
      </c>
      <c r="D166" s="9">
        <v>1.0</v>
      </c>
      <c r="E166" s="10" t="s">
        <v>204</v>
      </c>
      <c r="F166" s="10">
        <v>3.0</v>
      </c>
      <c r="G166" s="10">
        <v>1.0</v>
      </c>
      <c r="H166" s="10" t="s">
        <v>102</v>
      </c>
      <c r="I166" s="10">
        <v>1.0</v>
      </c>
      <c r="J166" s="10" t="s">
        <v>40</v>
      </c>
      <c r="K166" s="10" t="s">
        <v>85</v>
      </c>
      <c r="L166" s="10">
        <v>63.27</v>
      </c>
      <c r="M166" s="10">
        <v>78.0</v>
      </c>
      <c r="N166" s="10">
        <v>26.9</v>
      </c>
      <c r="O166" s="10">
        <v>35.0</v>
      </c>
      <c r="P166" s="10">
        <v>14.0</v>
      </c>
      <c r="Q166" s="10">
        <v>21.0</v>
      </c>
      <c r="R166" s="10">
        <v>31.31</v>
      </c>
      <c r="S166" s="10">
        <v>37.0</v>
      </c>
      <c r="T166" s="10">
        <v>14.08</v>
      </c>
      <c r="U166" s="10">
        <v>12.0</v>
      </c>
      <c r="V166" s="10">
        <v>7.0</v>
      </c>
      <c r="W166" s="10">
        <v>5.0</v>
      </c>
      <c r="X166" s="10">
        <v>12.0</v>
      </c>
      <c r="Y166" s="10">
        <v>11.0</v>
      </c>
      <c r="Z166" s="10">
        <v>1.0</v>
      </c>
      <c r="AA166" s="10">
        <v>10.0</v>
      </c>
      <c r="AB166" s="10">
        <v>1.0</v>
      </c>
      <c r="AC166" s="11" t="s">
        <v>167</v>
      </c>
      <c r="AD166" s="10" t="s">
        <v>293</v>
      </c>
      <c r="AE166" s="9" t="str">
        <f>IFERROR(__xludf.DUMMYFUNCTION("GOOGLETRANSLATE(AD166,""pt"",""en"")"),"was confused with the Elem")</f>
        <v>was confused with the Elem</v>
      </c>
      <c r="AF166" s="10"/>
      <c r="AG166" s="9"/>
      <c r="AH166" s="9" t="s">
        <v>401</v>
      </c>
      <c r="AI166" s="9" t="str">
        <f>IFERROR(__xludf.DUMMYFUNCTION("GOOGLETRANSLATE(AH166,""pt"",""en"")"),"More time and more regressions")</f>
        <v>More time and more regressions</v>
      </c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</row>
    <row r="167">
      <c r="A167" s="9">
        <v>303.0</v>
      </c>
      <c r="B167" s="10">
        <v>10.0</v>
      </c>
      <c r="C167" s="10">
        <v>19.0</v>
      </c>
      <c r="D167" s="9">
        <v>1.0</v>
      </c>
      <c r="E167" s="10" t="s">
        <v>204</v>
      </c>
      <c r="F167" s="10">
        <v>3.0</v>
      </c>
      <c r="G167" s="10">
        <v>1.0</v>
      </c>
      <c r="H167" s="10" t="s">
        <v>102</v>
      </c>
      <c r="I167" s="10">
        <v>1.0</v>
      </c>
      <c r="J167" s="10" t="s">
        <v>40</v>
      </c>
      <c r="K167" s="10" t="s">
        <v>57</v>
      </c>
      <c r="L167" s="10">
        <v>31.89</v>
      </c>
      <c r="M167" s="10">
        <v>26.0</v>
      </c>
      <c r="N167" s="10">
        <v>6.95</v>
      </c>
      <c r="O167" s="10">
        <v>12.0</v>
      </c>
      <c r="P167" s="10">
        <v>2.0</v>
      </c>
      <c r="Q167" s="10">
        <v>10.0</v>
      </c>
      <c r="R167" s="10">
        <v>17.37</v>
      </c>
      <c r="S167" s="10">
        <v>15.0</v>
      </c>
      <c r="T167" s="10">
        <v>4.14</v>
      </c>
      <c r="U167" s="10">
        <v>4.0</v>
      </c>
      <c r="V167" s="10">
        <v>2.0</v>
      </c>
      <c r="W167" s="10">
        <v>2.0</v>
      </c>
      <c r="X167" s="10">
        <v>6.0</v>
      </c>
      <c r="Y167" s="10">
        <v>6.0</v>
      </c>
      <c r="Z167" s="10">
        <v>0.0</v>
      </c>
      <c r="AA167" s="10">
        <v>5.0</v>
      </c>
      <c r="AB167" s="10">
        <v>0.0</v>
      </c>
      <c r="AC167" s="11" t="s">
        <v>181</v>
      </c>
      <c r="AD167" s="10" t="s">
        <v>402</v>
      </c>
      <c r="AE167" s="9" t="str">
        <f>IFERROR(__xludf.DUMMYFUNCTION("GOOGLETRANSLATE(AD167,""pt"",""en"")"),"The person can confuse the Elem")</f>
        <v>The person can confuse the Elem</v>
      </c>
      <c r="AF167" s="10"/>
      <c r="AG167" s="9"/>
      <c r="AH167" s="10"/>
      <c r="AI167" s="9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</row>
    <row r="168">
      <c r="A168" s="9">
        <v>326.0</v>
      </c>
      <c r="B168" s="10">
        <v>12.0</v>
      </c>
      <c r="C168" s="10">
        <v>23.0</v>
      </c>
      <c r="D168" s="9">
        <v>1.0</v>
      </c>
      <c r="E168" s="10" t="s">
        <v>124</v>
      </c>
      <c r="F168" s="10">
        <v>2.0</v>
      </c>
      <c r="G168" s="10">
        <v>1.0</v>
      </c>
      <c r="H168" s="10" t="s">
        <v>102</v>
      </c>
      <c r="I168" s="10">
        <v>1.0</v>
      </c>
      <c r="J168" s="10" t="s">
        <v>40</v>
      </c>
      <c r="K168" s="10" t="s">
        <v>85</v>
      </c>
      <c r="L168" s="10">
        <v>35.07</v>
      </c>
      <c r="M168" s="10">
        <v>56.0</v>
      </c>
      <c r="N168" s="10">
        <v>20.24</v>
      </c>
      <c r="O168" s="10">
        <v>25.0</v>
      </c>
      <c r="P168" s="10">
        <v>13.0</v>
      </c>
      <c r="Q168" s="10">
        <v>12.0</v>
      </c>
      <c r="R168" s="10">
        <v>12.12</v>
      </c>
      <c r="S168" s="10">
        <v>22.0</v>
      </c>
      <c r="T168" s="10">
        <v>9.69</v>
      </c>
      <c r="U168" s="10">
        <v>6.0</v>
      </c>
      <c r="V168" s="10">
        <v>6.0</v>
      </c>
      <c r="W168" s="10">
        <v>0.0</v>
      </c>
      <c r="X168" s="10">
        <v>10.0</v>
      </c>
      <c r="Y168" s="10">
        <v>8.0</v>
      </c>
      <c r="Z168" s="10">
        <v>2.0</v>
      </c>
      <c r="AA168" s="10">
        <v>5.0</v>
      </c>
      <c r="AB168" s="10">
        <v>4.0</v>
      </c>
      <c r="AC168" s="11" t="s">
        <v>158</v>
      </c>
      <c r="AD168" s="10" t="s">
        <v>403</v>
      </c>
      <c r="AE168" s="9" t="str">
        <f>IFERROR(__xludf.DUMMYFUNCTION("GOOGLETRANSLATE(AD168,""pt"",""en"")"),"The IF index can confuse")</f>
        <v>The IF index can confuse</v>
      </c>
      <c r="AF168" s="10"/>
      <c r="AG168" s="9"/>
      <c r="AH168" s="9" t="s">
        <v>185</v>
      </c>
      <c r="AI168" s="9" t="str">
        <f>IFERROR(__xludf.DUMMYFUNCTION("GOOGLETRANSLATE(AH168,""pt"",""en"")"),"more regressions")</f>
        <v>more regressions</v>
      </c>
      <c r="AJ168" s="12" t="s">
        <v>403</v>
      </c>
      <c r="AK168" s="13" t="str">
        <f>IFERROR(__xludf.DUMMYFUNCTION("GOOGLETRANSLATE(AJ168,""pt"",""en"")"),"The IF index can confuse")</f>
        <v>The IF index can confuse</v>
      </c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</row>
    <row r="169">
      <c r="A169" s="9">
        <v>266.0</v>
      </c>
      <c r="B169" s="10">
        <v>7.0</v>
      </c>
      <c r="C169" s="10">
        <v>13.0</v>
      </c>
      <c r="D169" s="9">
        <v>1.0</v>
      </c>
      <c r="E169" s="10" t="s">
        <v>124</v>
      </c>
      <c r="F169" s="10">
        <v>2.0</v>
      </c>
      <c r="G169" s="10">
        <v>1.0</v>
      </c>
      <c r="H169" s="10" t="s">
        <v>102</v>
      </c>
      <c r="I169" s="10">
        <v>2.0</v>
      </c>
      <c r="J169" s="10" t="s">
        <v>40</v>
      </c>
      <c r="K169" s="10" t="s">
        <v>85</v>
      </c>
      <c r="L169" s="10">
        <v>98.26</v>
      </c>
      <c r="M169" s="10">
        <v>184.0</v>
      </c>
      <c r="N169" s="10">
        <v>69.22</v>
      </c>
      <c r="O169" s="10">
        <v>92.0</v>
      </c>
      <c r="P169" s="10">
        <v>52.0</v>
      </c>
      <c r="Q169" s="10">
        <v>40.0</v>
      </c>
      <c r="R169" s="10">
        <v>42.88</v>
      </c>
      <c r="S169" s="10">
        <v>89.0</v>
      </c>
      <c r="T169" s="10">
        <v>36.3</v>
      </c>
      <c r="U169" s="10">
        <v>32.0</v>
      </c>
      <c r="V169" s="10">
        <v>32.0</v>
      </c>
      <c r="W169" s="10">
        <v>0.0</v>
      </c>
      <c r="X169" s="10">
        <v>31.0</v>
      </c>
      <c r="Y169" s="10">
        <v>16.0</v>
      </c>
      <c r="Z169" s="10">
        <v>15.0</v>
      </c>
      <c r="AA169" s="10">
        <v>16.0</v>
      </c>
      <c r="AB169" s="10">
        <v>15.0</v>
      </c>
      <c r="AC169" s="11" t="s">
        <v>109</v>
      </c>
      <c r="AD169" s="10" t="s">
        <v>404</v>
      </c>
      <c r="AE169" s="9" t="str">
        <f>IFERROR(__xludf.DUMMYFUNCTION("GOOGLETRANSLATE(AD169,""pt"",""en"")"),"I confused")</f>
        <v>I confused</v>
      </c>
      <c r="AF169" s="10"/>
      <c r="AG169" s="9"/>
      <c r="AH169" s="9" t="s">
        <v>405</v>
      </c>
      <c r="AI169" s="9" t="str">
        <f>IFERROR(__xludf.DUMMYFUNCTION("GOOGLETRANSLATE(AH169,""pt"",""en"")"),"Wrong and had more regressions")</f>
        <v>Wrong and had more regressions</v>
      </c>
      <c r="AJ169" s="13" t="s">
        <v>406</v>
      </c>
      <c r="AK169" s="13" t="str">
        <f>IFERROR(__xludf.DUMMYFUNCTION("GOOGLETRANSLATE(AJ169,""pt"",""en"")"),"was confused with repetition")</f>
        <v>was confused with repetition</v>
      </c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</row>
    <row r="170">
      <c r="A170" s="20">
        <v>203.0</v>
      </c>
      <c r="B170" s="21">
        <v>1.0</v>
      </c>
      <c r="C170" s="21">
        <v>1.0</v>
      </c>
      <c r="D170" s="20">
        <v>2.0</v>
      </c>
      <c r="E170" s="22" t="s">
        <v>129</v>
      </c>
      <c r="F170" s="21">
        <v>5.0</v>
      </c>
      <c r="G170" s="21">
        <v>2.0</v>
      </c>
      <c r="H170" s="22" t="s">
        <v>39</v>
      </c>
      <c r="I170" s="21">
        <v>2.0</v>
      </c>
      <c r="J170" s="22" t="s">
        <v>105</v>
      </c>
      <c r="K170" s="22" t="s">
        <v>85</v>
      </c>
      <c r="L170" s="21">
        <v>72.61</v>
      </c>
      <c r="M170" s="21">
        <v>111.0</v>
      </c>
      <c r="N170" s="21">
        <v>37.84</v>
      </c>
      <c r="O170" s="21">
        <v>54.0</v>
      </c>
      <c r="P170" s="21">
        <v>28.0</v>
      </c>
      <c r="Q170" s="21">
        <v>26.0</v>
      </c>
      <c r="R170" s="21">
        <v>26.83</v>
      </c>
      <c r="S170" s="21">
        <v>44.0</v>
      </c>
      <c r="T170" s="21">
        <v>16.87</v>
      </c>
      <c r="U170" s="21">
        <v>14.0</v>
      </c>
      <c r="V170" s="21">
        <v>14.0</v>
      </c>
      <c r="W170" s="21">
        <v>0.0</v>
      </c>
      <c r="X170" s="21">
        <v>18.0</v>
      </c>
      <c r="Y170" s="21">
        <v>11.0</v>
      </c>
      <c r="Z170" s="21">
        <v>7.0</v>
      </c>
      <c r="AA170" s="21">
        <v>12.0</v>
      </c>
      <c r="AB170" s="21">
        <v>6.0</v>
      </c>
      <c r="AC170" s="23" t="s">
        <v>51</v>
      </c>
      <c r="AD170" s="22" t="s">
        <v>191</v>
      </c>
      <c r="AE170" s="9" t="str">
        <f>IFERROR(__xludf.DUMMYFUNCTION("GOOGLETRANSLATE(AD170,""pt"",""en"")"),"IF")</f>
        <v>IF</v>
      </c>
      <c r="AF170" s="22" t="s">
        <v>407</v>
      </c>
      <c r="AG170" s="9" t="str">
        <f>IFERROR(__xludf.DUMMYFUNCTION("GOOGLETRANSLATE(AF170,""pt"",""en"")"),"I had difficulty with Elem")</f>
        <v>I had difficulty with Elem</v>
      </c>
      <c r="AH170" s="24" t="s">
        <v>104</v>
      </c>
      <c r="AI170" s="9" t="str">
        <f>IFERROR(__xludf.DUMMYFUNCTION("GOOGLETRANSLATE(AH170,""pt"",""en"")"),"made a mistake, spent more time and more regressions")</f>
        <v>made a mistake, spent more time and more regressions</v>
      </c>
      <c r="AJ170" s="25" t="s">
        <v>408</v>
      </c>
      <c r="AK170" s="13" t="str">
        <f>IFERROR(__xludf.DUMMYFUNCTION("GOOGLETRANSLATE(AJ170,""pt"",""en"")"),"Difficulty with Elem")</f>
        <v>Difficulty with Elem</v>
      </c>
      <c r="AL170" s="13" t="s">
        <v>409</v>
      </c>
      <c r="AM170" s="13" t="str">
        <f>IFERROR(__xludf.DUMMYFUNCTION("GOOGLETRANSLATE(AL170,""pt"",""en"")"),"iterator")</f>
        <v>iterator</v>
      </c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</row>
    <row r="171">
      <c r="A171" s="9">
        <v>69.0</v>
      </c>
      <c r="B171" s="10">
        <v>6.0</v>
      </c>
      <c r="C171" s="10">
        <v>12.0</v>
      </c>
      <c r="D171" s="9">
        <v>2.0</v>
      </c>
      <c r="E171" s="10" t="s">
        <v>101</v>
      </c>
      <c r="F171" s="10">
        <v>3.0</v>
      </c>
      <c r="G171" s="10">
        <v>2.0</v>
      </c>
      <c r="H171" s="10" t="s">
        <v>102</v>
      </c>
      <c r="I171" s="10">
        <v>1.0</v>
      </c>
      <c r="J171" s="10" t="s">
        <v>40</v>
      </c>
      <c r="K171" s="10" t="s">
        <v>41</v>
      </c>
      <c r="L171" s="10">
        <v>50.62</v>
      </c>
      <c r="M171" s="10">
        <v>67.0</v>
      </c>
      <c r="N171" s="10">
        <v>19.41</v>
      </c>
      <c r="O171" s="10">
        <v>25.0</v>
      </c>
      <c r="P171" s="10">
        <v>10.0</v>
      </c>
      <c r="Q171" s="10">
        <v>15.0</v>
      </c>
      <c r="R171" s="10">
        <v>22.99</v>
      </c>
      <c r="S171" s="10">
        <v>26.0</v>
      </c>
      <c r="T171" s="10">
        <v>8.08</v>
      </c>
      <c r="U171" s="10">
        <v>6.0</v>
      </c>
      <c r="V171" s="10">
        <v>3.0</v>
      </c>
      <c r="W171" s="10">
        <v>3.0</v>
      </c>
      <c r="X171" s="10">
        <v>7.0</v>
      </c>
      <c r="Y171" s="10">
        <v>5.0</v>
      </c>
      <c r="Z171" s="10">
        <v>2.0</v>
      </c>
      <c r="AA171" s="10">
        <v>2.0</v>
      </c>
      <c r="AB171" s="10">
        <v>5.0</v>
      </c>
      <c r="AC171" s="11" t="s">
        <v>194</v>
      </c>
      <c r="AD171" s="10"/>
      <c r="AE171" s="9" t="str">
        <f>IFERROR(__xludf.DUMMYFUNCTION("GOOGLETRANSLATE(AD171,""pt"",""en"")"),"#VALUE!")</f>
        <v>#VALUE!</v>
      </c>
      <c r="AF171" s="10" t="s">
        <v>410</v>
      </c>
      <c r="AG171" s="9" t="str">
        <f>IFERROR(__xludf.DUMMYFUNCTION("GOOGLETRANSLATE(AF171,""pt"",""en"")"),"See how many times the loop repeated and rode the If and Else")</f>
        <v>See how many times the loop repeated and rode the If and Else</v>
      </c>
      <c r="AH171" s="10"/>
      <c r="AI171" s="9"/>
      <c r="AJ171" s="13" t="s">
        <v>411</v>
      </c>
      <c r="AK171" s="13" t="str">
        <f>IFERROR(__xludf.DUMMYFUNCTION("GOOGLETRANSLATE(AJ171,""pt"",""en"")"),"easy to follow increment")</f>
        <v>easy to follow increment</v>
      </c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</row>
    <row r="172">
      <c r="A172" s="9">
        <v>348.0</v>
      </c>
      <c r="B172" s="10">
        <v>13.0</v>
      </c>
      <c r="C172" s="10">
        <v>25.0</v>
      </c>
      <c r="D172" s="9">
        <v>2.0</v>
      </c>
      <c r="E172" s="10" t="s">
        <v>157</v>
      </c>
      <c r="F172" s="10">
        <v>6.0</v>
      </c>
      <c r="G172" s="10">
        <v>2.0</v>
      </c>
      <c r="H172" s="10" t="s">
        <v>39</v>
      </c>
      <c r="I172" s="10">
        <v>1.0</v>
      </c>
      <c r="J172" s="10" t="s">
        <v>40</v>
      </c>
      <c r="K172" s="10" t="s">
        <v>85</v>
      </c>
      <c r="L172" s="10">
        <v>96.43</v>
      </c>
      <c r="M172" s="10">
        <v>175.0</v>
      </c>
      <c r="N172" s="10">
        <v>59.57</v>
      </c>
      <c r="O172" s="10">
        <v>83.0</v>
      </c>
      <c r="P172" s="10">
        <v>53.0</v>
      </c>
      <c r="Q172" s="10">
        <v>30.0</v>
      </c>
      <c r="R172" s="10">
        <v>33.45</v>
      </c>
      <c r="S172" s="10">
        <v>67.0</v>
      </c>
      <c r="T172" s="10">
        <v>24.9</v>
      </c>
      <c r="U172" s="10">
        <v>24.0</v>
      </c>
      <c r="V172" s="10">
        <v>24.0</v>
      </c>
      <c r="W172" s="10">
        <v>0.0</v>
      </c>
      <c r="X172" s="10">
        <v>19.0</v>
      </c>
      <c r="Y172" s="10">
        <v>17.0</v>
      </c>
      <c r="Z172" s="10">
        <v>2.0</v>
      </c>
      <c r="AA172" s="10">
        <v>17.0</v>
      </c>
      <c r="AB172" s="10">
        <v>1.0</v>
      </c>
      <c r="AC172" s="11" t="s">
        <v>125</v>
      </c>
      <c r="AD172" s="10" t="s">
        <v>318</v>
      </c>
      <c r="AE172" s="9" t="str">
        <f>IFERROR(__xludf.DUMMYFUNCTION("GOOGLETRANSLATE(AD172,""pt"",""en"")"),"For and Elem Difficult")</f>
        <v>For and Elem Difficult</v>
      </c>
      <c r="AF172" s="10"/>
      <c r="AG172" s="9"/>
      <c r="AH172" s="9" t="s">
        <v>308</v>
      </c>
      <c r="AI172" s="9" t="str">
        <f>IFERROR(__xludf.DUMMYFUNCTION("GOOGLETRANSLATE(AH172,""pt"",""en"")"),"spent more time on AOI and regressed more often")</f>
        <v>spent more time on AOI and regressed more often</v>
      </c>
      <c r="AJ172" s="12" t="s">
        <v>318</v>
      </c>
      <c r="AK172" s="13" t="str">
        <f>IFERROR(__xludf.DUMMYFUNCTION("GOOGLETRANSLATE(AJ172,""pt"",""en"")"),"For and Elem Difficult")</f>
        <v>For and Elem Difficult</v>
      </c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</row>
    <row r="173">
      <c r="A173" s="9">
        <v>341.0</v>
      </c>
      <c r="B173" s="10">
        <v>13.0</v>
      </c>
      <c r="C173" s="10">
        <v>25.0</v>
      </c>
      <c r="D173" s="9">
        <v>1.0</v>
      </c>
      <c r="E173" s="10" t="s">
        <v>121</v>
      </c>
      <c r="F173" s="10">
        <v>5.0</v>
      </c>
      <c r="G173" s="10">
        <v>1.0</v>
      </c>
      <c r="H173" s="10" t="s">
        <v>102</v>
      </c>
      <c r="I173" s="10">
        <v>1.0</v>
      </c>
      <c r="J173" s="10" t="s">
        <v>105</v>
      </c>
      <c r="K173" s="10" t="s">
        <v>140</v>
      </c>
      <c r="L173" s="10">
        <v>155.1</v>
      </c>
      <c r="M173" s="10">
        <v>238.0</v>
      </c>
      <c r="N173" s="10">
        <v>81.12</v>
      </c>
      <c r="O173" s="10">
        <v>93.0</v>
      </c>
      <c r="P173" s="10">
        <v>51.0</v>
      </c>
      <c r="Q173" s="10">
        <v>42.0</v>
      </c>
      <c r="R173" s="10">
        <v>39.53</v>
      </c>
      <c r="S173" s="10">
        <v>66.0</v>
      </c>
      <c r="T173" s="10">
        <v>23.57</v>
      </c>
      <c r="U173" s="10">
        <v>14.0</v>
      </c>
      <c r="V173" s="10">
        <v>14.0</v>
      </c>
      <c r="W173" s="10">
        <v>0.0</v>
      </c>
      <c r="X173" s="10">
        <v>20.0</v>
      </c>
      <c r="Y173" s="10">
        <v>8.0</v>
      </c>
      <c r="Z173" s="10">
        <v>12.0</v>
      </c>
      <c r="AA173" s="10">
        <v>7.0</v>
      </c>
      <c r="AB173" s="10">
        <v>13.0</v>
      </c>
      <c r="AC173" s="11" t="s">
        <v>125</v>
      </c>
      <c r="AD173" s="10" t="s">
        <v>412</v>
      </c>
      <c r="AE173" s="9" t="str">
        <f>IFERROR(__xludf.DUMMYFUNCTION("GOOGLETRANSLATE(AD173,""pt"",""en"")"),"Accountant of While Difficult")</f>
        <v>Accountant of While Difficult</v>
      </c>
      <c r="AF173" s="10"/>
      <c r="AG173" s="9"/>
      <c r="AH173" s="9" t="s">
        <v>104</v>
      </c>
      <c r="AI173" s="9" t="str">
        <f>IFERROR(__xludf.DUMMYFUNCTION("GOOGLETRANSLATE(AH173,""pt"",""en"")"),"made a mistake, spent more time and more regressions")</f>
        <v>made a mistake, spent more time and more regressions</v>
      </c>
      <c r="AJ173" s="13" t="s">
        <v>413</v>
      </c>
      <c r="AK173" s="14" t="s">
        <v>414</v>
      </c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</row>
    <row r="174">
      <c r="A174" s="9">
        <v>158.0</v>
      </c>
      <c r="B174" s="10">
        <v>14.0</v>
      </c>
      <c r="C174" s="10">
        <v>28.0</v>
      </c>
      <c r="D174" s="9">
        <v>1.0</v>
      </c>
      <c r="E174" s="10" t="s">
        <v>139</v>
      </c>
      <c r="F174" s="10">
        <v>2.0</v>
      </c>
      <c r="G174" s="10">
        <v>1.0</v>
      </c>
      <c r="H174" s="10" t="s">
        <v>39</v>
      </c>
      <c r="I174" s="10">
        <v>1.0</v>
      </c>
      <c r="J174" s="10" t="s">
        <v>105</v>
      </c>
      <c r="K174" s="10" t="s">
        <v>57</v>
      </c>
      <c r="L174" s="10">
        <v>58.17</v>
      </c>
      <c r="M174" s="10">
        <v>81.0</v>
      </c>
      <c r="N174" s="10">
        <v>28.71</v>
      </c>
      <c r="O174" s="10">
        <v>41.0</v>
      </c>
      <c r="P174" s="10">
        <v>24.0</v>
      </c>
      <c r="Q174" s="10">
        <v>17.0</v>
      </c>
      <c r="R174" s="10">
        <v>21.53</v>
      </c>
      <c r="S174" s="10">
        <v>38.0</v>
      </c>
      <c r="T174" s="10">
        <v>14.94</v>
      </c>
      <c r="U174" s="10">
        <v>13.0</v>
      </c>
      <c r="V174" s="10">
        <v>13.0</v>
      </c>
      <c r="W174" s="10">
        <v>0.0</v>
      </c>
      <c r="X174" s="10">
        <v>15.0</v>
      </c>
      <c r="Y174" s="10">
        <v>4.0</v>
      </c>
      <c r="Z174" s="10">
        <v>11.0</v>
      </c>
      <c r="AA174" s="10">
        <v>3.0</v>
      </c>
      <c r="AB174" s="10">
        <v>12.0</v>
      </c>
      <c r="AC174" s="11" t="s">
        <v>72</v>
      </c>
      <c r="AD174" s="10" t="s">
        <v>415</v>
      </c>
      <c r="AE174" s="9" t="str">
        <f>IFERROR(__xludf.DUMMYFUNCTION("GOOGLETRANSLATE(AD174,""pt"",""en"")"),"hindered on the iterator")</f>
        <v>hindered on the iterator</v>
      </c>
      <c r="AF174" s="10"/>
      <c r="AG174" s="9"/>
      <c r="AH174" s="10"/>
      <c r="AI174" s="9"/>
      <c r="AJ174" s="12" t="s">
        <v>415</v>
      </c>
      <c r="AK174" s="13" t="str">
        <f>IFERROR(__xludf.DUMMYFUNCTION("GOOGLETRANSLATE(AJ174,""pt"",""en"")"),"hindered on the iterator")</f>
        <v>hindered on the iterator</v>
      </c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</row>
    <row r="175">
      <c r="A175" s="9">
        <v>290.0</v>
      </c>
      <c r="B175" s="10">
        <v>9.0</v>
      </c>
      <c r="C175" s="10">
        <v>17.0</v>
      </c>
      <c r="D175" s="9">
        <v>1.0</v>
      </c>
      <c r="E175" s="10" t="s">
        <v>124</v>
      </c>
      <c r="F175" s="10">
        <v>2.0</v>
      </c>
      <c r="G175" s="10">
        <v>1.0</v>
      </c>
      <c r="H175" s="10" t="s">
        <v>102</v>
      </c>
      <c r="I175" s="10">
        <v>2.0</v>
      </c>
      <c r="J175" s="10" t="s">
        <v>105</v>
      </c>
      <c r="K175" s="10" t="s">
        <v>50</v>
      </c>
      <c r="L175" s="10">
        <v>98.39</v>
      </c>
      <c r="M175" s="10">
        <v>118.0</v>
      </c>
      <c r="N175" s="10">
        <v>60.53</v>
      </c>
      <c r="O175" s="10">
        <v>53.0</v>
      </c>
      <c r="P175" s="10">
        <v>23.0</v>
      </c>
      <c r="Q175" s="10">
        <v>30.0</v>
      </c>
      <c r="R175" s="10">
        <v>30.9</v>
      </c>
      <c r="S175" s="10">
        <v>44.0</v>
      </c>
      <c r="T175" s="10">
        <v>25.12</v>
      </c>
      <c r="U175" s="10">
        <v>11.0</v>
      </c>
      <c r="V175" s="10">
        <v>11.0</v>
      </c>
      <c r="W175" s="10">
        <v>0.0</v>
      </c>
      <c r="X175" s="10">
        <v>23.0</v>
      </c>
      <c r="Y175" s="10">
        <v>14.0</v>
      </c>
      <c r="Z175" s="10">
        <v>9.0</v>
      </c>
      <c r="AA175" s="10">
        <v>10.0</v>
      </c>
      <c r="AB175" s="10">
        <v>13.0</v>
      </c>
      <c r="AC175" s="11" t="s">
        <v>54</v>
      </c>
      <c r="AD175" s="10" t="s">
        <v>416</v>
      </c>
      <c r="AE175" s="9" t="str">
        <f>IFERROR(__xludf.DUMMYFUNCTION("GOOGLETRANSLATE(AD175,""pt"",""en"")"),"was confused in repetitions")</f>
        <v>was confused in repetitions</v>
      </c>
      <c r="AF175" s="10"/>
      <c r="AG175" s="9"/>
      <c r="AH175" s="9" t="s">
        <v>104</v>
      </c>
      <c r="AI175" s="9" t="str">
        <f>IFERROR(__xludf.DUMMYFUNCTION("GOOGLETRANSLATE(AH175,""pt"",""en"")"),"made a mistake, spent more time and more regressions")</f>
        <v>made a mistake, spent more time and more regressions</v>
      </c>
      <c r="AJ175" s="13" t="s">
        <v>416</v>
      </c>
      <c r="AK175" s="13" t="str">
        <f>IFERROR(__xludf.DUMMYFUNCTION("GOOGLETRANSLATE(AJ175,""pt"",""en"")"),"was confused in repetitions")</f>
        <v>was confused in repetitions</v>
      </c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</row>
    <row r="176">
      <c r="A176" s="9">
        <v>195.0</v>
      </c>
      <c r="B176" s="10">
        <v>1.0</v>
      </c>
      <c r="C176" s="10">
        <v>1.0</v>
      </c>
      <c r="D176" s="9">
        <v>1.0</v>
      </c>
      <c r="E176" s="10" t="s">
        <v>204</v>
      </c>
      <c r="F176" s="10">
        <v>3.0</v>
      </c>
      <c r="G176" s="10">
        <v>1.0</v>
      </c>
      <c r="H176" s="10" t="s">
        <v>102</v>
      </c>
      <c r="I176" s="10">
        <v>2.0</v>
      </c>
      <c r="J176" s="10" t="s">
        <v>40</v>
      </c>
      <c r="K176" s="10" t="s">
        <v>57</v>
      </c>
      <c r="L176" s="10">
        <v>159.26</v>
      </c>
      <c r="M176" s="10">
        <v>248.0</v>
      </c>
      <c r="N176" s="10">
        <v>74.45</v>
      </c>
      <c r="O176" s="10">
        <v>104.0</v>
      </c>
      <c r="P176" s="10">
        <v>46.0</v>
      </c>
      <c r="Q176" s="10">
        <v>58.0</v>
      </c>
      <c r="R176" s="10">
        <v>90.44</v>
      </c>
      <c r="S176" s="10">
        <v>135.0</v>
      </c>
      <c r="T176" s="10">
        <v>41.99</v>
      </c>
      <c r="U176" s="10">
        <v>43.0</v>
      </c>
      <c r="V176" s="10">
        <v>24.0</v>
      </c>
      <c r="W176" s="10">
        <v>19.0</v>
      </c>
      <c r="X176" s="10">
        <v>32.0</v>
      </c>
      <c r="Y176" s="10">
        <v>30.0</v>
      </c>
      <c r="Z176" s="10">
        <v>2.0</v>
      </c>
      <c r="AA176" s="10">
        <v>30.0</v>
      </c>
      <c r="AB176" s="10">
        <v>1.0</v>
      </c>
      <c r="AC176" s="11" t="s">
        <v>51</v>
      </c>
      <c r="AD176" s="10" t="s">
        <v>315</v>
      </c>
      <c r="AE176" s="9" t="str">
        <f>IFERROR(__xludf.DUMMYFUNCTION("GOOGLETRANSLATE(AD176,""pt"",""en"")"),"either")</f>
        <v>either</v>
      </c>
      <c r="AF176" s="10" t="s">
        <v>417</v>
      </c>
      <c r="AG176" s="9" t="str">
        <f>IFERROR(__xludf.DUMMYFUNCTION("GOOGLETRANSLATE(AF176,""pt"",""en"")"),"If you lost")</f>
        <v>If you lost</v>
      </c>
      <c r="AH176" s="9" t="s">
        <v>232</v>
      </c>
      <c r="AI176" s="9" t="str">
        <f>IFERROR(__xludf.DUMMYFUNCTION("GOOGLETRANSLATE(AH176,""pt"",""en"")"),"Wrong, more time in AOI and more regressions")</f>
        <v>Wrong, more time in AOI and more regressions</v>
      </c>
      <c r="AJ176" s="12" t="s">
        <v>417</v>
      </c>
      <c r="AK176" s="14" t="s">
        <v>418</v>
      </c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</row>
    <row r="177">
      <c r="A177" s="9">
        <v>132.0</v>
      </c>
      <c r="B177" s="10">
        <v>11.0</v>
      </c>
      <c r="C177" s="10">
        <v>22.0</v>
      </c>
      <c r="D177" s="9">
        <v>2.0</v>
      </c>
      <c r="E177" s="10" t="s">
        <v>303</v>
      </c>
      <c r="F177" s="10">
        <v>6.0</v>
      </c>
      <c r="G177" s="10">
        <v>2.0</v>
      </c>
      <c r="H177" s="10" t="s">
        <v>102</v>
      </c>
      <c r="I177" s="10">
        <v>2.0</v>
      </c>
      <c r="J177" s="10" t="s">
        <v>40</v>
      </c>
      <c r="K177" s="10" t="s">
        <v>57</v>
      </c>
      <c r="L177" s="10">
        <v>23.39</v>
      </c>
      <c r="M177" s="10">
        <v>23.0</v>
      </c>
      <c r="N177" s="10">
        <v>8.57</v>
      </c>
      <c r="O177" s="10">
        <v>10.0</v>
      </c>
      <c r="P177" s="10">
        <v>4.0</v>
      </c>
      <c r="Q177" s="10">
        <v>6.0</v>
      </c>
      <c r="R177" s="10">
        <v>3.38</v>
      </c>
      <c r="S177" s="10">
        <v>4.0</v>
      </c>
      <c r="T177" s="10">
        <v>1.33</v>
      </c>
      <c r="U177" s="10">
        <v>1.0</v>
      </c>
      <c r="V177" s="10">
        <v>1.0</v>
      </c>
      <c r="W177" s="10">
        <v>0.0</v>
      </c>
      <c r="X177" s="10">
        <v>3.0</v>
      </c>
      <c r="Y177" s="10">
        <v>3.0</v>
      </c>
      <c r="Z177" s="10">
        <v>0.0</v>
      </c>
      <c r="AA177" s="10">
        <v>3.0</v>
      </c>
      <c r="AB177" s="10">
        <v>0.0</v>
      </c>
      <c r="AC177" s="11" t="s">
        <v>86</v>
      </c>
      <c r="AD177" s="10" t="s">
        <v>419</v>
      </c>
      <c r="AE177" s="9" t="str">
        <f>IFERROR(__xludf.DUMMYFUNCTION("GOOGLETRANSLATE(AD177,""pt"",""en"")"),"was lost in the values ​​of Elem")</f>
        <v>was lost in the values ​​of Elem</v>
      </c>
      <c r="AF177" s="10"/>
      <c r="AG177" s="9"/>
      <c r="AH177" s="9" t="s">
        <v>162</v>
      </c>
      <c r="AI177" s="9" t="str">
        <f>IFERROR(__xludf.DUMMYFUNCTION("GOOGLETRANSLATE(AH177,""pt"",""en"")"),"mislead")</f>
        <v>mislead</v>
      </c>
      <c r="AJ177" s="14" t="s">
        <v>420</v>
      </c>
      <c r="AK177" s="13" t="str">
        <f>IFERROR(__xludf.DUMMYFUNCTION("GOOGLETRANSLATE(AJ177,""pt"",""en"")"),"got lost in the iterator")</f>
        <v>got lost in the iterator</v>
      </c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</row>
    <row r="178">
      <c r="A178" s="9">
        <v>217.0</v>
      </c>
      <c r="B178" s="10">
        <v>3.0</v>
      </c>
      <c r="C178" s="10">
        <v>5.0</v>
      </c>
      <c r="D178" s="9">
        <v>1.0</v>
      </c>
      <c r="E178" s="10" t="s">
        <v>367</v>
      </c>
      <c r="F178" s="10">
        <v>1.0</v>
      </c>
      <c r="G178" s="10">
        <v>1.0</v>
      </c>
      <c r="H178" s="10" t="s">
        <v>102</v>
      </c>
      <c r="I178" s="10">
        <v>1.0</v>
      </c>
      <c r="J178" s="10" t="s">
        <v>40</v>
      </c>
      <c r="K178" s="10" t="s">
        <v>57</v>
      </c>
      <c r="L178" s="10">
        <v>49.51</v>
      </c>
      <c r="M178" s="10">
        <v>76.0</v>
      </c>
      <c r="N178" s="10">
        <v>22.43</v>
      </c>
      <c r="O178" s="10">
        <v>32.0</v>
      </c>
      <c r="P178" s="10">
        <v>18.0</v>
      </c>
      <c r="Q178" s="10">
        <v>14.0</v>
      </c>
      <c r="R178" s="10">
        <v>12.35</v>
      </c>
      <c r="S178" s="10">
        <v>18.0</v>
      </c>
      <c r="T178" s="10">
        <v>5.96</v>
      </c>
      <c r="U178" s="10">
        <v>7.0</v>
      </c>
      <c r="V178" s="10">
        <v>6.0</v>
      </c>
      <c r="W178" s="10">
        <v>1.0</v>
      </c>
      <c r="X178" s="10">
        <v>3.0</v>
      </c>
      <c r="Y178" s="10">
        <v>0.0</v>
      </c>
      <c r="Z178" s="10">
        <v>3.0</v>
      </c>
      <c r="AA178" s="10">
        <v>0.0</v>
      </c>
      <c r="AB178" s="10">
        <v>4.0</v>
      </c>
      <c r="AC178" s="11" t="s">
        <v>249</v>
      </c>
      <c r="AD178" s="9" t="s">
        <v>421</v>
      </c>
      <c r="AE178" s="9" t="str">
        <f>IFERROR(__xludf.DUMMYFUNCTION("GOOGLETRANSLATE(AD178,""pt"",""en"")"),"Memorizing the variables is complicated")</f>
        <v>Memorizing the variables is complicated</v>
      </c>
      <c r="AF178" s="10"/>
      <c r="AG178" s="9"/>
      <c r="AH178" s="9" t="s">
        <v>422</v>
      </c>
      <c r="AI178" s="9" t="str">
        <f>IFERROR(__xludf.DUMMYFUNCTION("GOOGLETRANSLATE(AH178,""pt"",""en"")"),"made more regressions in AOI")</f>
        <v>made more regressions in AOI</v>
      </c>
      <c r="AJ178" s="13" t="s">
        <v>423</v>
      </c>
      <c r="AK178" s="13" t="str">
        <f>IFERROR(__xludf.DUMMYFUNCTION("GOOGLETRANSLATE(AJ178,""pt"",""en"")"),"found memorizing difficult variables")</f>
        <v>found memorizing difficult variables</v>
      </c>
      <c r="AL178" s="14" t="s">
        <v>424</v>
      </c>
      <c r="AM178" s="13" t="str">
        <f>IFERROR(__xludf.DUMMYFUNCTION("GOOGLETRANSLATE(AL178,""pt"",""en"")"),"Memorization of Values")</f>
        <v>Memorization of Values</v>
      </c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</row>
    <row r="179">
      <c r="A179" s="9">
        <v>210.0</v>
      </c>
      <c r="B179" s="10">
        <v>2.0</v>
      </c>
      <c r="C179" s="10">
        <v>3.0</v>
      </c>
      <c r="D179" s="9">
        <v>1.0</v>
      </c>
      <c r="E179" s="10" t="s">
        <v>291</v>
      </c>
      <c r="F179" s="10">
        <v>6.0</v>
      </c>
      <c r="G179" s="10">
        <v>1.0</v>
      </c>
      <c r="H179" s="10" t="s">
        <v>102</v>
      </c>
      <c r="I179" s="10">
        <v>2.0</v>
      </c>
      <c r="J179" s="10" t="s">
        <v>40</v>
      </c>
      <c r="K179" s="10" t="s">
        <v>50</v>
      </c>
      <c r="L179" s="10">
        <v>75.24</v>
      </c>
      <c r="M179" s="10">
        <v>125.0</v>
      </c>
      <c r="N179" s="10">
        <v>40.88</v>
      </c>
      <c r="O179" s="10">
        <v>49.0</v>
      </c>
      <c r="P179" s="10">
        <v>14.0</v>
      </c>
      <c r="Q179" s="10">
        <v>35.0</v>
      </c>
      <c r="R179" s="10">
        <v>10.32</v>
      </c>
      <c r="S179" s="10">
        <v>20.0</v>
      </c>
      <c r="T179" s="10">
        <v>7.22</v>
      </c>
      <c r="U179" s="10">
        <v>0.0</v>
      </c>
      <c r="V179" s="10">
        <v>0.0</v>
      </c>
      <c r="W179" s="10">
        <v>0.0</v>
      </c>
      <c r="X179" s="10">
        <v>16.0</v>
      </c>
      <c r="Y179" s="10">
        <v>14.0</v>
      </c>
      <c r="Z179" s="10">
        <v>2.0</v>
      </c>
      <c r="AA179" s="10">
        <v>15.0</v>
      </c>
      <c r="AB179" s="10">
        <v>1.0</v>
      </c>
      <c r="AC179" s="11" t="s">
        <v>97</v>
      </c>
      <c r="AD179" s="10" t="s">
        <v>425</v>
      </c>
      <c r="AE179" s="9" t="str">
        <f>IFERROR(__xludf.DUMMYFUNCTION("GOOGLETRANSLATE(AD179,""pt"",""en"")"),"confused the values")</f>
        <v>confused the values</v>
      </c>
      <c r="AF179" s="10"/>
      <c r="AG179" s="9"/>
      <c r="AH179" s="9" t="s">
        <v>426</v>
      </c>
      <c r="AI179" s="9" t="str">
        <f>IFERROR(__xludf.DUMMYFUNCTION("GOOGLETRANSLATE(AH179,""pt"",""en"")"),"Wrong, entered more often in AOI")</f>
        <v>Wrong, entered more often in AOI</v>
      </c>
      <c r="AJ179" s="13" t="s">
        <v>427</v>
      </c>
      <c r="AK179" s="13" t="str">
        <f>IFERROR(__xludf.DUMMYFUNCTION("GOOGLETRANSLATE(AJ179,""pt"",""en"")"),"confused values")</f>
        <v>confused values</v>
      </c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</row>
    <row r="180">
      <c r="A180" s="9">
        <v>276.0</v>
      </c>
      <c r="B180" s="10">
        <v>7.0</v>
      </c>
      <c r="C180" s="10">
        <v>13.0</v>
      </c>
      <c r="D180" s="9">
        <v>2.0</v>
      </c>
      <c r="E180" s="10" t="s">
        <v>157</v>
      </c>
      <c r="F180" s="10">
        <v>6.0</v>
      </c>
      <c r="G180" s="10">
        <v>2.0</v>
      </c>
      <c r="H180" s="10" t="s">
        <v>39</v>
      </c>
      <c r="I180" s="10">
        <v>1.0</v>
      </c>
      <c r="J180" s="10" t="s">
        <v>40</v>
      </c>
      <c r="K180" s="10" t="s">
        <v>57</v>
      </c>
      <c r="L180" s="10">
        <v>68.38</v>
      </c>
      <c r="M180" s="10">
        <v>126.0</v>
      </c>
      <c r="N180" s="10">
        <v>47.66</v>
      </c>
      <c r="O180" s="10">
        <v>59.0</v>
      </c>
      <c r="P180" s="10">
        <v>44.0</v>
      </c>
      <c r="Q180" s="10">
        <v>15.0</v>
      </c>
      <c r="R180" s="10">
        <v>12.24</v>
      </c>
      <c r="S180" s="10">
        <v>22.0</v>
      </c>
      <c r="T180" s="10">
        <v>9.33</v>
      </c>
      <c r="U180" s="10">
        <v>5.0</v>
      </c>
      <c r="V180" s="10">
        <v>5.0</v>
      </c>
      <c r="W180" s="10">
        <v>0.0</v>
      </c>
      <c r="X180" s="10">
        <v>6.0</v>
      </c>
      <c r="Y180" s="10">
        <v>6.0</v>
      </c>
      <c r="Z180" s="10">
        <v>0.0</v>
      </c>
      <c r="AA180" s="10">
        <v>5.0</v>
      </c>
      <c r="AB180" s="10">
        <v>0.0</v>
      </c>
      <c r="AC180" s="11" t="s">
        <v>109</v>
      </c>
      <c r="AD180" s="10" t="s">
        <v>428</v>
      </c>
      <c r="AE180" s="9" t="str">
        <f>IFERROR(__xludf.DUMMYFUNCTION("GOOGLETRANSLATE(AD180,""pt"",""en"")"),"Atrubution can confuse")</f>
        <v>Atrubution can confuse</v>
      </c>
      <c r="AF180" s="10"/>
      <c r="AG180" s="9"/>
      <c r="AH180" s="9" t="s">
        <v>156</v>
      </c>
      <c r="AI180" s="9" t="str">
        <f>IFERROR(__xludf.DUMMYFUNCTION("GOOGLETRANSLATE(AH180,""pt"",""en"")"),"spent more time and made more regressions")</f>
        <v>spent more time and made more regressions</v>
      </c>
      <c r="AJ180" s="13" t="s">
        <v>429</v>
      </c>
      <c r="AK180" s="13" t="str">
        <f>IFERROR(__xludf.DUMMYFUNCTION("GOOGLETRANSLATE(AJ180,""pt"",""en"")"),"confusion with attribution")</f>
        <v>confusion with attribution</v>
      </c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</row>
    <row r="181">
      <c r="A181" s="9">
        <v>21.0</v>
      </c>
      <c r="B181" s="10">
        <v>2.0</v>
      </c>
      <c r="C181" s="10">
        <v>4.0</v>
      </c>
      <c r="D181" s="9">
        <v>2.0</v>
      </c>
      <c r="E181" s="10" t="s">
        <v>101</v>
      </c>
      <c r="F181" s="10">
        <v>3.0</v>
      </c>
      <c r="G181" s="10">
        <v>2.0</v>
      </c>
      <c r="H181" s="10" t="s">
        <v>102</v>
      </c>
      <c r="I181" s="10">
        <v>1.0</v>
      </c>
      <c r="J181" s="10" t="s">
        <v>40</v>
      </c>
      <c r="K181" s="10" t="s">
        <v>85</v>
      </c>
      <c r="L181" s="10">
        <v>85.08</v>
      </c>
      <c r="M181" s="10">
        <v>137.0</v>
      </c>
      <c r="N181" s="10">
        <v>49.36</v>
      </c>
      <c r="O181" s="10">
        <v>65.0</v>
      </c>
      <c r="P181" s="10">
        <v>28.0</v>
      </c>
      <c r="Q181" s="10">
        <v>37.0</v>
      </c>
      <c r="R181" s="10">
        <v>47.01</v>
      </c>
      <c r="S181" s="10">
        <v>76.0</v>
      </c>
      <c r="T181" s="10">
        <v>28.0</v>
      </c>
      <c r="U181" s="10">
        <v>29.0</v>
      </c>
      <c r="V181" s="10">
        <v>19.0</v>
      </c>
      <c r="W181" s="10">
        <v>10.0</v>
      </c>
      <c r="X181" s="10">
        <v>19.0</v>
      </c>
      <c r="Y181" s="10">
        <v>9.0</v>
      </c>
      <c r="Z181" s="10">
        <v>10.0</v>
      </c>
      <c r="AA181" s="10">
        <v>7.0</v>
      </c>
      <c r="AB181" s="10">
        <v>11.0</v>
      </c>
      <c r="AC181" s="11" t="s">
        <v>58</v>
      </c>
      <c r="AD181" s="10" t="s">
        <v>430</v>
      </c>
      <c r="AE181" s="9" t="str">
        <f>IFERROR(__xludf.DUMMYFUNCTION("GOOGLETRANSLATE(AD181,""pt"",""en"")"),"If and Else difficult (remember the value of cont")</f>
        <v>If and Else difficult (remember the value of cont</v>
      </c>
      <c r="AF181" s="10"/>
      <c r="AG181" s="9"/>
      <c r="AH181" s="10"/>
      <c r="AI181" s="9"/>
      <c r="AJ181" s="13" t="s">
        <v>431</v>
      </c>
      <c r="AK181" s="13" t="str">
        <f>IFERROR(__xludf.DUMMYFUNCTION("GOOGLETRANSLATE(AJ181,""pt"",""en"")"),"Difficult to remember the value of the variable")</f>
        <v>Difficult to remember the value of the variable</v>
      </c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</row>
    <row r="182">
      <c r="A182" s="9">
        <v>79.0</v>
      </c>
      <c r="B182" s="10">
        <v>7.0</v>
      </c>
      <c r="C182" s="10">
        <v>14.0</v>
      </c>
      <c r="D182" s="9">
        <v>2.0</v>
      </c>
      <c r="E182" s="10" t="s">
        <v>374</v>
      </c>
      <c r="F182" s="10">
        <v>1.0</v>
      </c>
      <c r="G182" s="10">
        <v>2.0</v>
      </c>
      <c r="H182" s="10" t="s">
        <v>102</v>
      </c>
      <c r="I182" s="10">
        <v>1.0</v>
      </c>
      <c r="J182" s="10" t="s">
        <v>40</v>
      </c>
      <c r="K182" s="10" t="s">
        <v>85</v>
      </c>
      <c r="L182" s="10">
        <v>27.45</v>
      </c>
      <c r="M182" s="10">
        <v>36.0</v>
      </c>
      <c r="N182" s="10">
        <v>10.38</v>
      </c>
      <c r="O182" s="10">
        <v>17.0</v>
      </c>
      <c r="P182" s="10">
        <v>10.0</v>
      </c>
      <c r="Q182" s="10">
        <v>7.0</v>
      </c>
      <c r="R182" s="10">
        <v>9.39</v>
      </c>
      <c r="S182" s="10">
        <v>12.0</v>
      </c>
      <c r="T182" s="10">
        <v>3.19</v>
      </c>
      <c r="U182" s="10">
        <v>3.0</v>
      </c>
      <c r="V182" s="10">
        <v>2.0</v>
      </c>
      <c r="W182" s="10">
        <v>1.0</v>
      </c>
      <c r="X182" s="10">
        <v>3.0</v>
      </c>
      <c r="Y182" s="10">
        <v>0.0</v>
      </c>
      <c r="Z182" s="10">
        <v>3.0</v>
      </c>
      <c r="AA182" s="10">
        <v>0.0</v>
      </c>
      <c r="AB182" s="10">
        <v>4.0</v>
      </c>
      <c r="AC182" s="11" t="s">
        <v>118</v>
      </c>
      <c r="AD182" s="10" t="s">
        <v>432</v>
      </c>
      <c r="AE182" s="9" t="str">
        <f>IFERROR(__xludf.DUMMYFUNCTION("GOOGLETRANSLATE(AD182,""pt"",""en"")"),"difficult assignments")</f>
        <v>difficult assignments</v>
      </c>
      <c r="AF182" s="10"/>
      <c r="AG182" s="9"/>
      <c r="AH182" s="10"/>
      <c r="AI182" s="9"/>
      <c r="AJ182" s="13" t="s">
        <v>433</v>
      </c>
      <c r="AK182" s="13" t="str">
        <f>IFERROR(__xludf.DUMMYFUNCTION("GOOGLETRANSLATE(AJ182,""pt"",""en"")"),"difficulty with variables and attributions")</f>
        <v>difficulty with variables and attributions</v>
      </c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</row>
    <row r="183">
      <c r="A183" s="9">
        <v>363.0</v>
      </c>
      <c r="B183" s="10">
        <v>15.0</v>
      </c>
      <c r="C183" s="10">
        <v>29.0</v>
      </c>
      <c r="D183" s="9">
        <v>1.0</v>
      </c>
      <c r="E183" s="10" t="s">
        <v>204</v>
      </c>
      <c r="F183" s="10">
        <v>3.0</v>
      </c>
      <c r="G183" s="10">
        <v>1.0</v>
      </c>
      <c r="H183" s="10" t="s">
        <v>102</v>
      </c>
      <c r="I183" s="10">
        <v>1.0</v>
      </c>
      <c r="J183" s="10" t="s">
        <v>40</v>
      </c>
      <c r="K183" s="10" t="s">
        <v>57</v>
      </c>
      <c r="L183" s="10">
        <v>66.88</v>
      </c>
      <c r="M183" s="10">
        <v>45.0</v>
      </c>
      <c r="N183" s="10">
        <v>12.52</v>
      </c>
      <c r="O183" s="10">
        <v>19.0</v>
      </c>
      <c r="P183" s="10">
        <v>7.0</v>
      </c>
      <c r="Q183" s="10">
        <v>12.0</v>
      </c>
      <c r="R183" s="10">
        <v>32.13</v>
      </c>
      <c r="S183" s="10">
        <v>14.0</v>
      </c>
      <c r="T183" s="10">
        <v>4.13</v>
      </c>
      <c r="U183" s="10">
        <v>2.0</v>
      </c>
      <c r="V183" s="10">
        <v>1.0</v>
      </c>
      <c r="W183" s="10">
        <v>1.0</v>
      </c>
      <c r="X183" s="10">
        <v>6.0</v>
      </c>
      <c r="Y183" s="10">
        <v>5.0</v>
      </c>
      <c r="Z183" s="10">
        <v>1.0</v>
      </c>
      <c r="AA183" s="10">
        <v>5.0</v>
      </c>
      <c r="AB183" s="10">
        <v>1.0</v>
      </c>
      <c r="AC183" s="11" t="s">
        <v>189</v>
      </c>
      <c r="AD183" s="26" t="s">
        <v>434</v>
      </c>
      <c r="AE183" s="9" t="str">
        <f>IFERROR(__xludf.DUMMYFUNCTION("GOOGLETRANSLATE(AD183,""pt"",""en"")"),"Interpretation of the most complicated result")</f>
        <v>Interpretation of the most complicated result</v>
      </c>
      <c r="AF183" s="10"/>
      <c r="AG183" s="9"/>
      <c r="AH183" s="10"/>
      <c r="AI183" s="9"/>
      <c r="AJ183" s="14" t="s">
        <v>435</v>
      </c>
      <c r="AK183" s="13" t="str">
        <f>IFERROR(__xludf.DUMMYFUNCTION("GOOGLETRANSLATE(AJ183,""pt"",""en"")"),"Interpretation of the result")</f>
        <v>Interpretation of the result</v>
      </c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</row>
    <row r="184">
      <c r="A184" s="9">
        <v>193.0</v>
      </c>
      <c r="B184" s="10">
        <v>1.0</v>
      </c>
      <c r="C184" s="10">
        <v>1.0</v>
      </c>
      <c r="D184" s="9">
        <v>1.0</v>
      </c>
      <c r="E184" s="10" t="s">
        <v>367</v>
      </c>
      <c r="F184" s="10">
        <v>1.0</v>
      </c>
      <c r="G184" s="10">
        <v>1.0</v>
      </c>
      <c r="H184" s="10" t="s">
        <v>102</v>
      </c>
      <c r="I184" s="10">
        <v>1.0</v>
      </c>
      <c r="J184" s="10" t="s">
        <v>40</v>
      </c>
      <c r="K184" s="10" t="s">
        <v>41</v>
      </c>
      <c r="L184" s="10">
        <v>44.9</v>
      </c>
      <c r="M184" s="10">
        <v>53.0</v>
      </c>
      <c r="N184" s="10">
        <v>16.24</v>
      </c>
      <c r="O184" s="10">
        <v>22.0</v>
      </c>
      <c r="P184" s="10">
        <v>4.0</v>
      </c>
      <c r="Q184" s="10">
        <v>18.0</v>
      </c>
      <c r="R184" s="10">
        <v>10.73</v>
      </c>
      <c r="S184" s="10">
        <v>14.0</v>
      </c>
      <c r="T184" s="10">
        <v>4.36</v>
      </c>
      <c r="U184" s="10">
        <v>2.0</v>
      </c>
      <c r="V184" s="10">
        <v>0.0</v>
      </c>
      <c r="W184" s="10">
        <v>2.0</v>
      </c>
      <c r="X184" s="10">
        <v>10.0</v>
      </c>
      <c r="Y184" s="10">
        <v>1.0</v>
      </c>
      <c r="Z184" s="10">
        <v>9.0</v>
      </c>
      <c r="AA184" s="10">
        <v>0.0</v>
      </c>
      <c r="AB184" s="10">
        <v>10.0</v>
      </c>
      <c r="AC184" s="11" t="s">
        <v>51</v>
      </c>
      <c r="AD184" s="10" t="s">
        <v>52</v>
      </c>
      <c r="AE184" s="9" t="str">
        <f>IFERROR(__xludf.DUMMYFUNCTION("GOOGLETRANSLATE(AD184,""pt"",""en"")"),"no difficulty pointed out")</f>
        <v>no difficulty pointed out</v>
      </c>
      <c r="AF184" s="10" t="s">
        <v>436</v>
      </c>
      <c r="AG184" s="9" t="str">
        <f>IFERROR(__xludf.DUMMYFUNCTION("GOOGLETRANSLATE(AF184,""pt"",""en"")"),"memorized the values ​​of the variables")</f>
        <v>memorized the values ​​of the variables</v>
      </c>
      <c r="AH184" s="9" t="s">
        <v>437</v>
      </c>
      <c r="AI184" s="9"/>
      <c r="AJ184" s="12" t="s">
        <v>436</v>
      </c>
      <c r="AK184" s="13" t="str">
        <f>IFERROR(__xludf.DUMMYFUNCTION("GOOGLETRANSLATE(AJ184,""pt"",""en"")"),"memorized the values ​​of the variables")</f>
        <v>memorized the values ​​of the variables</v>
      </c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</row>
    <row r="185">
      <c r="A185" s="9">
        <v>163.0</v>
      </c>
      <c r="B185" s="10">
        <v>14.0</v>
      </c>
      <c r="C185" s="10">
        <v>28.0</v>
      </c>
      <c r="D185" s="9">
        <v>2.0</v>
      </c>
      <c r="E185" s="10" t="s">
        <v>374</v>
      </c>
      <c r="F185" s="10">
        <v>1.0</v>
      </c>
      <c r="G185" s="10">
        <v>2.0</v>
      </c>
      <c r="H185" s="10" t="s">
        <v>102</v>
      </c>
      <c r="I185" s="10">
        <v>1.0</v>
      </c>
      <c r="J185" s="10" t="s">
        <v>40</v>
      </c>
      <c r="K185" s="10" t="s">
        <v>50</v>
      </c>
      <c r="L185" s="10">
        <v>25.64</v>
      </c>
      <c r="M185" s="10">
        <v>40.0</v>
      </c>
      <c r="N185" s="10">
        <v>13.47</v>
      </c>
      <c r="O185" s="10">
        <v>17.0</v>
      </c>
      <c r="P185" s="10">
        <v>10.0</v>
      </c>
      <c r="Q185" s="10">
        <v>7.0</v>
      </c>
      <c r="R185" s="10">
        <v>6.86</v>
      </c>
      <c r="S185" s="10">
        <v>11.0</v>
      </c>
      <c r="T185" s="10">
        <v>3.02</v>
      </c>
      <c r="U185" s="10">
        <v>4.0</v>
      </c>
      <c r="V185" s="10">
        <v>2.0</v>
      </c>
      <c r="W185" s="10">
        <v>2.0</v>
      </c>
      <c r="X185" s="10">
        <v>3.0</v>
      </c>
      <c r="Y185" s="10">
        <v>0.0</v>
      </c>
      <c r="Z185" s="10">
        <v>3.0</v>
      </c>
      <c r="AA185" s="10">
        <v>0.0</v>
      </c>
      <c r="AB185" s="10">
        <v>4.0</v>
      </c>
      <c r="AC185" s="11" t="s">
        <v>72</v>
      </c>
      <c r="AD185" s="9" t="s">
        <v>438</v>
      </c>
      <c r="AE185" s="9" t="str">
        <f>IFERROR(__xludf.DUMMYFUNCTION("GOOGLETRANSLATE(AD185,""pt"",""en"")"),"Organization of variables was easy")</f>
        <v>Organization of variables was easy</v>
      </c>
      <c r="AF185" s="10"/>
      <c r="AG185" s="9"/>
      <c r="AH185" s="10"/>
      <c r="AI185" s="9"/>
      <c r="AJ185" s="14" t="s">
        <v>439</v>
      </c>
      <c r="AK185" s="13" t="str">
        <f>IFERROR(__xludf.DUMMYFUNCTION("GOOGLETRANSLATE(AJ185,""pt"",""en"")"),"Organization of variables")</f>
        <v>Organization of variables</v>
      </c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</row>
    <row r="186">
      <c r="A186" s="9">
        <v>181.0</v>
      </c>
      <c r="B186" s="9">
        <v>16.0</v>
      </c>
      <c r="C186" s="10">
        <v>32.0</v>
      </c>
      <c r="D186" s="9">
        <v>1.0</v>
      </c>
      <c r="E186" s="10" t="s">
        <v>38</v>
      </c>
      <c r="F186" s="10">
        <v>1.0</v>
      </c>
      <c r="G186" s="10">
        <v>1.0</v>
      </c>
      <c r="H186" s="10" t="s">
        <v>102</v>
      </c>
      <c r="I186" s="9">
        <v>1.0</v>
      </c>
      <c r="J186" s="10" t="s">
        <v>40</v>
      </c>
      <c r="K186" s="10"/>
      <c r="L186" s="10">
        <v>44.23</v>
      </c>
      <c r="M186" s="10">
        <v>67.0</v>
      </c>
      <c r="N186" s="10">
        <v>18.31</v>
      </c>
      <c r="O186" s="10">
        <v>30.0</v>
      </c>
      <c r="P186" s="10">
        <v>10.0</v>
      </c>
      <c r="Q186" s="10">
        <v>20.0</v>
      </c>
      <c r="R186" s="10">
        <v>9.14</v>
      </c>
      <c r="S186" s="10">
        <v>19.0</v>
      </c>
      <c r="T186" s="10">
        <v>4.98</v>
      </c>
      <c r="U186" s="10">
        <v>4.0</v>
      </c>
      <c r="V186" s="10">
        <v>4.0</v>
      </c>
      <c r="W186" s="10">
        <v>0.0</v>
      </c>
      <c r="X186" s="10">
        <v>9.0</v>
      </c>
      <c r="Y186" s="10">
        <v>0.0</v>
      </c>
      <c r="Z186" s="10">
        <v>9.0</v>
      </c>
      <c r="AA186" s="10">
        <v>0.0</v>
      </c>
      <c r="AB186" s="10">
        <v>9.0</v>
      </c>
      <c r="AC186" s="11" t="s">
        <v>146</v>
      </c>
      <c r="AD186" s="9" t="s">
        <v>440</v>
      </c>
      <c r="AE186" s="9" t="str">
        <f>IFERROR(__xludf.DUMMYFUNCTION("GOOGLETRANSLATE(AD186,""pt"",""en"")"),"No excerpt from the code was difficult")</f>
        <v>No excerpt from the code was difficult</v>
      </c>
      <c r="AF186" s="10" t="s">
        <v>441</v>
      </c>
      <c r="AG186" s="9" t="str">
        <f>IFERROR(__xludf.DUMMYFUNCTION("GOOGLETRANSLATE(AF186,""pt"",""en"")"),"I observed the assignments and checked the values")</f>
        <v>I observed the assignments and checked the values</v>
      </c>
      <c r="AH186" s="9" t="s">
        <v>442</v>
      </c>
      <c r="AI186" s="9" t="str">
        <f>IFERROR(__xludf.DUMMYFUNCTION("GOOGLETRANSLATE(AH186,""pt"",""en"")"),"Hit, less time in AOI")</f>
        <v>Hit, less time in AOI</v>
      </c>
      <c r="AJ186" s="14" t="s">
        <v>443</v>
      </c>
      <c r="AK186" s="14" t="s">
        <v>444</v>
      </c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</row>
    <row r="187">
      <c r="A187" s="9">
        <v>169.0</v>
      </c>
      <c r="B187" s="10">
        <v>15.0</v>
      </c>
      <c r="C187" s="10">
        <v>30.0</v>
      </c>
      <c r="D187" s="9">
        <v>1.0</v>
      </c>
      <c r="E187" s="10" t="s">
        <v>38</v>
      </c>
      <c r="F187" s="10">
        <v>1.0</v>
      </c>
      <c r="G187" s="10">
        <v>1.0</v>
      </c>
      <c r="H187" s="10" t="s">
        <v>39</v>
      </c>
      <c r="I187" s="10">
        <v>1.0</v>
      </c>
      <c r="J187" s="10" t="s">
        <v>40</v>
      </c>
      <c r="K187" s="10" t="s">
        <v>41</v>
      </c>
      <c r="L187" s="10">
        <v>23.26</v>
      </c>
      <c r="M187" s="10">
        <v>25.0</v>
      </c>
      <c r="N187" s="10">
        <v>7.83</v>
      </c>
      <c r="O187" s="10">
        <v>12.0</v>
      </c>
      <c r="P187" s="10">
        <v>5.0</v>
      </c>
      <c r="Q187" s="10">
        <v>7.0</v>
      </c>
      <c r="R187" s="10">
        <v>1.38</v>
      </c>
      <c r="S187" s="10">
        <v>2.0</v>
      </c>
      <c r="T187" s="10">
        <v>0.54</v>
      </c>
      <c r="U187" s="10">
        <v>0.0</v>
      </c>
      <c r="V187" s="10">
        <v>0.0</v>
      </c>
      <c r="W187" s="10">
        <v>0.0</v>
      </c>
      <c r="X187" s="10">
        <v>2.0</v>
      </c>
      <c r="Y187" s="10">
        <v>0.0</v>
      </c>
      <c r="Z187" s="10">
        <v>2.0</v>
      </c>
      <c r="AA187" s="10">
        <v>0.0</v>
      </c>
      <c r="AB187" s="10">
        <v>2.0</v>
      </c>
      <c r="AC187" s="11" t="s">
        <v>245</v>
      </c>
      <c r="AD187" s="9" t="s">
        <v>445</v>
      </c>
      <c r="AE187" s="9" t="str">
        <f>IFERROR(__xludf.DUMMYFUNCTION("GOOGLETRANSLATE(AD187,""pt"",""en"")"),"relationship between variables was easy")</f>
        <v>relationship between variables was easy</v>
      </c>
      <c r="AF187" s="10" t="s">
        <v>446</v>
      </c>
      <c r="AG187" s="9" t="str">
        <f>IFERROR(__xludf.DUMMYFUNCTION("GOOGLETRANSLATE(AF187,""pt"",""en"")"),"verified the value stored in the final")</f>
        <v>verified the value stored in the final</v>
      </c>
      <c r="AH187" s="9" t="s">
        <v>447</v>
      </c>
      <c r="AI187" s="9" t="str">
        <f>IFERROR(__xludf.DUMMYFUNCTION("GOOGLETRANSLATE(AH187,""pt"",""en"")"),"Hit, less time in AOI and regressions")</f>
        <v>Hit, less time in AOI and regressions</v>
      </c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</row>
    <row r="188">
      <c r="A188" s="9">
        <v>91.0</v>
      </c>
      <c r="B188" s="10">
        <v>8.0</v>
      </c>
      <c r="C188" s="10">
        <v>16.0</v>
      </c>
      <c r="D188" s="9">
        <v>2.0</v>
      </c>
      <c r="E188" s="10" t="s">
        <v>374</v>
      </c>
      <c r="F188" s="10">
        <v>1.0</v>
      </c>
      <c r="G188" s="10">
        <v>2.0</v>
      </c>
      <c r="H188" s="10" t="s">
        <v>102</v>
      </c>
      <c r="I188" s="10">
        <v>1.0</v>
      </c>
      <c r="J188" s="10" t="s">
        <v>40</v>
      </c>
      <c r="K188" s="10" t="s">
        <v>57</v>
      </c>
      <c r="L188" s="10">
        <v>35.4</v>
      </c>
      <c r="M188" s="10">
        <v>55.0</v>
      </c>
      <c r="N188" s="10">
        <v>19.57</v>
      </c>
      <c r="O188" s="10">
        <v>18.0</v>
      </c>
      <c r="P188" s="10">
        <v>5.0</v>
      </c>
      <c r="Q188" s="10">
        <v>13.0</v>
      </c>
      <c r="R188" s="10">
        <v>11.2</v>
      </c>
      <c r="S188" s="10">
        <v>18.0</v>
      </c>
      <c r="T188" s="10">
        <v>5.59</v>
      </c>
      <c r="U188" s="10">
        <v>4.0</v>
      </c>
      <c r="V188" s="10">
        <v>3.0</v>
      </c>
      <c r="W188" s="10">
        <v>1.0</v>
      </c>
      <c r="X188" s="10">
        <v>7.0</v>
      </c>
      <c r="Y188" s="10">
        <v>0.0</v>
      </c>
      <c r="Z188" s="10">
        <v>7.0</v>
      </c>
      <c r="AA188" s="10">
        <v>0.0</v>
      </c>
      <c r="AB188" s="10">
        <v>8.0</v>
      </c>
      <c r="AC188" s="11" t="s">
        <v>62</v>
      </c>
      <c r="AD188" s="10" t="s">
        <v>448</v>
      </c>
      <c r="AE188" s="9" t="str">
        <f>IFERROR(__xludf.DUMMYFUNCTION("GOOGLETRANSLATE(AD188,""pt"",""en"")"),"Many variables")</f>
        <v>Many variables</v>
      </c>
      <c r="AF188" s="10"/>
      <c r="AG188" s="9"/>
      <c r="AH188" s="9" t="s">
        <v>449</v>
      </c>
      <c r="AI188" s="9" t="str">
        <f>IFERROR(__xludf.DUMMYFUNCTION("GOOGLETRANSLATE(AH188,""pt"",""en"")"),"Enter more often on AOI")</f>
        <v>Enter more often on AOI</v>
      </c>
      <c r="AJ188" s="13" t="s">
        <v>423</v>
      </c>
      <c r="AK188" s="13" t="str">
        <f>IFERROR(__xludf.DUMMYFUNCTION("GOOGLETRANSLATE(AJ188,""pt"",""en"")"),"found memorizing difficult variables")</f>
        <v>found memorizing difficult variables</v>
      </c>
      <c r="AL188" s="14" t="s">
        <v>450</v>
      </c>
      <c r="AM188" s="13" t="str">
        <f>IFERROR(__xludf.DUMMYFUNCTION("GOOGLETRANSLATE(AL188,""pt"",""en"")"),"Number of variables")</f>
        <v>Number of variables</v>
      </c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</row>
    <row r="189">
      <c r="A189" s="9">
        <v>223.0</v>
      </c>
      <c r="B189" s="10">
        <v>3.0</v>
      </c>
      <c r="C189" s="10">
        <v>5.0</v>
      </c>
      <c r="D189" s="9">
        <v>2.0</v>
      </c>
      <c r="E189" s="10" t="s">
        <v>49</v>
      </c>
      <c r="F189" s="10">
        <v>1.0</v>
      </c>
      <c r="G189" s="10">
        <v>2.0</v>
      </c>
      <c r="H189" s="10" t="s">
        <v>39</v>
      </c>
      <c r="I189" s="10">
        <v>1.0</v>
      </c>
      <c r="J189" s="10" t="s">
        <v>40</v>
      </c>
      <c r="K189" s="10" t="s">
        <v>57</v>
      </c>
      <c r="L189" s="10">
        <v>32.51</v>
      </c>
      <c r="M189" s="10">
        <v>59.0</v>
      </c>
      <c r="N189" s="10">
        <v>18.16</v>
      </c>
      <c r="O189" s="10">
        <v>27.0</v>
      </c>
      <c r="P189" s="10">
        <v>19.0</v>
      </c>
      <c r="Q189" s="10">
        <v>8.0</v>
      </c>
      <c r="R189" s="10">
        <v>9.63</v>
      </c>
      <c r="S189" s="10">
        <v>18.0</v>
      </c>
      <c r="T189" s="10">
        <v>5.39</v>
      </c>
      <c r="U189" s="10">
        <v>8.0</v>
      </c>
      <c r="V189" s="10">
        <v>8.0</v>
      </c>
      <c r="W189" s="10">
        <v>0.0</v>
      </c>
      <c r="X189" s="10">
        <v>2.0</v>
      </c>
      <c r="Y189" s="10">
        <v>0.0</v>
      </c>
      <c r="Z189" s="10">
        <v>2.0</v>
      </c>
      <c r="AA189" s="10">
        <v>0.0</v>
      </c>
      <c r="AB189" s="10">
        <v>3.0</v>
      </c>
      <c r="AC189" s="11" t="s">
        <v>249</v>
      </c>
      <c r="AD189" s="9" t="s">
        <v>451</v>
      </c>
      <c r="AE189" s="9" t="str">
        <f>IFERROR(__xludf.DUMMYFUNCTION("GOOGLETRANSLATE(AD189,""pt"",""en"")"),"Many attributions, almost confused me")</f>
        <v>Many attributions, almost confused me</v>
      </c>
      <c r="AF189" s="10"/>
      <c r="AG189" s="9"/>
      <c r="AH189" s="9" t="s">
        <v>452</v>
      </c>
      <c r="AI189" s="9" t="str">
        <f>IFERROR(__xludf.DUMMYFUNCTION("GOOGLETRANSLATE(AH189,""pt"",""en"")"),"had more regressions")</f>
        <v>had more regressions</v>
      </c>
      <c r="AJ189" s="13" t="s">
        <v>453</v>
      </c>
      <c r="AK189" s="14" t="s">
        <v>454</v>
      </c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</row>
    <row r="190">
      <c r="A190" s="9">
        <v>241.0</v>
      </c>
      <c r="B190" s="10">
        <v>5.0</v>
      </c>
      <c r="C190" s="10">
        <v>9.0</v>
      </c>
      <c r="D190" s="9">
        <v>1.0</v>
      </c>
      <c r="E190" s="10" t="s">
        <v>367</v>
      </c>
      <c r="F190" s="10">
        <v>1.0</v>
      </c>
      <c r="G190" s="10">
        <v>1.0</v>
      </c>
      <c r="H190" s="10" t="s">
        <v>102</v>
      </c>
      <c r="I190" s="10">
        <v>1.0</v>
      </c>
      <c r="J190" s="10" t="s">
        <v>40</v>
      </c>
      <c r="K190" s="10" t="s">
        <v>57</v>
      </c>
      <c r="L190" s="10">
        <v>62.27</v>
      </c>
      <c r="M190" s="10">
        <v>102.0</v>
      </c>
      <c r="N190" s="10">
        <v>32.72</v>
      </c>
      <c r="O190" s="10">
        <v>42.0</v>
      </c>
      <c r="P190" s="10">
        <v>18.0</v>
      </c>
      <c r="Q190" s="10">
        <v>24.0</v>
      </c>
      <c r="R190" s="10">
        <v>11.28</v>
      </c>
      <c r="S190" s="10">
        <v>19.0</v>
      </c>
      <c r="T190" s="10">
        <v>5.34</v>
      </c>
      <c r="U190" s="10">
        <v>5.0</v>
      </c>
      <c r="V190" s="10">
        <v>2.0</v>
      </c>
      <c r="W190" s="10">
        <v>3.0</v>
      </c>
      <c r="X190" s="10">
        <v>7.0</v>
      </c>
      <c r="Y190" s="10">
        <v>0.0</v>
      </c>
      <c r="Z190" s="10">
        <v>7.0</v>
      </c>
      <c r="AA190" s="10">
        <v>0.0</v>
      </c>
      <c r="AB190" s="10">
        <v>8.0</v>
      </c>
      <c r="AC190" s="11" t="s">
        <v>65</v>
      </c>
      <c r="AD190" s="10" t="s">
        <v>448</v>
      </c>
      <c r="AE190" s="9" t="str">
        <f>IFERROR(__xludf.DUMMYFUNCTION("GOOGLETRANSLATE(AD190,""pt"",""en"")"),"Many variables")</f>
        <v>Many variables</v>
      </c>
      <c r="AF190" s="10"/>
      <c r="AG190" s="9"/>
      <c r="AH190" s="9" t="s">
        <v>422</v>
      </c>
      <c r="AI190" s="9" t="str">
        <f>IFERROR(__xludf.DUMMYFUNCTION("GOOGLETRANSLATE(AH190,""pt"",""en"")"),"made more regressions in AOI")</f>
        <v>made more regressions in AOI</v>
      </c>
      <c r="AJ190" s="13" t="s">
        <v>448</v>
      </c>
      <c r="AK190" s="14" t="s">
        <v>455</v>
      </c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</row>
    <row r="191">
      <c r="A191" s="9">
        <v>205.0</v>
      </c>
      <c r="B191" s="10">
        <v>2.0</v>
      </c>
      <c r="C191" s="10">
        <v>3.0</v>
      </c>
      <c r="D191" s="9">
        <v>1.0</v>
      </c>
      <c r="E191" s="10" t="s">
        <v>367</v>
      </c>
      <c r="F191" s="10">
        <v>1.0</v>
      </c>
      <c r="G191" s="10">
        <v>1.0</v>
      </c>
      <c r="H191" s="10" t="s">
        <v>102</v>
      </c>
      <c r="I191" s="10">
        <v>2.0</v>
      </c>
      <c r="J191" s="10" t="s">
        <v>105</v>
      </c>
      <c r="K191" s="10" t="s">
        <v>41</v>
      </c>
      <c r="L191" s="10">
        <v>261.3</v>
      </c>
      <c r="M191" s="10">
        <v>458.0</v>
      </c>
      <c r="N191" s="10">
        <v>145.89</v>
      </c>
      <c r="O191" s="10">
        <v>181.0</v>
      </c>
      <c r="P191" s="10">
        <v>59.0</v>
      </c>
      <c r="Q191" s="10">
        <v>122.0</v>
      </c>
      <c r="R191" s="10">
        <v>37.68</v>
      </c>
      <c r="S191" s="10">
        <v>77.0</v>
      </c>
      <c r="T191" s="10">
        <v>22.0</v>
      </c>
      <c r="U191" s="10">
        <v>21.0</v>
      </c>
      <c r="V191" s="10">
        <v>12.0</v>
      </c>
      <c r="W191" s="10">
        <v>9.0</v>
      </c>
      <c r="X191" s="10">
        <v>28.0</v>
      </c>
      <c r="Y191" s="10">
        <v>3.0</v>
      </c>
      <c r="Z191" s="10">
        <v>25.0</v>
      </c>
      <c r="AA191" s="10">
        <v>1.0</v>
      </c>
      <c r="AB191" s="10">
        <v>27.0</v>
      </c>
      <c r="AC191" s="11" t="s">
        <v>97</v>
      </c>
      <c r="AD191" s="10" t="s">
        <v>448</v>
      </c>
      <c r="AE191" s="9" t="str">
        <f>IFERROR(__xludf.DUMMYFUNCTION("GOOGLETRANSLATE(AD191,""pt"",""en"")"),"Many variables")</f>
        <v>Many variables</v>
      </c>
      <c r="AF191" s="10"/>
      <c r="AG191" s="9"/>
      <c r="AH191" s="9" t="s">
        <v>104</v>
      </c>
      <c r="AI191" s="9" t="str">
        <f>IFERROR(__xludf.DUMMYFUNCTION("GOOGLETRANSLATE(AH191,""pt"",""en"")"),"made a mistake, spent more time and more regressions")</f>
        <v>made a mistake, spent more time and more regressions</v>
      </c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</row>
    <row r="192">
      <c r="A192" s="9">
        <v>127.0</v>
      </c>
      <c r="B192" s="10">
        <v>11.0</v>
      </c>
      <c r="C192" s="10">
        <v>22.0</v>
      </c>
      <c r="D192" s="9">
        <v>2.0</v>
      </c>
      <c r="E192" s="10" t="s">
        <v>374</v>
      </c>
      <c r="F192" s="10">
        <v>1.0</v>
      </c>
      <c r="G192" s="10">
        <v>2.0</v>
      </c>
      <c r="H192" s="10" t="s">
        <v>102</v>
      </c>
      <c r="I192" s="10">
        <v>1.0</v>
      </c>
      <c r="J192" s="10" t="s">
        <v>40</v>
      </c>
      <c r="K192" s="10" t="s">
        <v>57</v>
      </c>
      <c r="L192" s="10">
        <v>33.58</v>
      </c>
      <c r="M192" s="10">
        <v>52.0</v>
      </c>
      <c r="N192" s="10">
        <v>15.43</v>
      </c>
      <c r="O192" s="10">
        <v>22.0</v>
      </c>
      <c r="P192" s="10">
        <v>9.0</v>
      </c>
      <c r="Q192" s="10">
        <v>13.0</v>
      </c>
      <c r="R192" s="10">
        <v>11.09</v>
      </c>
      <c r="S192" s="10">
        <v>20.0</v>
      </c>
      <c r="T192" s="10">
        <v>5.93</v>
      </c>
      <c r="U192" s="10">
        <v>7.0</v>
      </c>
      <c r="V192" s="10">
        <v>4.0</v>
      </c>
      <c r="W192" s="10">
        <v>3.0</v>
      </c>
      <c r="X192" s="10">
        <v>6.0</v>
      </c>
      <c r="Y192" s="10">
        <v>0.0</v>
      </c>
      <c r="Z192" s="10">
        <v>6.0</v>
      </c>
      <c r="AA192" s="10">
        <v>0.0</v>
      </c>
      <c r="AB192" s="10">
        <v>7.0</v>
      </c>
      <c r="AC192" s="11" t="s">
        <v>86</v>
      </c>
      <c r="AD192" s="10" t="s">
        <v>456</v>
      </c>
      <c r="AE192" s="9" t="str">
        <f>IFERROR(__xludf.DUMMYFUNCTION("GOOGLETRANSLATE(AD192,""pt"",""en"")"),"Many variables confuse")</f>
        <v>Many variables confuse</v>
      </c>
      <c r="AF192" s="10"/>
      <c r="AG192" s="9"/>
      <c r="AH192" s="10"/>
      <c r="AI192" s="9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</row>
    <row r="193">
      <c r="A193" s="9">
        <v>277.0</v>
      </c>
      <c r="B193" s="10">
        <v>8.0</v>
      </c>
      <c r="C193" s="10">
        <v>15.0</v>
      </c>
      <c r="D193" s="9">
        <v>1.0</v>
      </c>
      <c r="E193" s="10" t="s">
        <v>367</v>
      </c>
      <c r="F193" s="10">
        <v>1.0</v>
      </c>
      <c r="G193" s="10">
        <v>1.0</v>
      </c>
      <c r="H193" s="10" t="s">
        <v>102</v>
      </c>
      <c r="I193" s="10">
        <v>1.0</v>
      </c>
      <c r="J193" s="10" t="s">
        <v>40</v>
      </c>
      <c r="K193" s="10" t="s">
        <v>41</v>
      </c>
      <c r="L193" s="10">
        <v>114.73</v>
      </c>
      <c r="M193" s="10">
        <v>164.0</v>
      </c>
      <c r="N193" s="10">
        <v>53.51</v>
      </c>
      <c r="O193" s="10">
        <v>70.0</v>
      </c>
      <c r="P193" s="10">
        <v>20.0</v>
      </c>
      <c r="Q193" s="10">
        <v>50.0</v>
      </c>
      <c r="R193" s="10">
        <v>22.83</v>
      </c>
      <c r="S193" s="10">
        <v>37.0</v>
      </c>
      <c r="T193" s="10">
        <v>12.17</v>
      </c>
      <c r="U193" s="10">
        <v>6.0</v>
      </c>
      <c r="V193" s="10">
        <v>4.0</v>
      </c>
      <c r="W193" s="10">
        <v>2.0</v>
      </c>
      <c r="X193" s="10">
        <v>24.0</v>
      </c>
      <c r="Y193" s="10">
        <v>0.0</v>
      </c>
      <c r="Z193" s="10">
        <v>24.0</v>
      </c>
      <c r="AA193" s="10">
        <v>0.0</v>
      </c>
      <c r="AB193" s="10">
        <v>25.0</v>
      </c>
      <c r="AC193" s="11" t="s">
        <v>220</v>
      </c>
      <c r="AD193" s="10" t="s">
        <v>457</v>
      </c>
      <c r="AE193" s="9" t="str">
        <f>IFERROR(__xludf.DUMMYFUNCTION("GOOGLETRANSLATE(AD193,""pt"",""en"")"),"lost by several variables")</f>
        <v>lost by several variables</v>
      </c>
      <c r="AF193" s="10"/>
      <c r="AG193" s="9"/>
      <c r="AH193" s="9" t="s">
        <v>458</v>
      </c>
      <c r="AI193" s="9" t="str">
        <f>IFERROR(__xludf.DUMMYFUNCTION("GOOGLETRANSLATE(AH193,""pt"",""en"")"),"spent more time, Masi regressions, more plus in Aoi")</f>
        <v>spent more time, Masi regressions, more plus in Aoi</v>
      </c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</row>
    <row r="194">
      <c r="A194" s="9">
        <v>119.0</v>
      </c>
      <c r="B194" s="10">
        <v>10.0</v>
      </c>
      <c r="C194" s="10">
        <v>20.0</v>
      </c>
      <c r="D194" s="9">
        <v>2.0</v>
      </c>
      <c r="E194" s="10" t="s">
        <v>152</v>
      </c>
      <c r="F194" s="10">
        <v>5.0</v>
      </c>
      <c r="G194" s="10">
        <v>2.0</v>
      </c>
      <c r="H194" s="10" t="s">
        <v>102</v>
      </c>
      <c r="I194" s="10">
        <v>1.0</v>
      </c>
      <c r="J194" s="10" t="s">
        <v>105</v>
      </c>
      <c r="K194" s="10" t="s">
        <v>41</v>
      </c>
      <c r="L194" s="10">
        <v>89.76</v>
      </c>
      <c r="M194" s="10">
        <v>122.0</v>
      </c>
      <c r="N194" s="10">
        <v>45.87</v>
      </c>
      <c r="O194" s="10">
        <v>57.0</v>
      </c>
      <c r="P194" s="10">
        <v>27.0</v>
      </c>
      <c r="Q194" s="10">
        <v>30.0</v>
      </c>
      <c r="R194" s="10">
        <v>33.68</v>
      </c>
      <c r="S194" s="10">
        <v>54.0</v>
      </c>
      <c r="T194" s="10">
        <v>20.49</v>
      </c>
      <c r="U194" s="10">
        <v>18.0</v>
      </c>
      <c r="V194" s="10">
        <v>18.0</v>
      </c>
      <c r="W194" s="10">
        <v>0.0</v>
      </c>
      <c r="X194" s="10">
        <v>18.0</v>
      </c>
      <c r="Y194" s="10">
        <v>17.0</v>
      </c>
      <c r="Z194" s="10">
        <v>1.0</v>
      </c>
      <c r="AA194" s="10">
        <v>16.0</v>
      </c>
      <c r="AB194" s="10">
        <v>2.0</v>
      </c>
      <c r="AC194" s="11" t="s">
        <v>197</v>
      </c>
      <c r="AD194" s="10" t="s">
        <v>459</v>
      </c>
      <c r="AE194" s="9" t="str">
        <f>IFERROR(__xludf.DUMMYFUNCTION("GOOGLETRANSLATE(AD194,""pt"",""en"")"),"was confused in the elements")</f>
        <v>was confused in the elements</v>
      </c>
      <c r="AF194" s="10"/>
      <c r="AG194" s="9"/>
      <c r="AH194" s="9" t="s">
        <v>104</v>
      </c>
      <c r="AI194" s="9" t="str">
        <f>IFERROR(__xludf.DUMMYFUNCTION("GOOGLETRANSLATE(AH194,""pt"",""en"")"),"made a mistake, spent more time and more regressions")</f>
        <v>made a mistake, spent more time and more regressions</v>
      </c>
      <c r="AJ194" s="12" t="s">
        <v>459</v>
      </c>
      <c r="AK194" s="13" t="str">
        <f>IFERROR(__xludf.DUMMYFUNCTION("GOOGLETRANSLATE(AJ194,""pt"",""en"")"),"was confused in the elements")</f>
        <v>was confused in the elements</v>
      </c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</row>
    <row r="195">
      <c r="A195" s="9">
        <v>200.0</v>
      </c>
      <c r="B195" s="10">
        <v>1.0</v>
      </c>
      <c r="C195" s="10">
        <v>1.0</v>
      </c>
      <c r="D195" s="9">
        <v>2.0</v>
      </c>
      <c r="E195" s="10" t="s">
        <v>96</v>
      </c>
      <c r="F195" s="10">
        <v>2.0</v>
      </c>
      <c r="G195" s="10">
        <v>2.0</v>
      </c>
      <c r="H195" s="10" t="s">
        <v>39</v>
      </c>
      <c r="I195" s="10">
        <v>1.0</v>
      </c>
      <c r="J195" s="10" t="s">
        <v>40</v>
      </c>
      <c r="K195" s="10" t="s">
        <v>57</v>
      </c>
      <c r="L195" s="10">
        <v>31.94</v>
      </c>
      <c r="M195" s="10">
        <v>47.0</v>
      </c>
      <c r="N195" s="10">
        <v>15.98</v>
      </c>
      <c r="O195" s="10">
        <v>19.0</v>
      </c>
      <c r="P195" s="10">
        <v>10.0</v>
      </c>
      <c r="Q195" s="10">
        <v>9.0</v>
      </c>
      <c r="R195" s="10">
        <v>11.03</v>
      </c>
      <c r="S195" s="10">
        <v>21.0</v>
      </c>
      <c r="T195" s="10">
        <v>6.85</v>
      </c>
      <c r="U195" s="10">
        <v>6.0</v>
      </c>
      <c r="V195" s="10">
        <v>6.0</v>
      </c>
      <c r="W195" s="10">
        <v>0.0</v>
      </c>
      <c r="X195" s="10">
        <v>5.0</v>
      </c>
      <c r="Y195" s="10">
        <v>1.0</v>
      </c>
      <c r="Z195" s="10">
        <v>4.0</v>
      </c>
      <c r="AA195" s="10">
        <v>2.0</v>
      </c>
      <c r="AB195" s="10">
        <v>3.0</v>
      </c>
      <c r="AC195" s="11" t="s">
        <v>51</v>
      </c>
      <c r="AD195" s="10" t="s">
        <v>191</v>
      </c>
      <c r="AE195" s="9" t="str">
        <f>IFERROR(__xludf.DUMMYFUNCTION("GOOGLETRANSLATE(AD195,""pt"",""en"")"),"IF")</f>
        <v>IF</v>
      </c>
      <c r="AF195" s="10" t="s">
        <v>460</v>
      </c>
      <c r="AG195" s="9" t="str">
        <f>IFERROR(__xludf.DUMMYFUNCTION("GOOGLETRANSLATE(AF195,""pt"",""en"")"),"Many elements to evaluate and if it was difficult")</f>
        <v>Many elements to evaluate and if it was difficult</v>
      </c>
      <c r="AH195" s="9" t="s">
        <v>185</v>
      </c>
      <c r="AI195" s="9" t="str">
        <f>IFERROR(__xludf.DUMMYFUNCTION("GOOGLETRANSLATE(AH195,""pt"",""en"")"),"more regressions")</f>
        <v>more regressions</v>
      </c>
      <c r="AJ195" s="13" t="s">
        <v>461</v>
      </c>
      <c r="AK195" s="13" t="str">
        <f>IFERROR(__xludf.DUMMYFUNCTION("GOOGLETRANSLATE(AJ195,""pt"",""en"")"),"Too Many Elements")</f>
        <v>Too Many Elements</v>
      </c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</row>
    <row r="196">
      <c r="A196" s="9">
        <v>289.0</v>
      </c>
      <c r="B196" s="10">
        <v>9.0</v>
      </c>
      <c r="C196" s="10">
        <v>17.0</v>
      </c>
      <c r="D196" s="9">
        <v>1.0</v>
      </c>
      <c r="E196" s="10" t="s">
        <v>367</v>
      </c>
      <c r="F196" s="10">
        <v>1.0</v>
      </c>
      <c r="G196" s="10">
        <v>1.0</v>
      </c>
      <c r="H196" s="10" t="s">
        <v>102</v>
      </c>
      <c r="I196" s="10">
        <v>1.0</v>
      </c>
      <c r="J196" s="10" t="s">
        <v>40</v>
      </c>
      <c r="K196" s="10" t="s">
        <v>41</v>
      </c>
      <c r="L196" s="10">
        <v>75.94</v>
      </c>
      <c r="M196" s="10">
        <v>125.0</v>
      </c>
      <c r="N196" s="10">
        <v>40.57</v>
      </c>
      <c r="O196" s="10">
        <v>53.0</v>
      </c>
      <c r="P196" s="10">
        <v>24.0</v>
      </c>
      <c r="Q196" s="10">
        <v>29.0</v>
      </c>
      <c r="R196" s="10">
        <v>12.32</v>
      </c>
      <c r="S196" s="10">
        <v>24.0</v>
      </c>
      <c r="T196" s="10">
        <v>7.36</v>
      </c>
      <c r="U196" s="10">
        <v>8.0</v>
      </c>
      <c r="V196" s="10">
        <v>5.0</v>
      </c>
      <c r="W196" s="10">
        <v>3.0</v>
      </c>
      <c r="X196" s="10">
        <v>7.0</v>
      </c>
      <c r="Y196" s="10">
        <v>0.0</v>
      </c>
      <c r="Z196" s="10">
        <v>7.0</v>
      </c>
      <c r="AA196" s="10">
        <v>0.0</v>
      </c>
      <c r="AB196" s="10">
        <v>8.0</v>
      </c>
      <c r="AC196" s="11" t="s">
        <v>54</v>
      </c>
      <c r="AD196" s="10" t="s">
        <v>462</v>
      </c>
      <c r="AE196" s="9" t="str">
        <f>IFERROR(__xludf.DUMMYFUNCTION("GOOGLETRANSLATE(AD196,""pt"",""en"")"),"Quiet Variables")</f>
        <v>Quiet Variables</v>
      </c>
      <c r="AF196" s="10"/>
      <c r="AG196" s="9"/>
      <c r="AH196" s="10"/>
      <c r="AI196" s="9"/>
      <c r="AJ196" s="12" t="s">
        <v>462</v>
      </c>
      <c r="AK196" s="14" t="s">
        <v>463</v>
      </c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</row>
    <row r="197">
      <c r="A197" s="9">
        <v>187.0</v>
      </c>
      <c r="B197" s="9">
        <v>16.0</v>
      </c>
      <c r="C197" s="10">
        <v>32.0</v>
      </c>
      <c r="D197" s="9">
        <v>2.0</v>
      </c>
      <c r="E197" s="10" t="s">
        <v>374</v>
      </c>
      <c r="F197" s="10">
        <v>1.0</v>
      </c>
      <c r="G197" s="10">
        <v>2.0</v>
      </c>
      <c r="H197" s="10" t="s">
        <v>39</v>
      </c>
      <c r="I197" s="9">
        <v>1.0</v>
      </c>
      <c r="J197" s="10" t="s">
        <v>40</v>
      </c>
      <c r="K197" s="10"/>
      <c r="L197" s="10">
        <v>25.62</v>
      </c>
      <c r="M197" s="10">
        <v>34.0</v>
      </c>
      <c r="N197" s="10">
        <v>9.72</v>
      </c>
      <c r="O197" s="10">
        <v>14.0</v>
      </c>
      <c r="P197" s="10">
        <v>4.0</v>
      </c>
      <c r="Q197" s="10">
        <v>10.0</v>
      </c>
      <c r="R197" s="10">
        <v>8.43</v>
      </c>
      <c r="S197" s="10">
        <v>12.0</v>
      </c>
      <c r="T197" s="10">
        <v>3.07</v>
      </c>
      <c r="U197" s="10">
        <v>2.0</v>
      </c>
      <c r="V197" s="10">
        <v>1.0</v>
      </c>
      <c r="W197" s="10">
        <v>1.0</v>
      </c>
      <c r="X197" s="10">
        <v>5.0</v>
      </c>
      <c r="Y197" s="10">
        <v>0.0</v>
      </c>
      <c r="Z197" s="10">
        <v>5.0</v>
      </c>
      <c r="AA197" s="10">
        <v>0.0</v>
      </c>
      <c r="AB197" s="10">
        <v>6.0</v>
      </c>
      <c r="AC197" s="11" t="s">
        <v>146</v>
      </c>
      <c r="AD197" s="10" t="s">
        <v>464</v>
      </c>
      <c r="AE197" s="9" t="str">
        <f>IFERROR(__xludf.DUMMYFUNCTION("GOOGLETRANSLATE(AD197,""pt"",""en"")"),"unlikely")</f>
        <v>unlikely</v>
      </c>
      <c r="AF197" s="10" t="s">
        <v>465</v>
      </c>
      <c r="AG197" s="9" t="str">
        <f>IFERROR(__xludf.DUMMYFUNCTION("GOOGLETRANSLATE(AF197,""pt"",""en"")"),"analyzed the attributions")</f>
        <v>analyzed the attributions</v>
      </c>
      <c r="AH197" s="10"/>
      <c r="AI197" s="9"/>
      <c r="AJ197" s="13" t="s">
        <v>465</v>
      </c>
      <c r="AK197" s="13" t="str">
        <f>IFERROR(__xludf.DUMMYFUNCTION("GOOGLETRANSLATE(AJ197,""pt"",""en"")"),"analyzed the attributions")</f>
        <v>analyzed the attributions</v>
      </c>
      <c r="AL197" s="13" t="s">
        <v>466</v>
      </c>
      <c r="AM197" s="14" t="s">
        <v>467</v>
      </c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</row>
    <row r="198">
      <c r="A198" s="9">
        <v>325.0</v>
      </c>
      <c r="B198" s="10">
        <v>12.0</v>
      </c>
      <c r="C198" s="10">
        <v>23.0</v>
      </c>
      <c r="D198" s="9">
        <v>1.0</v>
      </c>
      <c r="E198" s="10" t="s">
        <v>367</v>
      </c>
      <c r="F198" s="10">
        <v>1.0</v>
      </c>
      <c r="G198" s="10">
        <v>1.0</v>
      </c>
      <c r="H198" s="10" t="s">
        <v>102</v>
      </c>
      <c r="I198" s="10">
        <v>2.0</v>
      </c>
      <c r="J198" s="10" t="s">
        <v>40</v>
      </c>
      <c r="K198" s="10" t="s">
        <v>85</v>
      </c>
      <c r="L198" s="10">
        <v>115.19</v>
      </c>
      <c r="M198" s="10">
        <v>173.0</v>
      </c>
      <c r="N198" s="10">
        <v>51.67</v>
      </c>
      <c r="O198" s="10">
        <v>86.0</v>
      </c>
      <c r="P198" s="10">
        <v>29.0</v>
      </c>
      <c r="Q198" s="10">
        <v>57.0</v>
      </c>
      <c r="R198" s="10">
        <v>18.07</v>
      </c>
      <c r="S198" s="10">
        <v>35.0</v>
      </c>
      <c r="T198" s="10">
        <v>9.31</v>
      </c>
      <c r="U198" s="10">
        <v>7.0</v>
      </c>
      <c r="V198" s="10">
        <v>6.0</v>
      </c>
      <c r="W198" s="10">
        <v>1.0</v>
      </c>
      <c r="X198" s="10">
        <v>17.0</v>
      </c>
      <c r="Y198" s="10">
        <v>0.0</v>
      </c>
      <c r="Z198" s="10">
        <v>17.0</v>
      </c>
      <c r="AA198" s="10">
        <v>0.0</v>
      </c>
      <c r="AB198" s="10">
        <v>18.0</v>
      </c>
      <c r="AC198" s="11" t="s">
        <v>158</v>
      </c>
      <c r="AD198" s="10" t="s">
        <v>468</v>
      </c>
      <c r="AE198" s="9" t="str">
        <f>IFERROR(__xludf.DUMMYFUNCTION("GOOGLETRANSLATE(AD198,""pt"",""en"")"),"difficult exchange of values")</f>
        <v>difficult exchange of values</v>
      </c>
      <c r="AF198" s="10"/>
      <c r="AG198" s="9"/>
      <c r="AH198" s="10"/>
      <c r="AI198" s="9"/>
      <c r="AJ198" s="13" t="s">
        <v>469</v>
      </c>
      <c r="AK198" s="13" t="str">
        <f>IFERROR(__xludf.DUMMYFUNCTION("GOOGLETRANSLATE(AJ198,""pt"",""en"")"),"Difficulty with variable swap")</f>
        <v>Difficulty with variable swap</v>
      </c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</row>
    <row r="199">
      <c r="A199" s="9">
        <v>373.0</v>
      </c>
      <c r="B199" s="9">
        <v>16.0</v>
      </c>
      <c r="C199" s="10">
        <v>31.0</v>
      </c>
      <c r="D199" s="9">
        <v>1.0</v>
      </c>
      <c r="E199" s="10" t="s">
        <v>367</v>
      </c>
      <c r="F199" s="10">
        <v>1.0</v>
      </c>
      <c r="G199" s="10">
        <v>1.0</v>
      </c>
      <c r="H199" s="10" t="s">
        <v>102</v>
      </c>
      <c r="I199" s="9">
        <v>1.0</v>
      </c>
      <c r="J199" s="9" t="s">
        <v>40</v>
      </c>
      <c r="K199" s="9" t="s">
        <v>50</v>
      </c>
      <c r="L199" s="10">
        <v>30.55</v>
      </c>
      <c r="M199" s="10">
        <v>46.0</v>
      </c>
      <c r="N199" s="10">
        <v>13.38</v>
      </c>
      <c r="O199" s="10">
        <v>19.0</v>
      </c>
      <c r="P199" s="10">
        <v>6.0</v>
      </c>
      <c r="Q199" s="10">
        <v>13.0</v>
      </c>
      <c r="R199" s="10">
        <v>8.55</v>
      </c>
      <c r="S199" s="10">
        <v>12.0</v>
      </c>
      <c r="T199" s="10">
        <v>4.24</v>
      </c>
      <c r="U199" s="10">
        <v>4.0</v>
      </c>
      <c r="V199" s="10">
        <v>2.0</v>
      </c>
      <c r="W199" s="10">
        <v>2.0</v>
      </c>
      <c r="X199" s="10">
        <v>4.0</v>
      </c>
      <c r="Y199" s="10">
        <v>0.0</v>
      </c>
      <c r="Z199" s="10">
        <v>4.0</v>
      </c>
      <c r="AA199" s="10">
        <v>0.0</v>
      </c>
      <c r="AB199" s="10">
        <v>5.0</v>
      </c>
      <c r="AC199" s="11" t="s">
        <v>144</v>
      </c>
      <c r="AD199" s="10" t="s">
        <v>470</v>
      </c>
      <c r="AE199" s="9" t="str">
        <f>IFERROR(__xludf.DUMMYFUNCTION("GOOGLETRANSLATE(AD199,""pt"",""en"")"),"can confuse in IF")</f>
        <v>can confuse in IF</v>
      </c>
      <c r="AF199" s="10" t="s">
        <v>319</v>
      </c>
      <c r="AG199" s="9"/>
      <c r="AH199" s="9" t="s">
        <v>452</v>
      </c>
      <c r="AI199" s="9" t="str">
        <f>IFERROR(__xludf.DUMMYFUNCTION("GOOGLETRANSLATE(AH199,""pt"",""en"")"),"had more regressions")</f>
        <v>had more regressions</v>
      </c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</row>
    <row r="200">
      <c r="A200" s="9">
        <v>109.0</v>
      </c>
      <c r="B200" s="10">
        <v>10.0</v>
      </c>
      <c r="C200" s="10">
        <v>20.0</v>
      </c>
      <c r="D200" s="9">
        <v>1.0</v>
      </c>
      <c r="E200" s="10" t="s">
        <v>38</v>
      </c>
      <c r="F200" s="10">
        <v>1.0</v>
      </c>
      <c r="G200" s="10">
        <v>1.0</v>
      </c>
      <c r="H200" s="10" t="s">
        <v>39</v>
      </c>
      <c r="I200" s="10">
        <v>1.0</v>
      </c>
      <c r="J200" s="10" t="s">
        <v>40</v>
      </c>
      <c r="K200" s="10" t="s">
        <v>57</v>
      </c>
      <c r="L200" s="10">
        <v>86.37</v>
      </c>
      <c r="M200" s="10">
        <v>131.0</v>
      </c>
      <c r="N200" s="10">
        <v>41.28</v>
      </c>
      <c r="O200" s="10">
        <v>53.0</v>
      </c>
      <c r="P200" s="10">
        <v>15.0</v>
      </c>
      <c r="Q200" s="10">
        <v>38.0</v>
      </c>
      <c r="R200" s="10">
        <v>10.25</v>
      </c>
      <c r="S200" s="10">
        <v>19.0</v>
      </c>
      <c r="T200" s="10">
        <v>6.17</v>
      </c>
      <c r="U200" s="10">
        <v>0.0</v>
      </c>
      <c r="V200" s="10">
        <v>0.0</v>
      </c>
      <c r="W200" s="10">
        <v>0.0</v>
      </c>
      <c r="X200" s="10">
        <v>13.0</v>
      </c>
      <c r="Y200" s="10">
        <v>0.0</v>
      </c>
      <c r="Z200" s="10">
        <v>13.0</v>
      </c>
      <c r="AA200" s="10">
        <v>1.0</v>
      </c>
      <c r="AB200" s="10">
        <v>13.0</v>
      </c>
      <c r="AC200" s="11" t="s">
        <v>197</v>
      </c>
      <c r="AD200" s="9" t="s">
        <v>471</v>
      </c>
      <c r="AE200" s="9" t="str">
        <f>IFERROR(__xludf.DUMMYFUNCTION("GOOGLETRANSLATE(AD200,""pt"",""en"")"),"confused in the condition of IF")</f>
        <v>confused in the condition of IF</v>
      </c>
      <c r="AF200" s="10"/>
      <c r="AG200" s="9"/>
      <c r="AH200" s="9" t="s">
        <v>83</v>
      </c>
      <c r="AI200" s="9" t="str">
        <f>IFERROR(__xludf.DUMMYFUNCTION("GOOGLETRANSLATE(AH200,""pt"",""en"")"),"Enter and go out with frequency at AOI")</f>
        <v>Enter and go out with frequency at AOI</v>
      </c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</row>
    <row r="201">
      <c r="A201" s="9">
        <v>49.0</v>
      </c>
      <c r="B201" s="10">
        <v>5.0</v>
      </c>
      <c r="C201" s="10">
        <v>10.0</v>
      </c>
      <c r="D201" s="9">
        <v>1.0</v>
      </c>
      <c r="E201" s="10" t="s">
        <v>38</v>
      </c>
      <c r="F201" s="10">
        <v>1.0</v>
      </c>
      <c r="G201" s="10">
        <v>1.0</v>
      </c>
      <c r="H201" s="10" t="s">
        <v>39</v>
      </c>
      <c r="I201" s="10">
        <v>1.0</v>
      </c>
      <c r="J201" s="10" t="s">
        <v>40</v>
      </c>
      <c r="K201" s="10" t="s">
        <v>85</v>
      </c>
      <c r="L201" s="10">
        <v>47.42</v>
      </c>
      <c r="M201" s="10">
        <v>72.0</v>
      </c>
      <c r="N201" s="10">
        <v>25.19</v>
      </c>
      <c r="O201" s="10">
        <v>29.0</v>
      </c>
      <c r="P201" s="10">
        <v>15.0</v>
      </c>
      <c r="Q201" s="10">
        <v>14.0</v>
      </c>
      <c r="R201" s="10">
        <v>5.69</v>
      </c>
      <c r="S201" s="10">
        <v>8.0</v>
      </c>
      <c r="T201" s="10">
        <v>2.37</v>
      </c>
      <c r="U201" s="10">
        <v>0.0</v>
      </c>
      <c r="V201" s="10">
        <v>0.0</v>
      </c>
      <c r="W201" s="10">
        <v>0.0</v>
      </c>
      <c r="X201" s="10">
        <v>5.0</v>
      </c>
      <c r="Y201" s="10">
        <v>0.0</v>
      </c>
      <c r="Z201" s="10">
        <v>5.0</v>
      </c>
      <c r="AA201" s="10">
        <v>0.0</v>
      </c>
      <c r="AB201" s="10">
        <v>5.0</v>
      </c>
      <c r="AC201" s="11" t="s">
        <v>90</v>
      </c>
      <c r="AD201" s="9" t="s">
        <v>472</v>
      </c>
      <c r="AE201" s="9" t="str">
        <f>IFERROR(__xludf.DUMMYFUNCTION("GOOGLETRANSLATE(AD201,""pt"",""en"")"),"Part of IF is difficult (exchange of values)")</f>
        <v>Part of IF is difficult (exchange of values)</v>
      </c>
      <c r="AF201" s="10"/>
      <c r="AG201" s="9"/>
      <c r="AH201" s="10"/>
      <c r="AI201" s="9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</row>
    <row r="202">
      <c r="A202" s="9">
        <v>301.0</v>
      </c>
      <c r="B202" s="10">
        <v>10.0</v>
      </c>
      <c r="C202" s="10">
        <v>19.0</v>
      </c>
      <c r="D202" s="9">
        <v>1.0</v>
      </c>
      <c r="E202" s="10" t="s">
        <v>367</v>
      </c>
      <c r="F202" s="10">
        <v>1.0</v>
      </c>
      <c r="G202" s="10">
        <v>1.0</v>
      </c>
      <c r="H202" s="10" t="s">
        <v>102</v>
      </c>
      <c r="I202" s="10">
        <v>2.0</v>
      </c>
      <c r="J202" s="10" t="s">
        <v>40</v>
      </c>
      <c r="K202" s="10" t="s">
        <v>41</v>
      </c>
      <c r="L202" s="10">
        <v>97.1</v>
      </c>
      <c r="M202" s="10">
        <v>77.0</v>
      </c>
      <c r="N202" s="10">
        <v>22.16</v>
      </c>
      <c r="O202" s="10">
        <v>33.0</v>
      </c>
      <c r="P202" s="10">
        <v>10.0</v>
      </c>
      <c r="Q202" s="10">
        <v>23.0</v>
      </c>
      <c r="R202" s="10">
        <v>18.75</v>
      </c>
      <c r="S202" s="10">
        <v>20.0</v>
      </c>
      <c r="T202" s="10">
        <v>5.76</v>
      </c>
      <c r="U202" s="10">
        <v>1.0</v>
      </c>
      <c r="V202" s="10">
        <v>1.0</v>
      </c>
      <c r="W202" s="10">
        <v>0.0</v>
      </c>
      <c r="X202" s="10">
        <v>13.0</v>
      </c>
      <c r="Y202" s="10">
        <v>0.0</v>
      </c>
      <c r="Z202" s="10">
        <v>13.0</v>
      </c>
      <c r="AA202" s="10">
        <v>0.0</v>
      </c>
      <c r="AB202" s="10">
        <v>14.0</v>
      </c>
      <c r="AC202" s="11" t="s">
        <v>181</v>
      </c>
      <c r="AD202" s="9" t="s">
        <v>473</v>
      </c>
      <c r="AE202" s="9" t="str">
        <f>IFERROR(__xludf.DUMMYFUNCTION("GOOGLETRANSLATE(AD202,""pt"",""en"")"),"Excerpt from IF was a little difficult")</f>
        <v>Excerpt from IF was a little difficult</v>
      </c>
      <c r="AF202" s="10"/>
      <c r="AG202" s="9"/>
      <c r="AH202" s="9" t="s">
        <v>474</v>
      </c>
      <c r="AI202" s="9" t="str">
        <f>IFERROR(__xludf.DUMMYFUNCTION("GOOGLETRANSLATE(AH202,""pt"",""en"")"),"Wrong, there was more entrances to AOI")</f>
        <v>Wrong, there was more entrances to AOI</v>
      </c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</row>
    <row r="203">
      <c r="A203" s="9">
        <v>331.0</v>
      </c>
      <c r="B203" s="10">
        <v>12.0</v>
      </c>
      <c r="C203" s="10">
        <v>23.0</v>
      </c>
      <c r="D203" s="9">
        <v>2.0</v>
      </c>
      <c r="E203" s="10" t="s">
        <v>49</v>
      </c>
      <c r="F203" s="10">
        <v>1.0</v>
      </c>
      <c r="G203" s="10">
        <v>2.0</v>
      </c>
      <c r="H203" s="10" t="s">
        <v>39</v>
      </c>
      <c r="I203" s="10">
        <v>1.0</v>
      </c>
      <c r="J203" s="10" t="s">
        <v>40</v>
      </c>
      <c r="K203" s="10" t="s">
        <v>85</v>
      </c>
      <c r="L203" s="10">
        <v>32.15</v>
      </c>
      <c r="M203" s="10">
        <v>47.0</v>
      </c>
      <c r="N203" s="10">
        <v>14.71</v>
      </c>
      <c r="O203" s="10">
        <v>23.0</v>
      </c>
      <c r="P203" s="10">
        <v>5.0</v>
      </c>
      <c r="Q203" s="10">
        <v>18.0</v>
      </c>
      <c r="R203" s="10">
        <v>5.15</v>
      </c>
      <c r="S203" s="10">
        <v>10.0</v>
      </c>
      <c r="T203" s="10">
        <v>2.55</v>
      </c>
      <c r="U203" s="10">
        <v>1.0</v>
      </c>
      <c r="V203" s="10">
        <v>1.0</v>
      </c>
      <c r="W203" s="10">
        <v>0.0</v>
      </c>
      <c r="X203" s="10">
        <v>9.0</v>
      </c>
      <c r="Y203" s="10">
        <v>0.0</v>
      </c>
      <c r="Z203" s="10">
        <v>9.0</v>
      </c>
      <c r="AA203" s="10">
        <v>0.0</v>
      </c>
      <c r="AB203" s="10">
        <v>9.0</v>
      </c>
      <c r="AC203" s="11" t="s">
        <v>158</v>
      </c>
      <c r="AD203" s="10" t="s">
        <v>475</v>
      </c>
      <c r="AE203" s="9" t="str">
        <f>IFERROR(__xludf.DUMMYFUNCTION("GOOGLETRANSLATE(AD203,""pt"",""en"")"),"Exchange of values ​​can confuse")</f>
        <v>Exchange of values ​​can confuse</v>
      </c>
      <c r="AF203" s="10"/>
      <c r="AG203" s="9"/>
      <c r="AH203" s="9" t="s">
        <v>476</v>
      </c>
      <c r="AI203" s="9" t="str">
        <f>IFERROR(__xludf.DUMMYFUNCTION("GOOGLETRANSLATE(AH203,""pt"",""en"")"),"More entrances to AOI")</f>
        <v>More entrances to AOI</v>
      </c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</row>
    <row r="204">
      <c r="A204" s="9">
        <v>368.0</v>
      </c>
      <c r="B204" s="10">
        <v>15.0</v>
      </c>
      <c r="C204" s="10">
        <v>29.0</v>
      </c>
      <c r="D204" s="9">
        <v>2.0</v>
      </c>
      <c r="E204" s="10" t="s">
        <v>96</v>
      </c>
      <c r="F204" s="10">
        <v>2.0</v>
      </c>
      <c r="G204" s="10">
        <v>2.0</v>
      </c>
      <c r="H204" s="10" t="s">
        <v>39</v>
      </c>
      <c r="I204" s="10">
        <v>2.0</v>
      </c>
      <c r="J204" s="10" t="s">
        <v>40</v>
      </c>
      <c r="K204" s="10" t="s">
        <v>57</v>
      </c>
      <c r="L204" s="10">
        <v>110.2</v>
      </c>
      <c r="M204" s="10">
        <v>110.0</v>
      </c>
      <c r="N204" s="10">
        <v>36.35</v>
      </c>
      <c r="O204" s="10">
        <v>51.0</v>
      </c>
      <c r="P204" s="10">
        <v>24.0</v>
      </c>
      <c r="Q204" s="10">
        <v>27.0</v>
      </c>
      <c r="R204" s="10">
        <v>26.14</v>
      </c>
      <c r="S204" s="10">
        <v>34.0</v>
      </c>
      <c r="T204" s="10">
        <v>9.97</v>
      </c>
      <c r="U204" s="10">
        <v>9.0</v>
      </c>
      <c r="V204" s="10">
        <v>9.0</v>
      </c>
      <c r="W204" s="10">
        <v>0.0</v>
      </c>
      <c r="X204" s="10">
        <v>17.0</v>
      </c>
      <c r="Y204" s="10">
        <v>11.0</v>
      </c>
      <c r="Z204" s="10">
        <v>6.0</v>
      </c>
      <c r="AA204" s="10">
        <v>10.0</v>
      </c>
      <c r="AB204" s="10">
        <v>7.0</v>
      </c>
      <c r="AC204" s="11" t="s">
        <v>189</v>
      </c>
      <c r="AD204" s="10" t="s">
        <v>477</v>
      </c>
      <c r="AE204" s="9" t="str">
        <f>IFERROR(__xludf.DUMMYFUNCTION("GOOGLETRANSLATE(AD204,""pt"",""en"")"),"was confused in the cont")</f>
        <v>was confused in the cont</v>
      </c>
      <c r="AF204" s="10"/>
      <c r="AG204" s="9"/>
      <c r="AH204" s="10"/>
      <c r="AI204" s="9"/>
      <c r="AJ204" s="13" t="s">
        <v>478</v>
      </c>
      <c r="AK204" s="13" t="str">
        <f>IFERROR(__xludf.DUMMYFUNCTION("GOOGLETRANSLATE(AJ204,""pt"",""en"")"),"Difficulty with variable in if statement")</f>
        <v>Difficulty with variable in if statement</v>
      </c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</row>
    <row r="205">
      <c r="A205" s="9">
        <v>110.0</v>
      </c>
      <c r="B205" s="10">
        <v>10.0</v>
      </c>
      <c r="C205" s="10">
        <v>20.0</v>
      </c>
      <c r="D205" s="9">
        <v>1.0</v>
      </c>
      <c r="E205" s="10" t="s">
        <v>139</v>
      </c>
      <c r="F205" s="10">
        <v>2.0</v>
      </c>
      <c r="G205" s="10">
        <v>1.0</v>
      </c>
      <c r="H205" s="10" t="s">
        <v>39</v>
      </c>
      <c r="I205" s="10">
        <v>2.0</v>
      </c>
      <c r="J205" s="10" t="s">
        <v>105</v>
      </c>
      <c r="K205" s="10" t="s">
        <v>41</v>
      </c>
      <c r="L205" s="10">
        <v>60.4</v>
      </c>
      <c r="M205" s="10">
        <v>86.0</v>
      </c>
      <c r="N205" s="10">
        <v>37.15</v>
      </c>
      <c r="O205" s="10">
        <v>43.0</v>
      </c>
      <c r="P205" s="10">
        <v>27.0</v>
      </c>
      <c r="Q205" s="10">
        <v>16.0</v>
      </c>
      <c r="R205" s="10">
        <v>23.54</v>
      </c>
      <c r="S205" s="10">
        <v>45.0</v>
      </c>
      <c r="T205" s="10">
        <v>17.88</v>
      </c>
      <c r="U205" s="10">
        <v>18.0</v>
      </c>
      <c r="V205" s="10">
        <v>18.0</v>
      </c>
      <c r="W205" s="10">
        <v>0.0</v>
      </c>
      <c r="X205" s="10">
        <v>12.0</v>
      </c>
      <c r="Y205" s="10">
        <v>8.0</v>
      </c>
      <c r="Z205" s="10">
        <v>4.0</v>
      </c>
      <c r="AA205" s="10">
        <v>6.0</v>
      </c>
      <c r="AB205" s="10">
        <v>6.0</v>
      </c>
      <c r="AC205" s="11" t="s">
        <v>197</v>
      </c>
      <c r="AD205" s="10" t="s">
        <v>479</v>
      </c>
      <c r="AE205" s="9" t="str">
        <f>IFERROR(__xludf.DUMMYFUNCTION("GOOGLETRANSLATE(AD205,""pt"",""en"")"),"did not understand in print")</f>
        <v>did not understand in print</v>
      </c>
      <c r="AF205" s="10"/>
      <c r="AG205" s="9"/>
      <c r="AH205" s="9" t="s">
        <v>104</v>
      </c>
      <c r="AI205" s="9" t="str">
        <f>IFERROR(__xludf.DUMMYFUNCTION("GOOGLETRANSLATE(AH205,""pt"",""en"")"),"made a mistake, spent more time and more regressions")</f>
        <v>made a mistake, spent more time and more regressions</v>
      </c>
      <c r="AJ205" s="13" t="s">
        <v>480</v>
      </c>
      <c r="AK205" s="13" t="str">
        <f>IFERROR(__xludf.DUMMYFUNCTION("GOOGLETRANSLATE(AJ205,""pt"",""en"")"),"did not understand the final result")</f>
        <v>did not understand the final result</v>
      </c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</row>
    <row r="206">
      <c r="A206" s="9">
        <v>206.0</v>
      </c>
      <c r="B206" s="10">
        <v>2.0</v>
      </c>
      <c r="C206" s="10">
        <v>3.0</v>
      </c>
      <c r="D206" s="9">
        <v>1.0</v>
      </c>
      <c r="E206" s="10" t="s">
        <v>124</v>
      </c>
      <c r="F206" s="10">
        <v>2.0</v>
      </c>
      <c r="G206" s="10">
        <v>1.0</v>
      </c>
      <c r="H206" s="10" t="s">
        <v>102</v>
      </c>
      <c r="I206" s="10">
        <v>3.0</v>
      </c>
      <c r="J206" s="10" t="s">
        <v>105</v>
      </c>
      <c r="K206" s="10" t="s">
        <v>41</v>
      </c>
      <c r="L206" s="10">
        <v>179.15</v>
      </c>
      <c r="M206" s="10">
        <v>283.0</v>
      </c>
      <c r="N206" s="10">
        <v>109.97</v>
      </c>
      <c r="O206" s="10">
        <v>115.0</v>
      </c>
      <c r="P206" s="10">
        <v>58.0</v>
      </c>
      <c r="Q206" s="10">
        <v>57.0</v>
      </c>
      <c r="R206" s="10">
        <v>58.26</v>
      </c>
      <c r="S206" s="10">
        <v>98.0</v>
      </c>
      <c r="T206" s="10">
        <v>37.68</v>
      </c>
      <c r="U206" s="10">
        <v>24.0</v>
      </c>
      <c r="V206" s="10">
        <v>24.0</v>
      </c>
      <c r="W206" s="10">
        <v>0.0</v>
      </c>
      <c r="X206" s="10">
        <v>41.0</v>
      </c>
      <c r="Y206" s="10">
        <v>22.0</v>
      </c>
      <c r="Z206" s="10">
        <v>19.0</v>
      </c>
      <c r="AA206" s="10">
        <v>15.0</v>
      </c>
      <c r="AB206" s="10">
        <v>26.0</v>
      </c>
      <c r="AC206" s="11" t="s">
        <v>97</v>
      </c>
      <c r="AD206" s="10" t="s">
        <v>481</v>
      </c>
      <c r="AE206" s="9" t="str">
        <f>IFERROR(__xludf.DUMMYFUNCTION("GOOGLETRANSLATE(AD206,""pt"",""en"")"),"was confused with the initial value")</f>
        <v>was confused with the initial value</v>
      </c>
      <c r="AF206" s="10"/>
      <c r="AG206" s="9"/>
      <c r="AH206" s="9" t="s">
        <v>104</v>
      </c>
      <c r="AI206" s="9" t="str">
        <f>IFERROR(__xludf.DUMMYFUNCTION("GOOGLETRANSLATE(AH206,""pt"",""en"")"),"made a mistake, spent more time and more regressions")</f>
        <v>made a mistake, spent more time and more regressions</v>
      </c>
      <c r="AJ206" s="12" t="s">
        <v>481</v>
      </c>
      <c r="AK206" s="13" t="str">
        <f>IFERROR(__xludf.DUMMYFUNCTION("GOOGLETRANSLATE(AJ206,""pt"",""en"")"),"was confused with the initial value")</f>
        <v>was confused with the initial value</v>
      </c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</row>
    <row r="207">
      <c r="A207" s="9">
        <v>93.0</v>
      </c>
      <c r="B207" s="10">
        <v>8.0</v>
      </c>
      <c r="C207" s="10">
        <v>16.0</v>
      </c>
      <c r="D207" s="9">
        <v>2.0</v>
      </c>
      <c r="E207" s="10" t="s">
        <v>101</v>
      </c>
      <c r="F207" s="10">
        <v>3.0</v>
      </c>
      <c r="G207" s="10">
        <v>2.0</v>
      </c>
      <c r="H207" s="10" t="s">
        <v>102</v>
      </c>
      <c r="I207" s="10">
        <v>2.0</v>
      </c>
      <c r="J207" s="10" t="s">
        <v>40</v>
      </c>
      <c r="K207" s="10" t="s">
        <v>41</v>
      </c>
      <c r="L207" s="10">
        <v>115.18</v>
      </c>
      <c r="M207" s="10">
        <v>210.0</v>
      </c>
      <c r="N207" s="10">
        <v>72.55</v>
      </c>
      <c r="O207" s="10">
        <v>97.0</v>
      </c>
      <c r="P207" s="10">
        <v>41.0</v>
      </c>
      <c r="Q207" s="10">
        <v>56.0</v>
      </c>
      <c r="R207" s="10">
        <v>51.88</v>
      </c>
      <c r="S207" s="10">
        <v>92.0</v>
      </c>
      <c r="T207" s="10">
        <v>33.76</v>
      </c>
      <c r="U207" s="10">
        <v>29.0</v>
      </c>
      <c r="V207" s="10">
        <v>16.0</v>
      </c>
      <c r="W207" s="10">
        <v>13.0</v>
      </c>
      <c r="X207" s="10">
        <v>31.0</v>
      </c>
      <c r="Y207" s="10">
        <v>15.0</v>
      </c>
      <c r="Z207" s="10">
        <v>16.0</v>
      </c>
      <c r="AA207" s="10">
        <v>13.0</v>
      </c>
      <c r="AB207" s="10">
        <v>18.0</v>
      </c>
      <c r="AC207" s="11" t="s">
        <v>62</v>
      </c>
      <c r="AD207" s="10" t="s">
        <v>482</v>
      </c>
      <c r="AE207" s="9" t="str">
        <f>IFERROR(__xludf.DUMMYFUNCTION("GOOGLETRANSLATE(AD207,""pt"",""en"")"),"wrapped in the cont and total")</f>
        <v>wrapped in the cont and total</v>
      </c>
      <c r="AF207" s="10"/>
      <c r="AG207" s="9"/>
      <c r="AH207" s="9" t="s">
        <v>104</v>
      </c>
      <c r="AI207" s="9" t="str">
        <f>IFERROR(__xludf.DUMMYFUNCTION("GOOGLETRANSLATE(AH207,""pt"",""en"")"),"made a mistake, spent more time and more regressions")</f>
        <v>made a mistake, spent more time and more regressions</v>
      </c>
      <c r="AJ207" s="12" t="s">
        <v>482</v>
      </c>
      <c r="AK207" s="14" t="s">
        <v>483</v>
      </c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</row>
    <row r="208">
      <c r="A208" s="9">
        <v>121.0</v>
      </c>
      <c r="B208" s="10">
        <v>11.0</v>
      </c>
      <c r="C208" s="10">
        <v>22.0</v>
      </c>
      <c r="D208" s="9">
        <v>1.0</v>
      </c>
      <c r="E208" s="10" t="s">
        <v>38</v>
      </c>
      <c r="F208" s="10">
        <v>1.0</v>
      </c>
      <c r="G208" s="10">
        <v>1.0</v>
      </c>
      <c r="H208" s="10" t="s">
        <v>39</v>
      </c>
      <c r="I208" s="10">
        <v>1.0</v>
      </c>
      <c r="J208" s="10" t="s">
        <v>40</v>
      </c>
      <c r="K208" s="10" t="s">
        <v>41</v>
      </c>
      <c r="L208" s="10">
        <v>41.22</v>
      </c>
      <c r="M208" s="10">
        <v>62.0</v>
      </c>
      <c r="N208" s="10">
        <v>18.59</v>
      </c>
      <c r="O208" s="10">
        <v>26.0</v>
      </c>
      <c r="P208" s="10">
        <v>10.0</v>
      </c>
      <c r="Q208" s="10">
        <v>16.0</v>
      </c>
      <c r="R208" s="10">
        <v>3.37</v>
      </c>
      <c r="S208" s="10">
        <v>7.0</v>
      </c>
      <c r="T208" s="10">
        <v>1.77</v>
      </c>
      <c r="U208" s="10">
        <v>0.0</v>
      </c>
      <c r="V208" s="10">
        <v>0.0</v>
      </c>
      <c r="W208" s="10">
        <v>0.0</v>
      </c>
      <c r="X208" s="10">
        <v>6.0</v>
      </c>
      <c r="Y208" s="10">
        <v>1.0</v>
      </c>
      <c r="Z208" s="10">
        <v>5.0</v>
      </c>
      <c r="AA208" s="10">
        <v>0.0</v>
      </c>
      <c r="AB208" s="10">
        <v>6.0</v>
      </c>
      <c r="AC208" s="11" t="s">
        <v>86</v>
      </c>
      <c r="AD208" s="10" t="s">
        <v>484</v>
      </c>
      <c r="AE208" s="9" t="str">
        <f>IFERROR(__xludf.DUMMYFUNCTION("GOOGLETRANSLATE(AD208,""pt"",""en"")"),"unnecessary temporary")</f>
        <v>unnecessary temporary</v>
      </c>
      <c r="AF208" s="10"/>
      <c r="AG208" s="9"/>
      <c r="AH208" s="10"/>
      <c r="AI208" s="9"/>
      <c r="AJ208" s="14" t="s">
        <v>485</v>
      </c>
      <c r="AK208" s="13" t="str">
        <f>IFERROR(__xludf.DUMMYFUNCTION("GOOGLETRANSLATE(AJ208,""pt"",""en"")"),"Variable Temp Needless")</f>
        <v>Variable Temp Needless</v>
      </c>
      <c r="AL208" s="27" t="s">
        <v>486</v>
      </c>
      <c r="AM208" s="13" t="str">
        <f>IFERROR(__xludf.DUMMYFUNCTION("GOOGLETRANSLATE(AL208,""pt"",""en"")"),"temporary variable")</f>
        <v>temporary variable</v>
      </c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</row>
    <row r="209">
      <c r="A209" s="9">
        <v>209.0</v>
      </c>
      <c r="B209" s="10">
        <v>2.0</v>
      </c>
      <c r="C209" s="10">
        <v>3.0</v>
      </c>
      <c r="D209" s="9">
        <v>1.0</v>
      </c>
      <c r="E209" s="10" t="s">
        <v>121</v>
      </c>
      <c r="F209" s="10">
        <v>5.0</v>
      </c>
      <c r="G209" s="10">
        <v>1.0</v>
      </c>
      <c r="H209" s="10" t="s">
        <v>102</v>
      </c>
      <c r="I209" s="10">
        <v>2.0</v>
      </c>
      <c r="J209" s="10" t="s">
        <v>40</v>
      </c>
      <c r="K209" s="10" t="s">
        <v>85</v>
      </c>
      <c r="L209" s="10">
        <v>189.24</v>
      </c>
      <c r="M209" s="10">
        <v>328.0</v>
      </c>
      <c r="N209" s="10">
        <v>125.71</v>
      </c>
      <c r="O209" s="10">
        <v>140.0</v>
      </c>
      <c r="P209" s="10">
        <v>78.0</v>
      </c>
      <c r="Q209" s="10">
        <v>62.0</v>
      </c>
      <c r="R209" s="10">
        <v>64.72</v>
      </c>
      <c r="S209" s="10">
        <v>125.0</v>
      </c>
      <c r="T209" s="10">
        <v>50.41</v>
      </c>
      <c r="U209" s="10">
        <v>37.0</v>
      </c>
      <c r="V209" s="10">
        <v>37.0</v>
      </c>
      <c r="W209" s="10">
        <v>0.0</v>
      </c>
      <c r="X209" s="10">
        <v>35.0</v>
      </c>
      <c r="Y209" s="10">
        <v>13.0</v>
      </c>
      <c r="Z209" s="10">
        <v>22.0</v>
      </c>
      <c r="AA209" s="10">
        <v>16.0</v>
      </c>
      <c r="AB209" s="10">
        <v>20.0</v>
      </c>
      <c r="AC209" s="11" t="s">
        <v>97</v>
      </c>
      <c r="AD209" s="10" t="s">
        <v>487</v>
      </c>
      <c r="AE209" s="9" t="str">
        <f>IFERROR(__xludf.DUMMYFUNCTION("GOOGLETRANSLATE(AD209,""pt"",""en"")"),"if difficult to % and! =")</f>
        <v>if difficult to % and! =</v>
      </c>
      <c r="AF209" s="10"/>
      <c r="AG209" s="9"/>
      <c r="AH209" s="9" t="s">
        <v>104</v>
      </c>
      <c r="AI209" s="9" t="str">
        <f>IFERROR(__xludf.DUMMYFUNCTION("GOOGLETRANSLATE(AH209,""pt"",""en"")"),"made a mistake, spent more time and more regressions")</f>
        <v>made a mistake, spent more time and more regressions</v>
      </c>
      <c r="AJ209" s="13" t="s">
        <v>488</v>
      </c>
      <c r="AK209" s="13" t="str">
        <f>IFERROR(__xludf.DUMMYFUNCTION("GOOGLETRANSLATE(AJ209,""pt"",""en"")"),"combination of module and equality operators is difficult")</f>
        <v>combination of module and equality operators is difficult</v>
      </c>
      <c r="AL209" s="13" t="s">
        <v>489</v>
      </c>
      <c r="AM209" s="13" t="str">
        <f>IFERROR(__xludf.DUMMYFUNCTION("GOOGLETRANSLATE(AL209,""pt"",""en"")"),"Combination of operators")</f>
        <v>Combination of operators</v>
      </c>
      <c r="AN209" s="13" t="s">
        <v>490</v>
      </c>
      <c r="AO209" s="14" t="s">
        <v>491</v>
      </c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</row>
    <row r="210">
      <c r="A210" s="9">
        <v>23.0</v>
      </c>
      <c r="B210" s="10">
        <v>2.0</v>
      </c>
      <c r="C210" s="10">
        <v>4.0</v>
      </c>
      <c r="D210" s="9">
        <v>2.0</v>
      </c>
      <c r="E210" s="10" t="s">
        <v>152</v>
      </c>
      <c r="F210" s="10">
        <v>5.0</v>
      </c>
      <c r="G210" s="10">
        <v>2.0</v>
      </c>
      <c r="H210" s="10" t="s">
        <v>102</v>
      </c>
      <c r="I210" s="10">
        <v>1.0</v>
      </c>
      <c r="J210" s="10" t="s">
        <v>40</v>
      </c>
      <c r="K210" s="10" t="s">
        <v>57</v>
      </c>
      <c r="L210" s="10">
        <v>44.99</v>
      </c>
      <c r="M210" s="10">
        <v>70.0</v>
      </c>
      <c r="N210" s="10">
        <v>30.14</v>
      </c>
      <c r="O210" s="10">
        <v>31.0</v>
      </c>
      <c r="P210" s="10">
        <v>18.0</v>
      </c>
      <c r="Q210" s="10">
        <v>13.0</v>
      </c>
      <c r="R210" s="10">
        <v>21.19</v>
      </c>
      <c r="S210" s="10">
        <v>33.0</v>
      </c>
      <c r="T210" s="10">
        <v>16.03</v>
      </c>
      <c r="U210" s="10">
        <v>9.0</v>
      </c>
      <c r="V210" s="10">
        <v>9.0</v>
      </c>
      <c r="W210" s="10">
        <v>0.0</v>
      </c>
      <c r="X210" s="10">
        <v>6.0</v>
      </c>
      <c r="Y210" s="10">
        <v>3.0</v>
      </c>
      <c r="Z210" s="10">
        <v>3.0</v>
      </c>
      <c r="AA210" s="10">
        <v>3.0</v>
      </c>
      <c r="AB210" s="10">
        <v>3.0</v>
      </c>
      <c r="AC210" s="11" t="s">
        <v>58</v>
      </c>
      <c r="AD210" s="10" t="s">
        <v>492</v>
      </c>
      <c r="AE210" s="9" t="str">
        <f>IFERROR(__xludf.DUMMYFUNCTION("GOOGLETRANSLATE(AD210,""pt"",""en"")"),"% E! = Better")</f>
        <v>% E! = Better</v>
      </c>
      <c r="AF210" s="10"/>
      <c r="AG210" s="9"/>
      <c r="AH210" s="10"/>
      <c r="AI210" s="9"/>
      <c r="AJ210" s="13" t="s">
        <v>493</v>
      </c>
      <c r="AK210" s="13" t="str">
        <f>IFERROR(__xludf.DUMMYFUNCTION("GOOGLETRANSLATE(AJ210,""pt"",""en"")"),"prefers statement with explicit module")</f>
        <v>prefers statement with explicit module</v>
      </c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</row>
    <row r="211">
      <c r="A211" s="9">
        <v>281.0</v>
      </c>
      <c r="B211" s="10">
        <v>8.0</v>
      </c>
      <c r="C211" s="10">
        <v>15.0</v>
      </c>
      <c r="D211" s="9">
        <v>1.0</v>
      </c>
      <c r="E211" s="10" t="s">
        <v>121</v>
      </c>
      <c r="F211" s="10">
        <v>5.0</v>
      </c>
      <c r="G211" s="10">
        <v>1.0</v>
      </c>
      <c r="H211" s="10" t="s">
        <v>102</v>
      </c>
      <c r="I211" s="10">
        <v>2.0</v>
      </c>
      <c r="J211" s="10" t="s">
        <v>105</v>
      </c>
      <c r="K211" s="10" t="s">
        <v>85</v>
      </c>
      <c r="L211" s="10">
        <v>160.55</v>
      </c>
      <c r="M211" s="10">
        <v>248.0</v>
      </c>
      <c r="N211" s="10">
        <v>88.89</v>
      </c>
      <c r="O211" s="10">
        <v>127.0</v>
      </c>
      <c r="P211" s="10">
        <v>78.0</v>
      </c>
      <c r="Q211" s="10">
        <v>49.0</v>
      </c>
      <c r="R211" s="10">
        <v>63.7</v>
      </c>
      <c r="S211" s="10">
        <v>121.0</v>
      </c>
      <c r="T211" s="10">
        <v>43.48</v>
      </c>
      <c r="U211" s="10">
        <v>42.0</v>
      </c>
      <c r="V211" s="10">
        <v>42.0</v>
      </c>
      <c r="W211" s="10">
        <v>0.0</v>
      </c>
      <c r="X211" s="10">
        <v>37.0</v>
      </c>
      <c r="Y211" s="10">
        <v>23.0</v>
      </c>
      <c r="Z211" s="10">
        <v>14.0</v>
      </c>
      <c r="AA211" s="10">
        <v>20.0</v>
      </c>
      <c r="AB211" s="10">
        <v>16.0</v>
      </c>
      <c r="AC211" s="11" t="s">
        <v>220</v>
      </c>
      <c r="AD211" s="10" t="s">
        <v>494</v>
      </c>
      <c r="AE211" s="9" t="str">
        <f>IFERROR(__xludf.DUMMYFUNCTION("GOOGLETRANSLATE(AD211,""pt"",""en"")"),"was confused with O! = 0")</f>
        <v>was confused with O! = 0</v>
      </c>
      <c r="AF211" s="10"/>
      <c r="AG211" s="9"/>
      <c r="AH211" s="9" t="s">
        <v>104</v>
      </c>
      <c r="AI211" s="9" t="str">
        <f>IFERROR(__xludf.DUMMYFUNCTION("GOOGLETRANSLATE(AH211,""pt"",""en"")"),"made a mistake, spent more time and more regressions")</f>
        <v>made a mistake, spent more time and more regressions</v>
      </c>
      <c r="AJ211" s="13" t="s">
        <v>495</v>
      </c>
      <c r="AK211" s="13" t="str">
        <f>IFERROR(__xludf.DUMMYFUNCTION("GOOGLETRANSLATE(AJ211,""pt"",""en"")"),"found the explicit confused")</f>
        <v>found the explicit confused</v>
      </c>
      <c r="AL211" s="13" t="s">
        <v>496</v>
      </c>
      <c r="AM211" s="13" t="str">
        <f>IFERROR(__xludf.DUMMYFUNCTION("GOOGLETRANSLATE(AL211,""pt"",""en"")"),"arithmetic operators")</f>
        <v>arithmetic operators</v>
      </c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</row>
    <row r="212">
      <c r="A212" s="9">
        <v>233.0</v>
      </c>
      <c r="B212" s="10">
        <v>4.0</v>
      </c>
      <c r="C212" s="10">
        <v>7.0</v>
      </c>
      <c r="D212" s="9">
        <v>1.0</v>
      </c>
      <c r="E212" s="10" t="s">
        <v>121</v>
      </c>
      <c r="F212" s="10">
        <v>5.0</v>
      </c>
      <c r="G212" s="10">
        <v>1.0</v>
      </c>
      <c r="H212" s="10" t="s">
        <v>102</v>
      </c>
      <c r="I212" s="10">
        <v>2.0</v>
      </c>
      <c r="J212" s="10" t="s">
        <v>105</v>
      </c>
      <c r="K212" s="10" t="s">
        <v>57</v>
      </c>
      <c r="L212" s="10">
        <v>133.49</v>
      </c>
      <c r="M212" s="10">
        <v>164.0</v>
      </c>
      <c r="N212" s="10">
        <v>52.61</v>
      </c>
      <c r="O212" s="10">
        <v>74.0</v>
      </c>
      <c r="P212" s="10">
        <v>46.0</v>
      </c>
      <c r="Q212" s="10">
        <v>28.0</v>
      </c>
      <c r="R212" s="10">
        <v>44.92</v>
      </c>
      <c r="S212" s="10">
        <v>82.0</v>
      </c>
      <c r="T212" s="10">
        <v>26.73</v>
      </c>
      <c r="U212" s="10">
        <v>33.0</v>
      </c>
      <c r="V212" s="10">
        <v>33.0</v>
      </c>
      <c r="W212" s="10">
        <v>0.0</v>
      </c>
      <c r="X212" s="10">
        <v>16.0</v>
      </c>
      <c r="Y212" s="10">
        <v>11.0</v>
      </c>
      <c r="Z212" s="10">
        <v>5.0</v>
      </c>
      <c r="AA212" s="10">
        <v>8.0</v>
      </c>
      <c r="AB212" s="10">
        <v>8.0</v>
      </c>
      <c r="AC212" s="11" t="s">
        <v>167</v>
      </c>
      <c r="AD212" s="10" t="s">
        <v>497</v>
      </c>
      <c r="AE212" s="9" t="str">
        <f>IFERROR(__xludf.DUMMYFUNCTION("GOOGLETRANSLATE(AD212,""pt"",""en"")"),"if difficult because of! =")</f>
        <v>if difficult because of! =</v>
      </c>
      <c r="AF212" s="10"/>
      <c r="AG212" s="9"/>
      <c r="AH212" s="10"/>
      <c r="AI212" s="9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</row>
    <row r="213">
      <c r="A213" s="9">
        <v>83.0</v>
      </c>
      <c r="B213" s="10">
        <v>7.0</v>
      </c>
      <c r="C213" s="10">
        <v>14.0</v>
      </c>
      <c r="D213" s="9">
        <v>2.0</v>
      </c>
      <c r="E213" s="10" t="s">
        <v>152</v>
      </c>
      <c r="F213" s="10">
        <v>5.0</v>
      </c>
      <c r="G213" s="10">
        <v>2.0</v>
      </c>
      <c r="H213" s="10" t="s">
        <v>102</v>
      </c>
      <c r="I213" s="10">
        <v>1.0</v>
      </c>
      <c r="J213" s="10" t="s">
        <v>40</v>
      </c>
      <c r="K213" s="10" t="s">
        <v>41</v>
      </c>
      <c r="L213" s="10">
        <v>29.93</v>
      </c>
      <c r="M213" s="10">
        <v>42.0</v>
      </c>
      <c r="N213" s="10">
        <v>15.16</v>
      </c>
      <c r="O213" s="10">
        <v>15.0</v>
      </c>
      <c r="P213" s="10">
        <v>7.0</v>
      </c>
      <c r="Q213" s="10">
        <v>8.0</v>
      </c>
      <c r="R213" s="10">
        <v>3.36</v>
      </c>
      <c r="S213" s="10">
        <v>2.0</v>
      </c>
      <c r="T213" s="10">
        <v>0.66</v>
      </c>
      <c r="U213" s="10">
        <v>0.0</v>
      </c>
      <c r="V213" s="10">
        <v>0.0</v>
      </c>
      <c r="W213" s="10">
        <v>0.0</v>
      </c>
      <c r="X213" s="10">
        <v>2.0</v>
      </c>
      <c r="Y213" s="10">
        <v>2.0</v>
      </c>
      <c r="Z213" s="10">
        <v>0.0</v>
      </c>
      <c r="AA213" s="10">
        <v>2.0</v>
      </c>
      <c r="AB213" s="10">
        <v>0.0</v>
      </c>
      <c r="AC213" s="11" t="s">
        <v>118</v>
      </c>
      <c r="AD213" s="10" t="s">
        <v>498</v>
      </c>
      <c r="AE213" s="9" t="str">
        <f>IFERROR(__xludf.DUMMYFUNCTION("GOOGLETRANSLATE(AD213,""pt"",""en"")"),"o! = facilitated")</f>
        <v>o! = facilitated</v>
      </c>
      <c r="AF213" s="10"/>
      <c r="AG213" s="9"/>
      <c r="AH213" s="10"/>
      <c r="AI213" s="9"/>
      <c r="AJ213" s="14" t="s">
        <v>499</v>
      </c>
      <c r="AK213" s="13" t="str">
        <f>IFERROR(__xludf.DUMMYFUNCTION("GOOGLETRANSLATE(AJ213,""pt"",""en"")"),"found the explicit easy")</f>
        <v>found the explicit easy</v>
      </c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</row>
    <row r="214">
      <c r="A214" s="9">
        <v>360.0</v>
      </c>
      <c r="B214" s="10">
        <v>14.0</v>
      </c>
      <c r="C214" s="10">
        <v>27.0</v>
      </c>
      <c r="D214" s="9">
        <v>2.0</v>
      </c>
      <c r="E214" s="10" t="s">
        <v>157</v>
      </c>
      <c r="F214" s="10">
        <v>6.0</v>
      </c>
      <c r="G214" s="10">
        <v>2.0</v>
      </c>
      <c r="H214" s="10" t="s">
        <v>39</v>
      </c>
      <c r="I214" s="10">
        <v>1.0</v>
      </c>
      <c r="J214" s="10" t="s">
        <v>40</v>
      </c>
      <c r="K214" s="10" t="s">
        <v>41</v>
      </c>
      <c r="L214" s="10">
        <v>66.97</v>
      </c>
      <c r="M214" s="10">
        <v>73.0</v>
      </c>
      <c r="N214" s="10">
        <v>26.29</v>
      </c>
      <c r="O214" s="10">
        <v>35.0</v>
      </c>
      <c r="P214" s="10">
        <v>14.0</v>
      </c>
      <c r="Q214" s="10">
        <v>21.0</v>
      </c>
      <c r="R214" s="10">
        <v>13.43</v>
      </c>
      <c r="S214" s="10">
        <v>15.0</v>
      </c>
      <c r="T214" s="10">
        <v>6.66</v>
      </c>
      <c r="U214" s="10">
        <v>1.0</v>
      </c>
      <c r="V214" s="10">
        <v>1.0</v>
      </c>
      <c r="W214" s="10">
        <v>0.0</v>
      </c>
      <c r="X214" s="10">
        <v>11.0</v>
      </c>
      <c r="Y214" s="10">
        <v>11.0</v>
      </c>
      <c r="Z214" s="10">
        <v>0.0</v>
      </c>
      <c r="AA214" s="10">
        <v>11.0</v>
      </c>
      <c r="AB214" s="10">
        <v>0.0</v>
      </c>
      <c r="AC214" s="11" t="s">
        <v>69</v>
      </c>
      <c r="AD214" s="10" t="s">
        <v>500</v>
      </c>
      <c r="AE214" s="9" t="str">
        <f>IFERROR(__xludf.DUMMYFUNCTION("GOOGLETRANSLATE(AD214,""pt"",""en"")"),"clear and easy to increase")</f>
        <v>clear and easy to increase</v>
      </c>
      <c r="AF214" s="10"/>
      <c r="AG214" s="9"/>
      <c r="AH214" s="10"/>
      <c r="AI214" s="9"/>
      <c r="AJ214" s="12" t="s">
        <v>500</v>
      </c>
      <c r="AK214" s="13" t="str">
        <f>IFERROR(__xludf.DUMMYFUNCTION("GOOGLETRANSLATE(AJ214,""pt"",""en"")"),"clear and easy to increase")</f>
        <v>clear and easy to increase</v>
      </c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</row>
    <row r="215">
      <c r="A215" s="9">
        <v>65.0</v>
      </c>
      <c r="B215" s="10">
        <v>6.0</v>
      </c>
      <c r="C215" s="10">
        <v>12.0</v>
      </c>
      <c r="D215" s="9">
        <v>1.0</v>
      </c>
      <c r="E215" s="10" t="s">
        <v>136</v>
      </c>
      <c r="F215" s="10">
        <v>5.0</v>
      </c>
      <c r="G215" s="10">
        <v>1.0</v>
      </c>
      <c r="H215" s="10" t="s">
        <v>39</v>
      </c>
      <c r="I215" s="10">
        <v>2.0</v>
      </c>
      <c r="J215" s="10" t="s">
        <v>105</v>
      </c>
      <c r="K215" s="10" t="s">
        <v>85</v>
      </c>
      <c r="L215" s="10">
        <v>166.78</v>
      </c>
      <c r="M215" s="10">
        <v>222.0</v>
      </c>
      <c r="N215" s="10">
        <v>77.28</v>
      </c>
      <c r="O215" s="10">
        <v>105.0</v>
      </c>
      <c r="P215" s="10">
        <v>63.0</v>
      </c>
      <c r="Q215" s="10">
        <v>42.0</v>
      </c>
      <c r="R215" s="10">
        <v>53.9</v>
      </c>
      <c r="S215" s="10">
        <v>85.0</v>
      </c>
      <c r="T215" s="10">
        <v>32.35</v>
      </c>
      <c r="U215" s="10">
        <v>28.0</v>
      </c>
      <c r="V215" s="10">
        <v>28.0</v>
      </c>
      <c r="W215" s="10">
        <v>0.0</v>
      </c>
      <c r="X215" s="10">
        <v>22.0</v>
      </c>
      <c r="Y215" s="10">
        <v>10.0</v>
      </c>
      <c r="Z215" s="10">
        <v>12.0</v>
      </c>
      <c r="AA215" s="10">
        <v>12.0</v>
      </c>
      <c r="AB215" s="10">
        <v>10.0</v>
      </c>
      <c r="AC215" s="11" t="s">
        <v>194</v>
      </c>
      <c r="AD215" s="10" t="s">
        <v>501</v>
      </c>
      <c r="AE215" s="9" t="str">
        <f>IFERROR(__xludf.DUMMYFUNCTION("GOOGLETRANSLATE(AD215,""pt"",""en"")"),"Buggou in the rest of the division")</f>
        <v>Buggou in the rest of the division</v>
      </c>
      <c r="AF215" s="10"/>
      <c r="AG215" s="9"/>
      <c r="AH215" s="9" t="s">
        <v>104</v>
      </c>
      <c r="AI215" s="9" t="str">
        <f>IFERROR(__xludf.DUMMYFUNCTION("GOOGLETRANSLATE(AH215,""pt"",""en"")"),"made a mistake, spent more time and more regressions")</f>
        <v>made a mistake, spent more time and more regressions</v>
      </c>
      <c r="AJ215" s="13" t="s">
        <v>502</v>
      </c>
      <c r="AK215" s="13" t="str">
        <f>IFERROR(__xludf.DUMMYFUNCTION("GOOGLETRANSLATE(AJ215,""pt"",""en"")"),"confused the module")</f>
        <v>confused the module</v>
      </c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</row>
    <row r="216">
      <c r="A216" s="9">
        <v>77.0</v>
      </c>
      <c r="B216" s="10">
        <v>7.0</v>
      </c>
      <c r="C216" s="10">
        <v>14.0</v>
      </c>
      <c r="D216" s="9">
        <v>1.0</v>
      </c>
      <c r="E216" s="10" t="s">
        <v>136</v>
      </c>
      <c r="F216" s="10">
        <v>5.0</v>
      </c>
      <c r="G216" s="10">
        <v>1.0</v>
      </c>
      <c r="H216" s="10" t="s">
        <v>39</v>
      </c>
      <c r="I216" s="10">
        <v>2.0</v>
      </c>
      <c r="J216" s="10" t="s">
        <v>105</v>
      </c>
      <c r="K216" s="10" t="s">
        <v>85</v>
      </c>
      <c r="L216" s="10">
        <v>118.64</v>
      </c>
      <c r="M216" s="10">
        <v>141.0</v>
      </c>
      <c r="N216" s="10">
        <v>51.11</v>
      </c>
      <c r="O216" s="10">
        <v>60.0</v>
      </c>
      <c r="P216" s="10">
        <v>26.0</v>
      </c>
      <c r="Q216" s="10">
        <v>34.0</v>
      </c>
      <c r="R216" s="10">
        <v>31.94</v>
      </c>
      <c r="S216" s="10">
        <v>36.0</v>
      </c>
      <c r="T216" s="10">
        <v>16.41</v>
      </c>
      <c r="U216" s="10">
        <v>8.0</v>
      </c>
      <c r="V216" s="10">
        <v>8.0</v>
      </c>
      <c r="W216" s="10">
        <v>0.0</v>
      </c>
      <c r="X216" s="10">
        <v>22.0</v>
      </c>
      <c r="Y216" s="10">
        <v>15.0</v>
      </c>
      <c r="Z216" s="10">
        <v>7.0</v>
      </c>
      <c r="AA216" s="10">
        <v>14.0</v>
      </c>
      <c r="AB216" s="10">
        <v>8.0</v>
      </c>
      <c r="AC216" s="11" t="s">
        <v>118</v>
      </c>
      <c r="AD216" s="10" t="s">
        <v>503</v>
      </c>
      <c r="AE216" s="9" t="str">
        <f>IFERROR(__xludf.DUMMYFUNCTION("GOOGLETRANSLATE(AD216,""pt"",""en"")"),"Missed by mathematics in IF")</f>
        <v>Missed by mathematics in IF</v>
      </c>
      <c r="AF216" s="10"/>
      <c r="AG216" s="9"/>
      <c r="AH216" s="9" t="s">
        <v>104</v>
      </c>
      <c r="AI216" s="9" t="str">
        <f>IFERROR(__xludf.DUMMYFUNCTION("GOOGLETRANSLATE(AH216,""pt"",""en"")"),"made a mistake, spent more time and more regressions")</f>
        <v>made a mistake, spent more time and more regressions</v>
      </c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</row>
    <row r="217">
      <c r="A217" s="9">
        <v>221.0</v>
      </c>
      <c r="B217" s="10">
        <v>3.0</v>
      </c>
      <c r="C217" s="10">
        <v>5.0</v>
      </c>
      <c r="D217" s="9">
        <v>1.0</v>
      </c>
      <c r="E217" s="10" t="s">
        <v>121</v>
      </c>
      <c r="F217" s="10">
        <v>5.0</v>
      </c>
      <c r="G217" s="10">
        <v>1.0</v>
      </c>
      <c r="H217" s="10" t="s">
        <v>102</v>
      </c>
      <c r="I217" s="10">
        <v>2.0</v>
      </c>
      <c r="J217" s="10" t="s">
        <v>105</v>
      </c>
      <c r="K217" s="10" t="s">
        <v>85</v>
      </c>
      <c r="L217" s="10">
        <v>161.43</v>
      </c>
      <c r="M217" s="10">
        <v>244.0</v>
      </c>
      <c r="N217" s="10">
        <v>82.47</v>
      </c>
      <c r="O217" s="10">
        <v>109.0</v>
      </c>
      <c r="P217" s="10">
        <v>69.0</v>
      </c>
      <c r="Q217" s="10">
        <v>40.0</v>
      </c>
      <c r="R217" s="10">
        <v>63.79</v>
      </c>
      <c r="S217" s="10">
        <v>114.0</v>
      </c>
      <c r="T217" s="10">
        <v>42.0</v>
      </c>
      <c r="U217" s="10">
        <v>35.0</v>
      </c>
      <c r="V217" s="10">
        <v>35.0</v>
      </c>
      <c r="W217" s="10">
        <v>0.0</v>
      </c>
      <c r="X217" s="10">
        <v>29.0</v>
      </c>
      <c r="Y217" s="10">
        <v>11.0</v>
      </c>
      <c r="Z217" s="10">
        <v>18.0</v>
      </c>
      <c r="AA217" s="10">
        <v>10.0</v>
      </c>
      <c r="AB217" s="10">
        <v>19.0</v>
      </c>
      <c r="AC217" s="11" t="s">
        <v>249</v>
      </c>
      <c r="AD217" s="10" t="s">
        <v>504</v>
      </c>
      <c r="AE217" s="9" t="str">
        <f>IFERROR(__xludf.DUMMYFUNCTION("GOOGLETRANSLATE(AD217,""pt"",""en"")"),"confused the rest")</f>
        <v>confused the rest</v>
      </c>
      <c r="AF217" s="10"/>
      <c r="AG217" s="9"/>
      <c r="AH217" s="10"/>
      <c r="AI217" s="9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</row>
    <row r="218">
      <c r="A218" s="9">
        <v>365.0</v>
      </c>
      <c r="B218" s="10">
        <v>15.0</v>
      </c>
      <c r="C218" s="10">
        <v>29.0</v>
      </c>
      <c r="D218" s="9">
        <v>1.0</v>
      </c>
      <c r="E218" s="10" t="s">
        <v>121</v>
      </c>
      <c r="F218" s="10">
        <v>5.0</v>
      </c>
      <c r="G218" s="10">
        <v>1.0</v>
      </c>
      <c r="H218" s="10" t="s">
        <v>102</v>
      </c>
      <c r="I218" s="10">
        <v>2.0</v>
      </c>
      <c r="J218" s="10" t="s">
        <v>105</v>
      </c>
      <c r="K218" s="10" t="s">
        <v>85</v>
      </c>
      <c r="L218" s="10">
        <v>100.94</v>
      </c>
      <c r="M218" s="10">
        <v>94.0</v>
      </c>
      <c r="N218" s="10">
        <v>31.44</v>
      </c>
      <c r="O218" s="10">
        <v>41.0</v>
      </c>
      <c r="P218" s="10">
        <v>15.0</v>
      </c>
      <c r="Q218" s="10">
        <v>26.0</v>
      </c>
      <c r="R218" s="10">
        <v>31.46</v>
      </c>
      <c r="S218" s="10">
        <v>34.0</v>
      </c>
      <c r="T218" s="10">
        <v>12.04</v>
      </c>
      <c r="U218" s="10">
        <v>5.0</v>
      </c>
      <c r="V218" s="10">
        <v>5.0</v>
      </c>
      <c r="W218" s="10">
        <v>0.0</v>
      </c>
      <c r="X218" s="10">
        <v>18.0</v>
      </c>
      <c r="Y218" s="10">
        <v>11.0</v>
      </c>
      <c r="Z218" s="10">
        <v>7.0</v>
      </c>
      <c r="AA218" s="10">
        <v>8.0</v>
      </c>
      <c r="AB218" s="10">
        <v>10.0</v>
      </c>
      <c r="AC218" s="11" t="s">
        <v>189</v>
      </c>
      <c r="AD218" s="10" t="s">
        <v>505</v>
      </c>
      <c r="AE218" s="9" t="str">
        <f>IFERROR(__xludf.DUMMYFUNCTION("GOOGLETRANSLATE(AD218,""pt"",""en"")"),"was confused with %")</f>
        <v>was confused with %</v>
      </c>
      <c r="AF218" s="10"/>
      <c r="AG218" s="9"/>
      <c r="AH218" s="10"/>
      <c r="AI218" s="9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</row>
    <row r="219">
      <c r="A219" s="9">
        <v>143.0</v>
      </c>
      <c r="B219" s="10">
        <v>12.0</v>
      </c>
      <c r="C219" s="10">
        <v>24.0</v>
      </c>
      <c r="D219" s="9">
        <v>2.0</v>
      </c>
      <c r="E219" s="10" t="s">
        <v>152</v>
      </c>
      <c r="F219" s="10">
        <v>5.0</v>
      </c>
      <c r="G219" s="10">
        <v>2.0</v>
      </c>
      <c r="H219" s="10" t="s">
        <v>102</v>
      </c>
      <c r="I219" s="10">
        <v>1.0</v>
      </c>
      <c r="J219" s="10" t="s">
        <v>40</v>
      </c>
      <c r="K219" s="10" t="s">
        <v>50</v>
      </c>
      <c r="L219" s="10">
        <v>10.69</v>
      </c>
      <c r="M219" s="10">
        <v>10.0</v>
      </c>
      <c r="N219" s="10">
        <v>3.01</v>
      </c>
      <c r="O219" s="10">
        <v>2.0</v>
      </c>
      <c r="P219" s="10">
        <v>0.0</v>
      </c>
      <c r="Q219" s="10">
        <v>2.0</v>
      </c>
      <c r="R219" s="10">
        <v>0.8</v>
      </c>
      <c r="S219" s="10">
        <v>0.0</v>
      </c>
      <c r="T219" s="10">
        <v>0.0</v>
      </c>
      <c r="U219" s="10">
        <v>0.0</v>
      </c>
      <c r="V219" s="10">
        <v>0.0</v>
      </c>
      <c r="W219" s="10">
        <v>0.0</v>
      </c>
      <c r="X219" s="10">
        <v>0.0</v>
      </c>
      <c r="Y219" s="10">
        <v>0.0</v>
      </c>
      <c r="Z219" s="10">
        <v>0.0</v>
      </c>
      <c r="AA219" s="10">
        <v>0.0</v>
      </c>
      <c r="AB219" s="10">
        <v>0.0</v>
      </c>
      <c r="AC219" s="11" t="s">
        <v>212</v>
      </c>
      <c r="AD219" s="10" t="s">
        <v>506</v>
      </c>
      <c r="AE219" s="9" t="str">
        <f>IFERROR(__xludf.DUMMYFUNCTION("GOOGLETRANSLATE(AD219,""pt"",""en"")"),"Easy because it has! = 0")</f>
        <v>Easy because it has! = 0</v>
      </c>
      <c r="AF219" s="10"/>
      <c r="AG219" s="9"/>
      <c r="AH219" s="10"/>
      <c r="AI219" s="9"/>
      <c r="AJ219" s="14" t="s">
        <v>499</v>
      </c>
      <c r="AK219" s="13" t="str">
        <f>IFERROR(__xludf.DUMMYFUNCTION("GOOGLETRANSLATE(AJ219,""pt"",""en"")"),"found the explicit easy")</f>
        <v>found the explicit easy</v>
      </c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</row>
    <row r="220">
      <c r="A220" s="9">
        <v>167.0</v>
      </c>
      <c r="B220" s="10">
        <v>14.0</v>
      </c>
      <c r="C220" s="10">
        <v>28.0</v>
      </c>
      <c r="D220" s="9">
        <v>2.0</v>
      </c>
      <c r="E220" s="10" t="s">
        <v>152</v>
      </c>
      <c r="F220" s="10">
        <v>5.0</v>
      </c>
      <c r="G220" s="10">
        <v>2.0</v>
      </c>
      <c r="H220" s="10" t="s">
        <v>102</v>
      </c>
      <c r="I220" s="10">
        <v>1.0</v>
      </c>
      <c r="J220" s="10" t="s">
        <v>40</v>
      </c>
      <c r="K220" s="10" t="s">
        <v>41</v>
      </c>
      <c r="L220" s="10">
        <v>64.1</v>
      </c>
      <c r="M220" s="10">
        <v>91.0</v>
      </c>
      <c r="N220" s="10">
        <v>31.36</v>
      </c>
      <c r="O220" s="10">
        <v>39.0</v>
      </c>
      <c r="P220" s="10">
        <v>19.0</v>
      </c>
      <c r="Q220" s="10">
        <v>20.0</v>
      </c>
      <c r="R220" s="10">
        <v>19.92</v>
      </c>
      <c r="S220" s="10">
        <v>35.0</v>
      </c>
      <c r="T220" s="10">
        <v>13.03</v>
      </c>
      <c r="U220" s="10">
        <v>10.0</v>
      </c>
      <c r="V220" s="10">
        <v>10.0</v>
      </c>
      <c r="W220" s="10">
        <v>0.0</v>
      </c>
      <c r="X220" s="10">
        <v>14.0</v>
      </c>
      <c r="Y220" s="10">
        <v>12.0</v>
      </c>
      <c r="Z220" s="10">
        <v>2.0</v>
      </c>
      <c r="AA220" s="10">
        <v>11.0</v>
      </c>
      <c r="AB220" s="10">
        <v>4.0</v>
      </c>
      <c r="AC220" s="11" t="s">
        <v>72</v>
      </c>
      <c r="AD220" s="10" t="s">
        <v>507</v>
      </c>
      <c r="AE220" s="9" t="str">
        <f>IFERROR(__xludf.DUMMYFUNCTION("GOOGLETRANSLATE(AD220,""pt"",""en"")"),"Easy to validate with! =")</f>
        <v>Easy to validate with! =</v>
      </c>
      <c r="AF220" s="10"/>
      <c r="AG220" s="9"/>
      <c r="AH220" s="9" t="s">
        <v>508</v>
      </c>
      <c r="AI220" s="9" t="str">
        <f>IFERROR(__xludf.DUMMYFUNCTION("GOOGLETRANSLATE(AH220,""pt"",""en"")"),"spent more time and more entry in AOI")</f>
        <v>spent more time and more entry in AOI</v>
      </c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</row>
    <row r="221">
      <c r="A221" s="9">
        <v>179.0</v>
      </c>
      <c r="B221" s="10">
        <v>15.0</v>
      </c>
      <c r="C221" s="10">
        <v>30.0</v>
      </c>
      <c r="D221" s="9">
        <v>2.0</v>
      </c>
      <c r="E221" s="10" t="s">
        <v>152</v>
      </c>
      <c r="F221" s="10">
        <v>5.0</v>
      </c>
      <c r="G221" s="10">
        <v>2.0</v>
      </c>
      <c r="H221" s="10" t="s">
        <v>102</v>
      </c>
      <c r="I221" s="10">
        <v>1.0</v>
      </c>
      <c r="J221" s="10" t="s">
        <v>40</v>
      </c>
      <c r="K221" s="10" t="s">
        <v>50</v>
      </c>
      <c r="L221" s="10">
        <v>21.04</v>
      </c>
      <c r="M221" s="10">
        <v>29.0</v>
      </c>
      <c r="N221" s="10">
        <v>10.74</v>
      </c>
      <c r="O221" s="10">
        <v>13.0</v>
      </c>
      <c r="P221" s="10">
        <v>7.0</v>
      </c>
      <c r="Q221" s="10">
        <v>6.0</v>
      </c>
      <c r="R221" s="10">
        <v>8.04</v>
      </c>
      <c r="S221" s="10">
        <v>13.0</v>
      </c>
      <c r="T221" s="10">
        <v>5.7</v>
      </c>
      <c r="U221" s="10">
        <v>3.0</v>
      </c>
      <c r="V221" s="10">
        <v>3.0</v>
      </c>
      <c r="W221" s="10">
        <v>0.0</v>
      </c>
      <c r="X221" s="10">
        <v>3.0</v>
      </c>
      <c r="Y221" s="10">
        <v>2.0</v>
      </c>
      <c r="Z221" s="10">
        <v>1.0</v>
      </c>
      <c r="AA221" s="10">
        <v>2.0</v>
      </c>
      <c r="AB221" s="10">
        <v>1.0</v>
      </c>
      <c r="AC221" s="11" t="s">
        <v>245</v>
      </c>
      <c r="AD221" s="10" t="s">
        <v>509</v>
      </c>
      <c r="AE221" s="9" t="str">
        <f>IFERROR(__xludf.DUMMYFUNCTION("GOOGLETRANSLATE(AD221,""pt"",""en"")"),"! = 0")</f>
        <v>! = 0</v>
      </c>
      <c r="AF221" s="10" t="s">
        <v>510</v>
      </c>
      <c r="AG221" s="9" t="str">
        <f>IFERROR(__xludf.DUMMYFUNCTION("GOOGLETRANSLATE(AF221,""pt"",""en"")"),"Checked when! = 0")</f>
        <v>Checked when! = 0</v>
      </c>
      <c r="AH221" s="10"/>
      <c r="AI221" s="9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</row>
    <row r="222">
      <c r="A222" s="9">
        <v>191.0</v>
      </c>
      <c r="B222" s="9">
        <v>16.0</v>
      </c>
      <c r="C222" s="10">
        <v>32.0</v>
      </c>
      <c r="D222" s="9">
        <v>2.0</v>
      </c>
      <c r="E222" s="10" t="s">
        <v>152</v>
      </c>
      <c r="F222" s="10">
        <v>5.0</v>
      </c>
      <c r="G222" s="10">
        <v>2.0</v>
      </c>
      <c r="H222" s="10" t="s">
        <v>39</v>
      </c>
      <c r="I222" s="9">
        <v>1.0</v>
      </c>
      <c r="J222" s="10" t="s">
        <v>40</v>
      </c>
      <c r="K222" s="10"/>
      <c r="L222" s="10">
        <v>16.69</v>
      </c>
      <c r="M222" s="10">
        <v>21.0</v>
      </c>
      <c r="N222" s="10">
        <v>8.15</v>
      </c>
      <c r="O222" s="10">
        <v>7.0</v>
      </c>
      <c r="P222" s="10">
        <v>4.0</v>
      </c>
      <c r="Q222" s="10">
        <v>3.0</v>
      </c>
      <c r="R222" s="10">
        <v>6.72</v>
      </c>
      <c r="S222" s="10">
        <v>10.0</v>
      </c>
      <c r="T222" s="10">
        <v>4.72</v>
      </c>
      <c r="U222" s="10">
        <v>4.0</v>
      </c>
      <c r="V222" s="10">
        <v>4.0</v>
      </c>
      <c r="W222" s="10">
        <v>0.0</v>
      </c>
      <c r="X222" s="10">
        <v>2.0</v>
      </c>
      <c r="Y222" s="10">
        <v>2.0</v>
      </c>
      <c r="Z222" s="10">
        <v>0.0</v>
      </c>
      <c r="AA222" s="10">
        <v>1.0</v>
      </c>
      <c r="AB222" s="10">
        <v>0.0</v>
      </c>
      <c r="AC222" s="11" t="s">
        <v>146</v>
      </c>
      <c r="AD222" s="10" t="s">
        <v>511</v>
      </c>
      <c r="AE222" s="9" t="str">
        <f>IFERROR(__xludf.DUMMYFUNCTION("GOOGLETRANSLATE(AD222,""pt"",""en"")"),"! = 0 Easier to validate")</f>
        <v>! = 0 Easier to validate</v>
      </c>
      <c r="AF222" s="10" t="s">
        <v>512</v>
      </c>
      <c r="AG222" s="9" t="str">
        <f>IFERROR(__xludf.DUMMYFUNCTION("GOOGLETRANSLATE(AF222,""pt"",""en"")"),"IF validated easily")</f>
        <v>IF validated easily</v>
      </c>
      <c r="AH222" s="10"/>
      <c r="AI222" s="9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</row>
    <row r="223">
      <c r="A223" s="9">
        <v>102.0</v>
      </c>
      <c r="B223" s="10">
        <v>9.0</v>
      </c>
      <c r="C223" s="10">
        <v>18.0</v>
      </c>
      <c r="D223" s="9">
        <v>1.0</v>
      </c>
      <c r="E223" s="10" t="s">
        <v>314</v>
      </c>
      <c r="F223" s="10">
        <v>6.0</v>
      </c>
      <c r="G223" s="10">
        <v>1.0</v>
      </c>
      <c r="H223" s="10" t="s">
        <v>39</v>
      </c>
      <c r="I223" s="10">
        <v>1.0</v>
      </c>
      <c r="J223" s="10" t="s">
        <v>40</v>
      </c>
      <c r="K223" s="10" t="s">
        <v>57</v>
      </c>
      <c r="L223" s="10">
        <v>68.57</v>
      </c>
      <c r="M223" s="10">
        <v>96.0</v>
      </c>
      <c r="N223" s="10">
        <v>34.85</v>
      </c>
      <c r="O223" s="10">
        <v>36.0</v>
      </c>
      <c r="P223" s="10">
        <v>14.0</v>
      </c>
      <c r="Q223" s="10">
        <v>22.0</v>
      </c>
      <c r="R223" s="10">
        <v>20.31</v>
      </c>
      <c r="S223" s="10">
        <v>25.0</v>
      </c>
      <c r="T223" s="10">
        <v>11.9</v>
      </c>
      <c r="U223" s="10">
        <v>4.0</v>
      </c>
      <c r="V223" s="10">
        <v>4.0</v>
      </c>
      <c r="W223" s="10">
        <v>0.0</v>
      </c>
      <c r="X223" s="10">
        <v>13.0</v>
      </c>
      <c r="Y223" s="10">
        <v>12.0</v>
      </c>
      <c r="Z223" s="10">
        <v>1.0</v>
      </c>
      <c r="AA223" s="10">
        <v>11.0</v>
      </c>
      <c r="AB223" s="10">
        <v>2.0</v>
      </c>
      <c r="AC223" s="11" t="s">
        <v>42</v>
      </c>
      <c r="AD223" s="10" t="s">
        <v>513</v>
      </c>
      <c r="AE223" s="9" t="str">
        <f>IFERROR(__xludf.DUMMYFUNCTION("GOOGLETRANSLATE(AD223,""pt"",""en"")"),"Bugou in Elem &lt;Limit")</f>
        <v>Bugou in Elem &lt;Limit</v>
      </c>
      <c r="AF223" s="10"/>
      <c r="AG223" s="9"/>
      <c r="AH223" s="9" t="s">
        <v>514</v>
      </c>
      <c r="AI223" s="9" t="str">
        <f>IFERROR(__xludf.DUMMYFUNCTION("GOOGLETRANSLATE(AH223,""pt"",""en"")"),"More time in the code")</f>
        <v>More time in the code</v>
      </c>
      <c r="AJ223" s="14" t="s">
        <v>515</v>
      </c>
      <c r="AK223" s="13" t="str">
        <f>IFERROR(__xludf.DUMMYFUNCTION("GOOGLETRANSLATE(AJ223,""pt"",""en"")"),"relationship operation")</f>
        <v>relationship operation</v>
      </c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</row>
    <row r="224">
      <c r="A224" s="9">
        <v>186.0</v>
      </c>
      <c r="B224" s="9">
        <v>16.0</v>
      </c>
      <c r="C224" s="10">
        <v>32.0</v>
      </c>
      <c r="D224" s="9">
        <v>1.0</v>
      </c>
      <c r="E224" s="10" t="s">
        <v>314</v>
      </c>
      <c r="F224" s="10">
        <v>6.0</v>
      </c>
      <c r="G224" s="10">
        <v>1.0</v>
      </c>
      <c r="H224" s="10" t="s">
        <v>102</v>
      </c>
      <c r="I224" s="9">
        <v>3.0</v>
      </c>
      <c r="J224" s="10" t="s">
        <v>40</v>
      </c>
      <c r="K224" s="10"/>
      <c r="L224" s="10">
        <v>64.61</v>
      </c>
      <c r="M224" s="10">
        <v>91.0</v>
      </c>
      <c r="N224" s="10">
        <v>27.18</v>
      </c>
      <c r="O224" s="10">
        <v>41.0</v>
      </c>
      <c r="P224" s="10">
        <v>7.0</v>
      </c>
      <c r="Q224" s="10">
        <v>34.0</v>
      </c>
      <c r="R224" s="10">
        <v>10.63</v>
      </c>
      <c r="S224" s="10">
        <v>17.0</v>
      </c>
      <c r="T224" s="10">
        <v>5.42</v>
      </c>
      <c r="U224" s="10">
        <v>3.0</v>
      </c>
      <c r="V224" s="10">
        <v>3.0</v>
      </c>
      <c r="W224" s="10">
        <v>0.0</v>
      </c>
      <c r="X224" s="10">
        <v>12.0</v>
      </c>
      <c r="Y224" s="10">
        <v>10.0</v>
      </c>
      <c r="Z224" s="10">
        <v>2.0</v>
      </c>
      <c r="AA224" s="10">
        <v>11.0</v>
      </c>
      <c r="AB224" s="10">
        <v>1.0</v>
      </c>
      <c r="AC224" s="11" t="s">
        <v>146</v>
      </c>
      <c r="AD224" s="10" t="s">
        <v>516</v>
      </c>
      <c r="AE224" s="9" t="str">
        <f>IFERROR(__xludf.DUMMYFUNCTION("GOOGLETRANSLATE(AD224,""pt"",""en"")"),"was confused with total+= 1")</f>
        <v>was confused with total+= 1</v>
      </c>
      <c r="AF224" s="10" t="s">
        <v>517</v>
      </c>
      <c r="AG224" s="9" t="str">
        <f>IFERROR(__xludf.DUMMYFUNCTION("GOOGLETRANSLATE(AF224,""pt"",""en"")"),"did not observe the Elem and missed the first time")</f>
        <v>did not observe the Elem and missed the first time</v>
      </c>
      <c r="AH224" s="10"/>
      <c r="AI224" s="9"/>
      <c r="AJ224" s="14" t="s">
        <v>489</v>
      </c>
      <c r="AK224" s="13" t="str">
        <f>IFERROR(__xludf.DUMMYFUNCTION("GOOGLETRANSLATE(AJ224,""pt"",""en"")"),"Combination of operators")</f>
        <v>Combination of operators</v>
      </c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</row>
    <row r="225">
      <c r="A225" s="9">
        <v>173.0</v>
      </c>
      <c r="B225" s="10">
        <v>15.0</v>
      </c>
      <c r="C225" s="10">
        <v>30.0</v>
      </c>
      <c r="D225" s="9">
        <v>1.0</v>
      </c>
      <c r="E225" s="10" t="s">
        <v>136</v>
      </c>
      <c r="F225" s="10">
        <v>5.0</v>
      </c>
      <c r="G225" s="10">
        <v>1.0</v>
      </c>
      <c r="H225" s="10" t="s">
        <v>39</v>
      </c>
      <c r="I225" s="10">
        <v>1.0</v>
      </c>
      <c r="J225" s="10" t="s">
        <v>40</v>
      </c>
      <c r="K225" s="10" t="s">
        <v>85</v>
      </c>
      <c r="L225" s="10">
        <v>34.39</v>
      </c>
      <c r="M225" s="10">
        <v>44.0</v>
      </c>
      <c r="N225" s="10">
        <v>14.14</v>
      </c>
      <c r="O225" s="10">
        <v>25.0</v>
      </c>
      <c r="P225" s="10">
        <v>12.0</v>
      </c>
      <c r="Q225" s="10">
        <v>13.0</v>
      </c>
      <c r="R225" s="10">
        <v>11.24</v>
      </c>
      <c r="S225" s="10">
        <v>20.0</v>
      </c>
      <c r="T225" s="10">
        <v>6.9</v>
      </c>
      <c r="U225" s="10">
        <v>7.0</v>
      </c>
      <c r="V225" s="10">
        <v>7.0</v>
      </c>
      <c r="W225" s="10">
        <v>0.0</v>
      </c>
      <c r="X225" s="10">
        <v>8.0</v>
      </c>
      <c r="Y225" s="10">
        <v>5.0</v>
      </c>
      <c r="Z225" s="10">
        <v>3.0</v>
      </c>
      <c r="AA225" s="10">
        <v>5.0</v>
      </c>
      <c r="AB225" s="10">
        <v>2.0</v>
      </c>
      <c r="AC225" s="11" t="s">
        <v>245</v>
      </c>
      <c r="AD225" s="10" t="s">
        <v>518</v>
      </c>
      <c r="AE225" s="9" t="str">
        <f>IFERROR(__xludf.DUMMYFUNCTION("GOOGLETRANSLATE(AD225,""pt"",""en"")"),"Got in doubt at % (if)")</f>
        <v>Got in doubt at % (if)</v>
      </c>
      <c r="AF225" s="10" t="s">
        <v>519</v>
      </c>
      <c r="AG225" s="9" t="str">
        <f>IFERROR(__xludf.DUMMYFUNCTION("GOOGLETRANSLATE(AF225,""pt"",""en"")"),"Verified&gt; = 4 and added")</f>
        <v>Verified&gt; = 4 and added</v>
      </c>
      <c r="AH225" s="10"/>
      <c r="AI225" s="9"/>
      <c r="AJ225" s="13" t="s">
        <v>520</v>
      </c>
      <c r="AK225" s="13" t="str">
        <f>IFERROR(__xludf.DUMMYFUNCTION("GOOGLETRANSLATE(AJ225,""pt"",""en"")"),"Operator module left me in doubt")</f>
        <v>Operator module left me in doubt</v>
      </c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</row>
    <row r="226">
      <c r="A226" s="9">
        <v>293.0</v>
      </c>
      <c r="B226" s="10">
        <v>9.0</v>
      </c>
      <c r="C226" s="10">
        <v>17.0</v>
      </c>
      <c r="D226" s="9">
        <v>1.0</v>
      </c>
      <c r="E226" s="10" t="s">
        <v>121</v>
      </c>
      <c r="F226" s="10">
        <v>5.0</v>
      </c>
      <c r="G226" s="10">
        <v>1.0</v>
      </c>
      <c r="H226" s="10" t="s">
        <v>102</v>
      </c>
      <c r="I226" s="10">
        <v>1.0</v>
      </c>
      <c r="J226" s="10" t="s">
        <v>40</v>
      </c>
      <c r="K226" s="10" t="s">
        <v>57</v>
      </c>
      <c r="L226" s="10">
        <v>81.28</v>
      </c>
      <c r="M226" s="10">
        <v>131.0</v>
      </c>
      <c r="N226" s="10">
        <v>49.03</v>
      </c>
      <c r="O226" s="10">
        <v>59.0</v>
      </c>
      <c r="P226" s="10">
        <v>33.0</v>
      </c>
      <c r="Q226" s="10">
        <v>26.0</v>
      </c>
      <c r="R226" s="10">
        <v>21.5</v>
      </c>
      <c r="S226" s="10">
        <v>44.0</v>
      </c>
      <c r="T226" s="10">
        <v>15.56</v>
      </c>
      <c r="U226" s="10">
        <v>13.0</v>
      </c>
      <c r="V226" s="10">
        <v>13.0</v>
      </c>
      <c r="W226" s="10">
        <v>0.0</v>
      </c>
      <c r="X226" s="10">
        <v>15.0</v>
      </c>
      <c r="Y226" s="10">
        <v>10.0</v>
      </c>
      <c r="Z226" s="10">
        <v>5.0</v>
      </c>
      <c r="AA226" s="10">
        <v>6.0</v>
      </c>
      <c r="AB226" s="10">
        <v>9.0</v>
      </c>
      <c r="AC226" s="11" t="s">
        <v>54</v>
      </c>
      <c r="AD226" s="10" t="s">
        <v>521</v>
      </c>
      <c r="AE226" s="9" t="str">
        <f>IFERROR(__xludf.DUMMYFUNCTION("GOOGLETRANSLATE(AD226,""pt"",""en"")"),"It would be easier without the rest")</f>
        <v>It would be easier without the rest</v>
      </c>
      <c r="AF226" s="10"/>
      <c r="AG226" s="9"/>
      <c r="AH226" s="10"/>
      <c r="AI226" s="9"/>
      <c r="AJ226" s="13" t="s">
        <v>522</v>
      </c>
      <c r="AK226" s="13" t="str">
        <f>IFERROR(__xludf.DUMMYFUNCTION("GOOGLETRANSLATE(AJ226,""pt"",""en"")"),"unnecessary rest")</f>
        <v>unnecessary rest</v>
      </c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</row>
    <row r="227">
      <c r="A227" s="9">
        <v>329.0</v>
      </c>
      <c r="B227" s="10">
        <v>12.0</v>
      </c>
      <c r="C227" s="10">
        <v>23.0</v>
      </c>
      <c r="D227" s="9">
        <v>1.0</v>
      </c>
      <c r="E227" s="10" t="s">
        <v>121</v>
      </c>
      <c r="F227" s="10">
        <v>5.0</v>
      </c>
      <c r="G227" s="10">
        <v>1.0</v>
      </c>
      <c r="H227" s="10" t="s">
        <v>102</v>
      </c>
      <c r="I227" s="10">
        <v>2.0</v>
      </c>
      <c r="J227" s="10" t="s">
        <v>40</v>
      </c>
      <c r="K227" s="10" t="s">
        <v>41</v>
      </c>
      <c r="L227" s="10">
        <v>108.11</v>
      </c>
      <c r="M227" s="10">
        <v>182.0</v>
      </c>
      <c r="N227" s="10">
        <v>58.78</v>
      </c>
      <c r="O227" s="10">
        <v>92.0</v>
      </c>
      <c r="P227" s="10">
        <v>45.0</v>
      </c>
      <c r="Q227" s="10">
        <v>47.0</v>
      </c>
      <c r="R227" s="10">
        <v>34.16</v>
      </c>
      <c r="S227" s="10">
        <v>65.0</v>
      </c>
      <c r="T227" s="10">
        <v>20.98</v>
      </c>
      <c r="U227" s="10">
        <v>20.0</v>
      </c>
      <c r="V227" s="10">
        <v>20.0</v>
      </c>
      <c r="W227" s="10">
        <v>0.0</v>
      </c>
      <c r="X227" s="10">
        <v>24.0</v>
      </c>
      <c r="Y227" s="10">
        <v>12.0</v>
      </c>
      <c r="Z227" s="10">
        <v>12.0</v>
      </c>
      <c r="AA227" s="10">
        <v>10.0</v>
      </c>
      <c r="AB227" s="10">
        <v>14.0</v>
      </c>
      <c r="AC227" s="11" t="s">
        <v>158</v>
      </c>
      <c r="AD227" s="10" t="s">
        <v>523</v>
      </c>
      <c r="AE227" s="9" t="str">
        <f>IFERROR(__xludf.DUMMYFUNCTION("GOOGLETRANSLATE(AD227,""pt"",""en"")"),"! = 0 facilitates")</f>
        <v>! = 0 facilitates</v>
      </c>
      <c r="AF227" s="10"/>
      <c r="AG227" s="9"/>
      <c r="AH227" s="9" t="s">
        <v>162</v>
      </c>
      <c r="AI227" s="9" t="str">
        <f>IFERROR(__xludf.DUMMYFUNCTION("GOOGLETRANSLATE(AH227,""pt"",""en"")"),"mislead")</f>
        <v>mislead</v>
      </c>
      <c r="AJ227" s="13" t="s">
        <v>524</v>
      </c>
      <c r="AK227" s="13" t="str">
        <f>IFERROR(__xludf.DUMMYFUNCTION("GOOGLETRANSLATE(AJ227,""pt"",""en"")"),"rest makes it easier")</f>
        <v>rest makes it easier</v>
      </c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</row>
    <row r="228">
      <c r="A228" s="9">
        <v>137.0</v>
      </c>
      <c r="B228" s="10">
        <v>12.0</v>
      </c>
      <c r="C228" s="10">
        <v>24.0</v>
      </c>
      <c r="D228" s="9">
        <v>1.0</v>
      </c>
      <c r="E228" s="10" t="s">
        <v>136</v>
      </c>
      <c r="F228" s="10">
        <v>5.0</v>
      </c>
      <c r="G228" s="10">
        <v>1.0</v>
      </c>
      <c r="H228" s="10" t="s">
        <v>39</v>
      </c>
      <c r="I228" s="10">
        <v>2.0</v>
      </c>
      <c r="J228" s="10" t="s">
        <v>40</v>
      </c>
      <c r="K228" s="10" t="s">
        <v>41</v>
      </c>
      <c r="L228" s="10">
        <v>46.72</v>
      </c>
      <c r="M228" s="10">
        <v>41.0</v>
      </c>
      <c r="N228" s="10">
        <v>13.54</v>
      </c>
      <c r="O228" s="10">
        <v>16.0</v>
      </c>
      <c r="P228" s="10">
        <v>6.0</v>
      </c>
      <c r="Q228" s="10">
        <v>10.0</v>
      </c>
      <c r="R228" s="10">
        <v>11.59</v>
      </c>
      <c r="S228" s="10">
        <v>10.0</v>
      </c>
      <c r="T228" s="10">
        <v>3.94</v>
      </c>
      <c r="U228" s="10">
        <v>2.0</v>
      </c>
      <c r="V228" s="10">
        <v>2.0</v>
      </c>
      <c r="W228" s="10">
        <v>0.0</v>
      </c>
      <c r="X228" s="10">
        <v>6.0</v>
      </c>
      <c r="Y228" s="10">
        <v>3.0</v>
      </c>
      <c r="Z228" s="10">
        <v>3.0</v>
      </c>
      <c r="AA228" s="10">
        <v>3.0</v>
      </c>
      <c r="AB228" s="10">
        <v>3.0</v>
      </c>
      <c r="AC228" s="11" t="s">
        <v>212</v>
      </c>
      <c r="AD228" s="10" t="s">
        <v>525</v>
      </c>
      <c r="AE228" s="9" t="str">
        <f>IFERROR(__xludf.DUMMYFUNCTION("GOOGLETRANSLATE(AD228,""pt"",""en"")"),"complicated %")</f>
        <v>complicated %</v>
      </c>
      <c r="AF228" s="10"/>
      <c r="AG228" s="9"/>
      <c r="AH228" s="9" t="s">
        <v>526</v>
      </c>
      <c r="AI228" s="9" t="str">
        <f>IFERROR(__xludf.DUMMYFUNCTION("GOOGLETRANSLATE(AH228,""pt"",""en"")"),"Wrong, spent more time on AOI")</f>
        <v>Wrong, spent more time on AOI</v>
      </c>
      <c r="AJ228" s="13" t="s">
        <v>527</v>
      </c>
      <c r="AK228" s="13" t="str">
        <f>IFERROR(__xludf.DUMMYFUNCTION("GOOGLETRANSLATE(AJ228,""pt"",""en"")"),"found the module difficult")</f>
        <v>found the module difficult</v>
      </c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</row>
    <row r="229">
      <c r="A229" s="9">
        <v>161.0</v>
      </c>
      <c r="B229" s="10">
        <v>14.0</v>
      </c>
      <c r="C229" s="10">
        <v>28.0</v>
      </c>
      <c r="D229" s="9">
        <v>1.0</v>
      </c>
      <c r="E229" s="10" t="s">
        <v>136</v>
      </c>
      <c r="F229" s="10">
        <v>5.0</v>
      </c>
      <c r="G229" s="10">
        <v>1.0</v>
      </c>
      <c r="H229" s="10" t="s">
        <v>39</v>
      </c>
      <c r="I229" s="10">
        <v>2.0</v>
      </c>
      <c r="J229" s="10" t="s">
        <v>40</v>
      </c>
      <c r="K229" s="10" t="s">
        <v>85</v>
      </c>
      <c r="L229" s="10">
        <v>116.25</v>
      </c>
      <c r="M229" s="10">
        <v>175.0</v>
      </c>
      <c r="N229" s="10">
        <v>65.87</v>
      </c>
      <c r="O229" s="10">
        <v>79.0</v>
      </c>
      <c r="P229" s="10">
        <v>38.0</v>
      </c>
      <c r="Q229" s="10">
        <v>41.0</v>
      </c>
      <c r="R229" s="10">
        <v>29.11</v>
      </c>
      <c r="S229" s="10">
        <v>49.0</v>
      </c>
      <c r="T229" s="10">
        <v>21.27</v>
      </c>
      <c r="U229" s="10">
        <v>9.0</v>
      </c>
      <c r="V229" s="10">
        <v>9.0</v>
      </c>
      <c r="W229" s="10">
        <v>0.0</v>
      </c>
      <c r="X229" s="10">
        <v>26.0</v>
      </c>
      <c r="Y229" s="10">
        <v>8.0</v>
      </c>
      <c r="Z229" s="10">
        <v>18.0</v>
      </c>
      <c r="AA229" s="10">
        <v>10.0</v>
      </c>
      <c r="AB229" s="10">
        <v>16.0</v>
      </c>
      <c r="AC229" s="11" t="s">
        <v>72</v>
      </c>
      <c r="AD229" s="10" t="s">
        <v>528</v>
      </c>
      <c r="AE229" s="9" t="str">
        <f>IFERROR(__xludf.DUMMYFUNCTION("GOOGLETRANSLATE(AD229,""pt"",""en"")"),"Difficult % Operator")</f>
        <v>Difficult % Operator</v>
      </c>
      <c r="AF229" s="10"/>
      <c r="AG229" s="9"/>
      <c r="AH229" s="9" t="s">
        <v>104</v>
      </c>
      <c r="AI229" s="9" t="str">
        <f>IFERROR(__xludf.DUMMYFUNCTION("GOOGLETRANSLATE(AH229,""pt"",""en"")"),"made a mistake, spent more time and more regressions")</f>
        <v>made a mistake, spent more time and more regressions</v>
      </c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</row>
    <row r="230">
      <c r="A230" s="9">
        <v>53.0</v>
      </c>
      <c r="B230" s="10">
        <v>5.0</v>
      </c>
      <c r="C230" s="10">
        <v>10.0</v>
      </c>
      <c r="D230" s="9">
        <v>1.0</v>
      </c>
      <c r="E230" s="10" t="s">
        <v>136</v>
      </c>
      <c r="F230" s="10">
        <v>5.0</v>
      </c>
      <c r="G230" s="10">
        <v>1.0</v>
      </c>
      <c r="H230" s="10" t="s">
        <v>39</v>
      </c>
      <c r="I230" s="10">
        <v>2.0</v>
      </c>
      <c r="J230" s="10" t="s">
        <v>40</v>
      </c>
      <c r="K230" s="10" t="s">
        <v>50</v>
      </c>
      <c r="L230" s="10">
        <v>131.49</v>
      </c>
      <c r="M230" s="10">
        <v>206.0</v>
      </c>
      <c r="N230" s="10">
        <v>78.9</v>
      </c>
      <c r="O230" s="10">
        <v>91.0</v>
      </c>
      <c r="P230" s="10">
        <v>48.0</v>
      </c>
      <c r="Q230" s="10">
        <v>43.0</v>
      </c>
      <c r="R230" s="10">
        <v>39.17</v>
      </c>
      <c r="S230" s="10">
        <v>71.0</v>
      </c>
      <c r="T230" s="10">
        <v>27.05</v>
      </c>
      <c r="U230" s="10">
        <v>23.0</v>
      </c>
      <c r="V230" s="10">
        <v>23.0</v>
      </c>
      <c r="W230" s="10">
        <v>0.0</v>
      </c>
      <c r="X230" s="10">
        <v>21.0</v>
      </c>
      <c r="Y230" s="10">
        <v>11.0</v>
      </c>
      <c r="Z230" s="10">
        <v>10.0</v>
      </c>
      <c r="AA230" s="10">
        <v>9.0</v>
      </c>
      <c r="AB230" s="10">
        <v>12.0</v>
      </c>
      <c r="AC230" s="11" t="s">
        <v>90</v>
      </c>
      <c r="AD230" s="10" t="s">
        <v>529</v>
      </c>
      <c r="AE230" s="9" t="str">
        <f>IFERROR(__xludf.DUMMYFUNCTION("GOOGLETRANSLATE(AD230,""pt"",""en"")"),"´% confused")</f>
        <v>´% confused</v>
      </c>
      <c r="AF230" s="10"/>
      <c r="AG230" s="9"/>
      <c r="AH230" s="9" t="s">
        <v>104</v>
      </c>
      <c r="AI230" s="9" t="str">
        <f>IFERROR(__xludf.DUMMYFUNCTION("GOOGLETRANSLATE(AH230,""pt"",""en"")"),"made a mistake, spent more time and more regressions")</f>
        <v>made a mistake, spent more time and more regressions</v>
      </c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</row>
    <row r="231">
      <c r="A231" s="9">
        <v>101.0</v>
      </c>
      <c r="B231" s="10">
        <v>9.0</v>
      </c>
      <c r="C231" s="10">
        <v>18.0</v>
      </c>
      <c r="D231" s="9">
        <v>1.0</v>
      </c>
      <c r="E231" s="10" t="s">
        <v>136</v>
      </c>
      <c r="F231" s="10">
        <v>5.0</v>
      </c>
      <c r="G231" s="10">
        <v>1.0</v>
      </c>
      <c r="H231" s="10" t="s">
        <v>39</v>
      </c>
      <c r="I231" s="10">
        <v>2.0</v>
      </c>
      <c r="J231" s="10" t="s">
        <v>40</v>
      </c>
      <c r="K231" s="10" t="s">
        <v>57</v>
      </c>
      <c r="L231" s="10">
        <v>111.15</v>
      </c>
      <c r="M231" s="10">
        <v>182.0</v>
      </c>
      <c r="N231" s="10">
        <v>56.53</v>
      </c>
      <c r="O231" s="10">
        <v>75.0</v>
      </c>
      <c r="P231" s="10">
        <v>40.0</v>
      </c>
      <c r="Q231" s="10">
        <v>35.0</v>
      </c>
      <c r="R231" s="10">
        <v>18.33</v>
      </c>
      <c r="S231" s="10">
        <v>29.0</v>
      </c>
      <c r="T231" s="10">
        <v>9.96</v>
      </c>
      <c r="U231" s="10">
        <v>1.0</v>
      </c>
      <c r="V231" s="10">
        <v>1.0</v>
      </c>
      <c r="W231" s="10">
        <v>0.0</v>
      </c>
      <c r="X231" s="10">
        <v>17.0</v>
      </c>
      <c r="Y231" s="10">
        <v>7.0</v>
      </c>
      <c r="Z231" s="10">
        <v>10.0</v>
      </c>
      <c r="AA231" s="10">
        <v>7.0</v>
      </c>
      <c r="AB231" s="10">
        <v>10.0</v>
      </c>
      <c r="AC231" s="11" t="s">
        <v>42</v>
      </c>
      <c r="AD231" s="10" t="s">
        <v>530</v>
      </c>
      <c r="AE231" s="9" t="str">
        <f>IFERROR(__xludf.DUMMYFUNCTION("GOOGLETRANSLATE(AD231,""pt"",""en"")"),"% difficult")</f>
        <v>% difficult</v>
      </c>
      <c r="AF231" s="10"/>
      <c r="AG231" s="9"/>
      <c r="AH231" s="9" t="s">
        <v>526</v>
      </c>
      <c r="AI231" s="9" t="str">
        <f>IFERROR(__xludf.DUMMYFUNCTION("GOOGLETRANSLATE(AH231,""pt"",""en"")"),"Wrong, spent more time on AOI")</f>
        <v>Wrong, spent more time on AOI</v>
      </c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</row>
    <row r="232">
      <c r="A232" s="9">
        <v>317.0</v>
      </c>
      <c r="B232" s="10">
        <v>11.0</v>
      </c>
      <c r="C232" s="10">
        <v>21.0</v>
      </c>
      <c r="D232" s="9">
        <v>1.0</v>
      </c>
      <c r="E232" s="10" t="s">
        <v>121</v>
      </c>
      <c r="F232" s="10">
        <v>5.0</v>
      </c>
      <c r="G232" s="10">
        <v>1.0</v>
      </c>
      <c r="H232" s="10" t="s">
        <v>102</v>
      </c>
      <c r="I232" s="10">
        <v>2.0</v>
      </c>
      <c r="J232" s="10" t="s">
        <v>40</v>
      </c>
      <c r="K232" s="10" t="s">
        <v>57</v>
      </c>
      <c r="L232" s="10">
        <v>74.43</v>
      </c>
      <c r="M232" s="10">
        <v>111.0</v>
      </c>
      <c r="N232" s="10">
        <v>48.21</v>
      </c>
      <c r="O232" s="10">
        <v>53.0</v>
      </c>
      <c r="P232" s="10">
        <v>25.0</v>
      </c>
      <c r="Q232" s="10">
        <v>28.0</v>
      </c>
      <c r="R232" s="10">
        <v>18.32</v>
      </c>
      <c r="S232" s="10">
        <v>32.0</v>
      </c>
      <c r="T232" s="10">
        <v>15.13</v>
      </c>
      <c r="U232" s="10">
        <v>8.0</v>
      </c>
      <c r="V232" s="10">
        <v>8.0</v>
      </c>
      <c r="W232" s="10">
        <v>0.0</v>
      </c>
      <c r="X232" s="10">
        <v>15.0</v>
      </c>
      <c r="Y232" s="10">
        <v>11.0</v>
      </c>
      <c r="Z232" s="10">
        <v>4.0</v>
      </c>
      <c r="AA232" s="10">
        <v>11.0</v>
      </c>
      <c r="AB232" s="10">
        <v>4.0</v>
      </c>
      <c r="AC232" s="11" t="s">
        <v>78</v>
      </c>
      <c r="AD232" s="10" t="s">
        <v>531</v>
      </c>
      <c r="AE232" s="9" t="str">
        <f>IFERROR(__xludf.DUMMYFUNCTION("GOOGLETRANSLATE(AD232,""pt"",""en"")"),"condition confused a little because of %")</f>
        <v>condition confused a little because of %</v>
      </c>
      <c r="AF232" s="10"/>
      <c r="AG232" s="9"/>
      <c r="AH232" s="9" t="s">
        <v>532</v>
      </c>
      <c r="AI232" s="9" t="str">
        <f>IFERROR(__xludf.DUMMYFUNCTION("GOOGLETRANSLATE(AH232,""pt"",""en"")"),"made a mistake and made more regressions")</f>
        <v>made a mistake and made more regressions</v>
      </c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</row>
    <row r="233">
      <c r="A233" s="9">
        <v>89.0</v>
      </c>
      <c r="B233" s="10">
        <v>8.0</v>
      </c>
      <c r="C233" s="10">
        <v>16.0</v>
      </c>
      <c r="D233" s="9">
        <v>1.0</v>
      </c>
      <c r="E233" s="10" t="s">
        <v>136</v>
      </c>
      <c r="F233" s="10">
        <v>5.0</v>
      </c>
      <c r="G233" s="10">
        <v>1.0</v>
      </c>
      <c r="H233" s="10" t="s">
        <v>39</v>
      </c>
      <c r="I233" s="10">
        <v>1.0</v>
      </c>
      <c r="J233" s="10" t="s">
        <v>105</v>
      </c>
      <c r="K233" s="10" t="s">
        <v>85</v>
      </c>
      <c r="L233" s="10">
        <v>78.9</v>
      </c>
      <c r="M233" s="10">
        <v>131.0</v>
      </c>
      <c r="N233" s="10">
        <v>48.54</v>
      </c>
      <c r="O233" s="10">
        <v>57.0</v>
      </c>
      <c r="P233" s="10">
        <v>28.0</v>
      </c>
      <c r="Q233" s="10">
        <v>29.0</v>
      </c>
      <c r="R233" s="10">
        <v>20.88</v>
      </c>
      <c r="S233" s="10">
        <v>40.0</v>
      </c>
      <c r="T233" s="10">
        <v>14.63</v>
      </c>
      <c r="U233" s="10">
        <v>7.0</v>
      </c>
      <c r="V233" s="10">
        <v>7.0</v>
      </c>
      <c r="W233" s="10">
        <v>0.0</v>
      </c>
      <c r="X233" s="10">
        <v>21.0</v>
      </c>
      <c r="Y233" s="10">
        <v>12.0</v>
      </c>
      <c r="Z233" s="10">
        <v>9.0</v>
      </c>
      <c r="AA233" s="10">
        <v>10.0</v>
      </c>
      <c r="AB233" s="10">
        <v>10.0</v>
      </c>
      <c r="AC233" s="11" t="s">
        <v>62</v>
      </c>
      <c r="AD233" s="10" t="s">
        <v>533</v>
      </c>
      <c r="AE233" s="9" t="str">
        <f>IFERROR(__xludf.DUMMYFUNCTION("GOOGLETRANSLATE(AD233,""pt"",""en"")"),"Presence of % made it difficult")</f>
        <v>Presence of % made it difficult</v>
      </c>
      <c r="AF233" s="10"/>
      <c r="AG233" s="9"/>
      <c r="AH233" s="10"/>
      <c r="AI233" s="9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</row>
    <row r="234">
      <c r="A234" s="9">
        <v>113.0</v>
      </c>
      <c r="B234" s="10">
        <v>10.0</v>
      </c>
      <c r="C234" s="10">
        <v>20.0</v>
      </c>
      <c r="D234" s="9">
        <v>1.0</v>
      </c>
      <c r="E234" s="10" t="s">
        <v>136</v>
      </c>
      <c r="F234" s="10">
        <v>5.0</v>
      </c>
      <c r="G234" s="10">
        <v>1.0</v>
      </c>
      <c r="H234" s="10" t="s">
        <v>39</v>
      </c>
      <c r="I234" s="10">
        <v>1.0</v>
      </c>
      <c r="J234" s="10" t="s">
        <v>105</v>
      </c>
      <c r="K234" s="10" t="s">
        <v>41</v>
      </c>
      <c r="L234" s="10">
        <v>125.22</v>
      </c>
      <c r="M234" s="10">
        <v>187.0</v>
      </c>
      <c r="N234" s="10">
        <v>65.63</v>
      </c>
      <c r="O234" s="10">
        <v>87.0</v>
      </c>
      <c r="P234" s="10">
        <v>42.0</v>
      </c>
      <c r="Q234" s="10">
        <v>45.0</v>
      </c>
      <c r="R234" s="10">
        <v>18.75</v>
      </c>
      <c r="S234" s="10">
        <v>30.0</v>
      </c>
      <c r="T234" s="10">
        <v>10.34</v>
      </c>
      <c r="U234" s="10">
        <v>7.0</v>
      </c>
      <c r="V234" s="10">
        <v>7.0</v>
      </c>
      <c r="W234" s="10">
        <v>0.0</v>
      </c>
      <c r="X234" s="10">
        <v>13.0</v>
      </c>
      <c r="Y234" s="10">
        <v>5.0</v>
      </c>
      <c r="Z234" s="10">
        <v>8.0</v>
      </c>
      <c r="AA234" s="10">
        <v>3.0</v>
      </c>
      <c r="AB234" s="10">
        <v>10.0</v>
      </c>
      <c r="AC234" s="11" t="s">
        <v>197</v>
      </c>
      <c r="AD234" s="10" t="s">
        <v>534</v>
      </c>
      <c r="AE234" s="9" t="str">
        <f>IFERROR(__xludf.DUMMYFUNCTION("GOOGLETRANSLATE(AD234,""pt"",""en"")"),"found the % difficult")</f>
        <v>found the % difficult</v>
      </c>
      <c r="AF234" s="10"/>
      <c r="AG234" s="9"/>
      <c r="AH234" s="10"/>
      <c r="AI234" s="9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</row>
    <row r="235">
      <c r="A235" s="9">
        <v>149.0</v>
      </c>
      <c r="B235" s="10">
        <v>13.0</v>
      </c>
      <c r="C235" s="10">
        <v>26.0</v>
      </c>
      <c r="D235" s="9">
        <v>1.0</v>
      </c>
      <c r="E235" s="10" t="s">
        <v>136</v>
      </c>
      <c r="F235" s="10">
        <v>5.0</v>
      </c>
      <c r="G235" s="10">
        <v>1.0</v>
      </c>
      <c r="H235" s="10" t="s">
        <v>39</v>
      </c>
      <c r="I235" s="10">
        <v>2.0</v>
      </c>
      <c r="J235" s="10" t="s">
        <v>105</v>
      </c>
      <c r="K235" s="10" t="s">
        <v>85</v>
      </c>
      <c r="L235" s="10">
        <v>126.91</v>
      </c>
      <c r="M235" s="10">
        <v>235.0</v>
      </c>
      <c r="N235" s="10">
        <v>79.99</v>
      </c>
      <c r="O235" s="10">
        <v>114.0</v>
      </c>
      <c r="P235" s="10">
        <v>76.0</v>
      </c>
      <c r="Q235" s="10">
        <v>38.0</v>
      </c>
      <c r="R235" s="10">
        <v>51.79</v>
      </c>
      <c r="S235" s="10">
        <v>106.0</v>
      </c>
      <c r="T235" s="10">
        <v>38.37</v>
      </c>
      <c r="U235" s="10">
        <v>39.0</v>
      </c>
      <c r="V235" s="10">
        <v>39.0</v>
      </c>
      <c r="W235" s="10">
        <v>0.0</v>
      </c>
      <c r="X235" s="10">
        <v>25.0</v>
      </c>
      <c r="Y235" s="10">
        <v>13.0</v>
      </c>
      <c r="Z235" s="10">
        <v>12.0</v>
      </c>
      <c r="AA235" s="10">
        <v>13.0</v>
      </c>
      <c r="AB235" s="10">
        <v>12.0</v>
      </c>
      <c r="AC235" s="11" t="s">
        <v>141</v>
      </c>
      <c r="AD235" s="10" t="s">
        <v>535</v>
      </c>
      <c r="AE235" s="9" t="str">
        <f>IFERROR(__xludf.DUMMYFUNCTION("GOOGLETRANSLATE(AD235,""pt"",""en"")"),"Difficulty in the rest")</f>
        <v>Difficulty in the rest</v>
      </c>
      <c r="AF235" s="10"/>
      <c r="AG235" s="9"/>
      <c r="AH235" s="10"/>
      <c r="AI235" s="9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</row>
    <row r="236">
      <c r="A236" s="9">
        <v>359.0</v>
      </c>
      <c r="B236" s="10">
        <v>14.0</v>
      </c>
      <c r="C236" s="10">
        <v>27.0</v>
      </c>
      <c r="D236" s="9">
        <v>2.0</v>
      </c>
      <c r="E236" s="10" t="s">
        <v>129</v>
      </c>
      <c r="F236" s="10">
        <v>5.0</v>
      </c>
      <c r="G236" s="10">
        <v>2.0</v>
      </c>
      <c r="H236" s="10" t="s">
        <v>39</v>
      </c>
      <c r="I236" s="10">
        <v>1.0</v>
      </c>
      <c r="J236" s="10" t="s">
        <v>105</v>
      </c>
      <c r="K236" s="10" t="s">
        <v>57</v>
      </c>
      <c r="L236" s="10">
        <v>96.9</v>
      </c>
      <c r="M236" s="10">
        <v>113.0</v>
      </c>
      <c r="N236" s="10">
        <v>45.98</v>
      </c>
      <c r="O236" s="10">
        <v>52.0</v>
      </c>
      <c r="P236" s="10">
        <v>21.0</v>
      </c>
      <c r="Q236" s="10">
        <v>31.0</v>
      </c>
      <c r="R236" s="10">
        <v>27.84</v>
      </c>
      <c r="S236" s="10">
        <v>35.0</v>
      </c>
      <c r="T236" s="10">
        <v>18.88</v>
      </c>
      <c r="U236" s="10">
        <v>7.0</v>
      </c>
      <c r="V236" s="10">
        <v>7.0</v>
      </c>
      <c r="W236" s="10">
        <v>0.0</v>
      </c>
      <c r="X236" s="10">
        <v>20.0</v>
      </c>
      <c r="Y236" s="10">
        <v>15.0</v>
      </c>
      <c r="Z236" s="10">
        <v>5.0</v>
      </c>
      <c r="AA236" s="10">
        <v>14.0</v>
      </c>
      <c r="AB236" s="10">
        <v>6.0</v>
      </c>
      <c r="AC236" s="11" t="s">
        <v>69</v>
      </c>
      <c r="AD236" s="26" t="s">
        <v>536</v>
      </c>
      <c r="AE236" s="9" t="str">
        <f>IFERROR(__xludf.DUMMYFUNCTION("GOOGLETRANSLATE(AD236,""pt"",""en"")"),"IF Difficult by %")</f>
        <v>IF Difficult by %</v>
      </c>
      <c r="AF236" s="10"/>
      <c r="AG236" s="9"/>
      <c r="AH236" s="10"/>
      <c r="AI236" s="9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</row>
    <row r="237">
      <c r="A237" s="20">
        <v>107.0</v>
      </c>
      <c r="B237" s="21">
        <v>9.0</v>
      </c>
      <c r="C237" s="21">
        <v>18.0</v>
      </c>
      <c r="D237" s="20">
        <v>2.0</v>
      </c>
      <c r="E237" s="22" t="s">
        <v>152</v>
      </c>
      <c r="F237" s="21">
        <v>5.0</v>
      </c>
      <c r="G237" s="21">
        <v>2.0</v>
      </c>
      <c r="H237" s="22" t="s">
        <v>102</v>
      </c>
      <c r="I237" s="21">
        <v>1.0</v>
      </c>
      <c r="J237" s="22" t="s">
        <v>40</v>
      </c>
      <c r="K237" s="22" t="s">
        <v>57</v>
      </c>
      <c r="L237" s="21">
        <v>112.91</v>
      </c>
      <c r="M237" s="21">
        <v>178.0</v>
      </c>
      <c r="N237" s="21">
        <v>59.51</v>
      </c>
      <c r="O237" s="21">
        <v>81.0</v>
      </c>
      <c r="P237" s="21">
        <v>32.0</v>
      </c>
      <c r="Q237" s="21">
        <v>49.0</v>
      </c>
      <c r="R237" s="21">
        <v>39.84</v>
      </c>
      <c r="S237" s="21">
        <v>68.0</v>
      </c>
      <c r="T237" s="21">
        <v>24.02</v>
      </c>
      <c r="U237" s="21">
        <v>16.0</v>
      </c>
      <c r="V237" s="21">
        <v>16.0</v>
      </c>
      <c r="W237" s="21">
        <v>0.0</v>
      </c>
      <c r="X237" s="21">
        <v>33.0</v>
      </c>
      <c r="Y237" s="21">
        <v>27.0</v>
      </c>
      <c r="Z237" s="21">
        <v>6.0</v>
      </c>
      <c r="AA237" s="21">
        <v>25.0</v>
      </c>
      <c r="AB237" s="21">
        <v>7.0</v>
      </c>
      <c r="AC237" s="23" t="s">
        <v>42</v>
      </c>
      <c r="AD237" s="22" t="s">
        <v>537</v>
      </c>
      <c r="AE237" s="9" t="str">
        <f>IFERROR(__xludf.DUMMYFUNCTION("GOOGLETRANSLATE(AD237,""pt"",""en"")"),"IF difficult because of %")</f>
        <v>IF difficult because of %</v>
      </c>
      <c r="AF237" s="22"/>
      <c r="AG237" s="9"/>
      <c r="AH237" s="22" t="s">
        <v>131</v>
      </c>
      <c r="AI237" s="9" t="str">
        <f>IFERROR(__xludf.DUMMYFUNCTION("GOOGLETRANSLATE(AH237,""pt"",""en"")"),"spent more time on AOI and more regressions")</f>
        <v>spent more time on AOI and more regressions</v>
      </c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</row>
    <row r="238">
      <c r="A238" s="9">
        <v>194.0</v>
      </c>
      <c r="B238" s="10">
        <v>1.0</v>
      </c>
      <c r="C238" s="10">
        <v>1.0</v>
      </c>
      <c r="D238" s="9">
        <v>1.0</v>
      </c>
      <c r="E238" s="10" t="s">
        <v>124</v>
      </c>
      <c r="F238" s="10">
        <v>2.0</v>
      </c>
      <c r="G238" s="10">
        <v>1.0</v>
      </c>
      <c r="H238" s="10" t="s">
        <v>102</v>
      </c>
      <c r="I238" s="10">
        <v>1.0</v>
      </c>
      <c r="J238" s="10" t="s">
        <v>40</v>
      </c>
      <c r="K238" s="10" t="s">
        <v>50</v>
      </c>
      <c r="L238" s="10">
        <v>72.62</v>
      </c>
      <c r="M238" s="10">
        <v>129.0</v>
      </c>
      <c r="N238" s="10">
        <v>40.99</v>
      </c>
      <c r="O238" s="10">
        <v>54.0</v>
      </c>
      <c r="P238" s="10">
        <v>25.0</v>
      </c>
      <c r="Q238" s="10">
        <v>29.0</v>
      </c>
      <c r="R238" s="10">
        <v>21.93</v>
      </c>
      <c r="S238" s="10">
        <v>41.0</v>
      </c>
      <c r="T238" s="10">
        <v>14.37</v>
      </c>
      <c r="U238" s="10">
        <v>6.0</v>
      </c>
      <c r="V238" s="10">
        <v>6.0</v>
      </c>
      <c r="W238" s="10">
        <v>0.0</v>
      </c>
      <c r="X238" s="10">
        <v>21.0</v>
      </c>
      <c r="Y238" s="10">
        <v>12.0</v>
      </c>
      <c r="Z238" s="10">
        <v>9.0</v>
      </c>
      <c r="AA238" s="10">
        <v>11.0</v>
      </c>
      <c r="AB238" s="10">
        <v>9.0</v>
      </c>
      <c r="AC238" s="11" t="s">
        <v>51</v>
      </c>
      <c r="AD238" s="10" t="s">
        <v>52</v>
      </c>
      <c r="AE238" s="9" t="str">
        <f>IFERROR(__xludf.DUMMYFUNCTION("GOOGLETRANSLATE(AD238,""pt"",""en"")"),"no difficulty pointed out")</f>
        <v>no difficulty pointed out</v>
      </c>
      <c r="AF238" s="10" t="s">
        <v>538</v>
      </c>
      <c r="AG238" s="9" t="str">
        <f>IFERROR(__xludf.DUMMYFUNCTION("GOOGLETRANSLATE(AF238,""pt"",""en"")"),"Check X! = Y")</f>
        <v>Check X! = Y</v>
      </c>
      <c r="AH238" s="10"/>
      <c r="AI238" s="9"/>
      <c r="AJ238" s="13" t="s">
        <v>539</v>
      </c>
      <c r="AK238" s="13" t="str">
        <f>IFERROR(__xludf.DUMMYFUNCTION("GOOGLETRANSLATE(AJ238,""pt"",""en"")"),"Checked Boolean Operator")</f>
        <v>Checked Boolean Operator</v>
      </c>
      <c r="AL238" s="13" t="s">
        <v>540</v>
      </c>
      <c r="AM238" s="13" t="str">
        <f>IFERROR(__xludf.DUMMYFUNCTION("GOOGLETRANSLATE(AL238,""pt"",""en"")"),"relational operator")</f>
        <v>relational operator</v>
      </c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</row>
    <row r="239">
      <c r="A239" s="9">
        <v>296.0</v>
      </c>
      <c r="B239" s="10">
        <v>9.0</v>
      </c>
      <c r="C239" s="10">
        <v>17.0</v>
      </c>
      <c r="D239" s="9">
        <v>2.0</v>
      </c>
      <c r="E239" s="10" t="s">
        <v>96</v>
      </c>
      <c r="F239" s="10">
        <v>2.0</v>
      </c>
      <c r="G239" s="10">
        <v>2.0</v>
      </c>
      <c r="H239" s="10" t="s">
        <v>39</v>
      </c>
      <c r="I239" s="10">
        <v>1.0</v>
      </c>
      <c r="J239" s="10" t="s">
        <v>40</v>
      </c>
      <c r="K239" s="10" t="s">
        <v>41</v>
      </c>
      <c r="L239" s="10">
        <v>61.54</v>
      </c>
      <c r="M239" s="10">
        <v>91.0</v>
      </c>
      <c r="N239" s="10">
        <v>37.63</v>
      </c>
      <c r="O239" s="10">
        <v>40.0</v>
      </c>
      <c r="P239" s="10">
        <v>23.0</v>
      </c>
      <c r="Q239" s="10">
        <v>17.0</v>
      </c>
      <c r="R239" s="10">
        <v>25.09</v>
      </c>
      <c r="S239" s="10">
        <v>41.0</v>
      </c>
      <c r="T239" s="10">
        <v>15.73</v>
      </c>
      <c r="U239" s="10">
        <v>15.0</v>
      </c>
      <c r="V239" s="10">
        <v>15.0</v>
      </c>
      <c r="W239" s="10">
        <v>0.0</v>
      </c>
      <c r="X239" s="10">
        <v>10.0</v>
      </c>
      <c r="Y239" s="10">
        <v>6.0</v>
      </c>
      <c r="Z239" s="10">
        <v>4.0</v>
      </c>
      <c r="AA239" s="10">
        <v>8.0</v>
      </c>
      <c r="AB239" s="10">
        <v>1.0</v>
      </c>
      <c r="AC239" s="11" t="s">
        <v>54</v>
      </c>
      <c r="AD239" s="10" t="s">
        <v>541</v>
      </c>
      <c r="AE239" s="9" t="str">
        <f>IFERROR(__xludf.DUMMYFUNCTION("GOOGLETRANSLATE(AD239,""pt"",""en"")"),"cont! = 3 would be easier")</f>
        <v>cont! = 3 would be easier</v>
      </c>
      <c r="AF239" s="10"/>
      <c r="AG239" s="9"/>
      <c r="AH239" s="9"/>
      <c r="AI239" s="9"/>
      <c r="AJ239" s="14" t="s">
        <v>542</v>
      </c>
      <c r="AK239" s="13" t="str">
        <f>IFERROR(__xludf.DUMMYFUNCTION("GOOGLETRANSLATE(AJ239,""pt"",""en"")"),"Prefers by operator")</f>
        <v>Prefers by operator</v>
      </c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</row>
    <row r="240">
      <c r="A240" s="9">
        <v>188.0</v>
      </c>
      <c r="B240" s="9">
        <v>16.0</v>
      </c>
      <c r="C240" s="10">
        <v>32.0</v>
      </c>
      <c r="D240" s="9">
        <v>2.0</v>
      </c>
      <c r="E240" s="10" t="s">
        <v>115</v>
      </c>
      <c r="F240" s="10">
        <v>2.0</v>
      </c>
      <c r="G240" s="10">
        <v>2.0</v>
      </c>
      <c r="H240" s="10" t="s">
        <v>39</v>
      </c>
      <c r="I240" s="9">
        <v>1.0</v>
      </c>
      <c r="J240" s="10" t="s">
        <v>40</v>
      </c>
      <c r="K240" s="10"/>
      <c r="L240" s="10">
        <v>30.54</v>
      </c>
      <c r="M240" s="10">
        <v>56.0</v>
      </c>
      <c r="N240" s="10">
        <v>17.12</v>
      </c>
      <c r="O240" s="10">
        <v>27.0</v>
      </c>
      <c r="P240" s="10">
        <v>12.0</v>
      </c>
      <c r="Q240" s="10">
        <v>15.0</v>
      </c>
      <c r="R240" s="10">
        <v>9.56</v>
      </c>
      <c r="S240" s="10">
        <v>22.0</v>
      </c>
      <c r="T240" s="10">
        <v>6.34</v>
      </c>
      <c r="U240" s="10">
        <v>7.0</v>
      </c>
      <c r="V240" s="10">
        <v>7.0</v>
      </c>
      <c r="W240" s="10">
        <v>0.0</v>
      </c>
      <c r="X240" s="10">
        <v>8.0</v>
      </c>
      <c r="Y240" s="10">
        <v>3.0</v>
      </c>
      <c r="Z240" s="10">
        <v>5.0</v>
      </c>
      <c r="AA240" s="10">
        <v>3.0</v>
      </c>
      <c r="AB240" s="10">
        <v>5.0</v>
      </c>
      <c r="AC240" s="11" t="s">
        <v>146</v>
      </c>
      <c r="AD240" s="10" t="s">
        <v>543</v>
      </c>
      <c r="AE240" s="9" t="str">
        <f>IFERROR(__xludf.DUMMYFUNCTION("GOOGLETRANSLATE(AD240,""pt"",""en"")"),"CONT! = Made clearer")</f>
        <v>CONT! = Made clearer</v>
      </c>
      <c r="AF240" s="10" t="s">
        <v>544</v>
      </c>
      <c r="AG240" s="9" t="str">
        <f>IFERROR(__xludf.DUMMYFUNCTION("GOOGLETRANSLATE(AF240,""pt"",""en"")"),"observed the value of")</f>
        <v>observed the value of</v>
      </c>
      <c r="AH240" s="10"/>
      <c r="AI240" s="9"/>
      <c r="AJ240" s="14" t="s">
        <v>545</v>
      </c>
      <c r="AK240" s="13" t="str">
        <f>IFERROR(__xludf.DUMMYFUNCTION("GOOGLETRANSLATE(AJ240,""pt"",""en"")"),"relational operator facilitated")</f>
        <v>relational operator facilitated</v>
      </c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</row>
    <row r="241">
      <c r="A241" s="9">
        <v>20.0</v>
      </c>
      <c r="B241" s="10">
        <v>2.0</v>
      </c>
      <c r="C241" s="10">
        <v>4.0</v>
      </c>
      <c r="D241" s="9">
        <v>2.0</v>
      </c>
      <c r="E241" s="10" t="s">
        <v>115</v>
      </c>
      <c r="F241" s="10">
        <v>2.0</v>
      </c>
      <c r="G241" s="10">
        <v>2.0</v>
      </c>
      <c r="H241" s="10" t="s">
        <v>102</v>
      </c>
      <c r="I241" s="10">
        <v>1.0</v>
      </c>
      <c r="J241" s="10" t="s">
        <v>40</v>
      </c>
      <c r="K241" s="10" t="s">
        <v>57</v>
      </c>
      <c r="L241" s="10">
        <v>89.44</v>
      </c>
      <c r="M241" s="10">
        <v>146.0</v>
      </c>
      <c r="N241" s="10">
        <v>60.42</v>
      </c>
      <c r="O241" s="10">
        <v>67.0</v>
      </c>
      <c r="P241" s="10">
        <v>32.0</v>
      </c>
      <c r="Q241" s="10">
        <v>35.0</v>
      </c>
      <c r="R241" s="10">
        <v>29.7</v>
      </c>
      <c r="S241" s="10">
        <v>52.0</v>
      </c>
      <c r="T241" s="10">
        <v>23.04</v>
      </c>
      <c r="U241" s="10">
        <v>13.0</v>
      </c>
      <c r="V241" s="10">
        <v>13.0</v>
      </c>
      <c r="W241" s="10">
        <v>0.0</v>
      </c>
      <c r="X241" s="10">
        <v>19.0</v>
      </c>
      <c r="Y241" s="10">
        <v>9.0</v>
      </c>
      <c r="Z241" s="10">
        <v>10.0</v>
      </c>
      <c r="AA241" s="10">
        <v>10.0</v>
      </c>
      <c r="AB241" s="10">
        <v>8.0</v>
      </c>
      <c r="AC241" s="11" t="s">
        <v>58</v>
      </c>
      <c r="AD241" s="10" t="s">
        <v>546</v>
      </c>
      <c r="AE241" s="9" t="str">
        <f>IFERROR(__xludf.DUMMYFUNCTION("GOOGLETRANSLATE(AD241,""pt"",""en"")"),"mentioned the =! as complex")</f>
        <v>mentioned the =! as complex</v>
      </c>
      <c r="AF241" s="10"/>
      <c r="AG241" s="9"/>
      <c r="AH241" s="9" t="s">
        <v>185</v>
      </c>
      <c r="AI241" s="9" t="str">
        <f>IFERROR(__xludf.DUMMYFUNCTION("GOOGLETRANSLATE(AH241,""pt"",""en"")"),"more regressions")</f>
        <v>more regressions</v>
      </c>
      <c r="AJ241" s="13" t="s">
        <v>547</v>
      </c>
      <c r="AK241" s="13" t="str">
        <f>IFERROR(__xludf.DUMMYFUNCTION("GOOGLETRANSLATE(AJ241,""pt"",""en"")"),"Found Boolean Operator Complex")</f>
        <v>Found Boolean Operator Complex</v>
      </c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</row>
    <row r="242">
      <c r="A242" s="9">
        <v>310.0</v>
      </c>
      <c r="B242" s="10">
        <v>10.0</v>
      </c>
      <c r="C242" s="10">
        <v>19.0</v>
      </c>
      <c r="D242" s="9">
        <v>2.0</v>
      </c>
      <c r="E242" s="10" t="s">
        <v>261</v>
      </c>
      <c r="F242" s="10">
        <v>4.0</v>
      </c>
      <c r="G242" s="10">
        <v>2.0</v>
      </c>
      <c r="H242" s="10" t="s">
        <v>39</v>
      </c>
      <c r="I242" s="10">
        <v>2.0</v>
      </c>
      <c r="J242" s="10" t="s">
        <v>40</v>
      </c>
      <c r="K242" s="10" t="s">
        <v>57</v>
      </c>
      <c r="L242" s="10">
        <v>31.51</v>
      </c>
      <c r="M242" s="10">
        <v>14.0</v>
      </c>
      <c r="N242" s="10">
        <v>3.4</v>
      </c>
      <c r="O242" s="10">
        <v>3.0</v>
      </c>
      <c r="P242" s="10">
        <v>0.0</v>
      </c>
      <c r="Q242" s="10">
        <v>3.0</v>
      </c>
      <c r="R242" s="10">
        <v>4.8</v>
      </c>
      <c r="S242" s="10">
        <v>4.0</v>
      </c>
      <c r="T242" s="10">
        <v>1.12</v>
      </c>
      <c r="U242" s="10">
        <v>0.0</v>
      </c>
      <c r="V242" s="10">
        <v>0.0</v>
      </c>
      <c r="W242" s="10">
        <v>0.0</v>
      </c>
      <c r="X242" s="10">
        <v>2.0</v>
      </c>
      <c r="Y242" s="10">
        <v>0.0</v>
      </c>
      <c r="Z242" s="10">
        <v>2.0</v>
      </c>
      <c r="AA242" s="10">
        <v>0.0</v>
      </c>
      <c r="AB242" s="10">
        <v>3.0</v>
      </c>
      <c r="AC242" s="11" t="s">
        <v>181</v>
      </c>
      <c r="AD242" s="10" t="s">
        <v>548</v>
      </c>
      <c r="AE242" s="9" t="str">
        <f>IFERROR(__xludf.DUMMYFUNCTION("GOOGLETRANSLATE(AD242,""pt"",""en"")"),"Had difficulty in Boolean")</f>
        <v>Had difficulty in Boolean</v>
      </c>
      <c r="AF242" s="10"/>
      <c r="AG242" s="9"/>
      <c r="AH242" s="9" t="s">
        <v>162</v>
      </c>
      <c r="AI242" s="9" t="str">
        <f>IFERROR(__xludf.DUMMYFUNCTION("GOOGLETRANSLATE(AH242,""pt"",""en"")"),"mislead")</f>
        <v>mislead</v>
      </c>
      <c r="AJ242" s="13" t="s">
        <v>549</v>
      </c>
      <c r="AK242" s="13" t="str">
        <f>IFERROR(__xludf.DUMMYFUNCTION("GOOGLETRANSLATE(AJ242,""pt"",""en"")"),"found the boolean difficult")</f>
        <v>found the boolean difficult</v>
      </c>
      <c r="AL242" s="13" t="s">
        <v>550</v>
      </c>
      <c r="AM242" s="13" t="str">
        <f>IFERROR(__xludf.DUMMYFUNCTION("GOOGLETRANSLATE(AL242,""pt"",""en"")"),"logical operators")</f>
        <v>logical operators</v>
      </c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</row>
    <row r="243">
      <c r="A243" s="9">
        <v>286.0</v>
      </c>
      <c r="B243" s="10">
        <v>8.0</v>
      </c>
      <c r="C243" s="10">
        <v>15.0</v>
      </c>
      <c r="D243" s="9">
        <v>2.0</v>
      </c>
      <c r="E243" s="10" t="s">
        <v>261</v>
      </c>
      <c r="F243" s="10">
        <v>4.0</v>
      </c>
      <c r="G243" s="10">
        <v>2.0</v>
      </c>
      <c r="H243" s="10" t="s">
        <v>39</v>
      </c>
      <c r="I243" s="10">
        <v>1.0</v>
      </c>
      <c r="J243" s="10" t="s">
        <v>40</v>
      </c>
      <c r="K243" s="10" t="s">
        <v>50</v>
      </c>
      <c r="L243" s="10">
        <v>25.03</v>
      </c>
      <c r="M243" s="10">
        <v>31.0</v>
      </c>
      <c r="N243" s="10">
        <v>9.45</v>
      </c>
      <c r="O243" s="10">
        <v>11.0</v>
      </c>
      <c r="P243" s="10">
        <v>6.0</v>
      </c>
      <c r="Q243" s="10">
        <v>5.0</v>
      </c>
      <c r="R243" s="10">
        <v>2.71</v>
      </c>
      <c r="S243" s="10">
        <v>4.0</v>
      </c>
      <c r="T243" s="10">
        <v>1.04</v>
      </c>
      <c r="U243" s="10">
        <v>0.0</v>
      </c>
      <c r="V243" s="10">
        <v>0.0</v>
      </c>
      <c r="W243" s="10">
        <v>0.0</v>
      </c>
      <c r="X243" s="10">
        <v>2.0</v>
      </c>
      <c r="Y243" s="10">
        <v>0.0</v>
      </c>
      <c r="Z243" s="10">
        <v>2.0</v>
      </c>
      <c r="AA243" s="10">
        <v>0.0</v>
      </c>
      <c r="AB243" s="10">
        <v>3.0</v>
      </c>
      <c r="AC243" s="11" t="s">
        <v>220</v>
      </c>
      <c r="AD243" s="10" t="s">
        <v>551</v>
      </c>
      <c r="AE243" s="9" t="str">
        <f>IFERROR(__xludf.DUMMYFUNCTION("GOOGLETRANSLATE(AD243,""pt"",""en"")"),"Booleano Easy")</f>
        <v>Booleano Easy</v>
      </c>
      <c r="AF243" s="10"/>
      <c r="AG243" s="9"/>
      <c r="AH243" s="10"/>
      <c r="AI243" s="9"/>
      <c r="AJ243" s="13" t="s">
        <v>552</v>
      </c>
      <c r="AK243" s="13" t="str">
        <f>IFERROR(__xludf.DUMMYFUNCTION("GOOGLETRANSLATE(AJ243,""pt"",""en"")"),"Found the Boolean Easy")</f>
        <v>Found the Boolean Easy</v>
      </c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</row>
    <row r="244">
      <c r="A244" s="9">
        <v>172.0</v>
      </c>
      <c r="B244" s="10">
        <v>15.0</v>
      </c>
      <c r="C244" s="10">
        <v>30.0</v>
      </c>
      <c r="D244" s="9">
        <v>1.0</v>
      </c>
      <c r="E244" s="10" t="s">
        <v>169</v>
      </c>
      <c r="F244" s="10">
        <v>4.0</v>
      </c>
      <c r="G244" s="10">
        <v>1.0</v>
      </c>
      <c r="H244" s="10" t="s">
        <v>39</v>
      </c>
      <c r="I244" s="10">
        <v>2.0</v>
      </c>
      <c r="J244" s="10" t="s">
        <v>40</v>
      </c>
      <c r="K244" s="10" t="s">
        <v>41</v>
      </c>
      <c r="L244" s="10">
        <v>63.63</v>
      </c>
      <c r="M244" s="10">
        <v>85.0</v>
      </c>
      <c r="N244" s="10">
        <v>28.89</v>
      </c>
      <c r="O244" s="10">
        <v>43.0</v>
      </c>
      <c r="P244" s="10">
        <v>21.0</v>
      </c>
      <c r="Q244" s="10">
        <v>22.0</v>
      </c>
      <c r="R244" s="10">
        <v>20.25</v>
      </c>
      <c r="S244" s="10">
        <v>33.0</v>
      </c>
      <c r="T244" s="10">
        <v>11.44</v>
      </c>
      <c r="U244" s="10">
        <v>7.0</v>
      </c>
      <c r="V244" s="10">
        <v>7.0</v>
      </c>
      <c r="W244" s="10">
        <v>0.0</v>
      </c>
      <c r="X244" s="10">
        <v>14.0</v>
      </c>
      <c r="Y244" s="10">
        <v>0.0</v>
      </c>
      <c r="Z244" s="10">
        <v>14.0</v>
      </c>
      <c r="AA244" s="10">
        <v>0.0</v>
      </c>
      <c r="AB244" s="10">
        <v>15.0</v>
      </c>
      <c r="AC244" s="11" t="s">
        <v>245</v>
      </c>
      <c r="AD244" s="10" t="s">
        <v>553</v>
      </c>
      <c r="AE244" s="9" t="str">
        <f>IFERROR(__xludf.DUMMYFUNCTION("GOOGLETRANSLATE(AD244,""pt"",""en"")"),"confused and with or")</f>
        <v>confused and with or</v>
      </c>
      <c r="AF244" s="10" t="s">
        <v>554</v>
      </c>
      <c r="AG244" s="9" t="str">
        <f>IFERROR(__xludf.DUMMYFUNCTION("GOOGLETRANSLATE(AF244,""pt"",""en"")"),"evaluated the or first")</f>
        <v>evaluated the or first</v>
      </c>
      <c r="AH244" s="9" t="s">
        <v>104</v>
      </c>
      <c r="AI244" s="9" t="str">
        <f>IFERROR(__xludf.DUMMYFUNCTION("GOOGLETRANSLATE(AH244,""pt"",""en"")"),"made a mistake, spent more time and more regressions")</f>
        <v>made a mistake, spent more time and more regressions</v>
      </c>
      <c r="AJ244" s="13" t="s">
        <v>555</v>
      </c>
      <c r="AK244" s="13" t="str">
        <f>IFERROR(__xludf.DUMMYFUNCTION("GOOGLETRANSLATE(AJ244,""pt"",""en"")"),"confused and with or because it evaluated the or first")</f>
        <v>confused and with or because it evaluated the or first</v>
      </c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</row>
    <row r="245">
      <c r="A245" s="9">
        <v>232.0</v>
      </c>
      <c r="B245" s="10">
        <v>4.0</v>
      </c>
      <c r="C245" s="10">
        <v>7.0</v>
      </c>
      <c r="D245" s="9">
        <v>1.0</v>
      </c>
      <c r="E245" s="10" t="s">
        <v>186</v>
      </c>
      <c r="F245" s="10">
        <v>4.0</v>
      </c>
      <c r="G245" s="10">
        <v>1.0</v>
      </c>
      <c r="H245" s="10" t="s">
        <v>102</v>
      </c>
      <c r="I245" s="10">
        <v>1.0</v>
      </c>
      <c r="J245" s="10" t="s">
        <v>40</v>
      </c>
      <c r="K245" s="10" t="s">
        <v>57</v>
      </c>
      <c r="L245" s="10">
        <v>45.96</v>
      </c>
      <c r="M245" s="10">
        <v>57.0</v>
      </c>
      <c r="N245" s="10">
        <v>17.14</v>
      </c>
      <c r="O245" s="10">
        <v>22.0</v>
      </c>
      <c r="P245" s="10">
        <v>13.0</v>
      </c>
      <c r="Q245" s="10">
        <v>9.0</v>
      </c>
      <c r="R245" s="10">
        <v>22.0</v>
      </c>
      <c r="S245" s="10">
        <v>35.0</v>
      </c>
      <c r="T245" s="10">
        <v>10.88</v>
      </c>
      <c r="U245" s="10">
        <v>12.0</v>
      </c>
      <c r="V245" s="10">
        <v>12.0</v>
      </c>
      <c r="W245" s="10">
        <v>0.0</v>
      </c>
      <c r="X245" s="10">
        <v>3.0</v>
      </c>
      <c r="Y245" s="10">
        <v>1.0</v>
      </c>
      <c r="Z245" s="10">
        <v>2.0</v>
      </c>
      <c r="AA245" s="10">
        <v>1.0</v>
      </c>
      <c r="AB245" s="10">
        <v>3.0</v>
      </c>
      <c r="AC245" s="11" t="s">
        <v>167</v>
      </c>
      <c r="AD245" s="10" t="s">
        <v>556</v>
      </c>
      <c r="AE245" s="9" t="str">
        <f>IFERROR(__xludf.DUMMYFUNCTION("GOOGLETRANSLATE(AD245,""pt"",""en"")"),"confused the True and False")</f>
        <v>confused the True and False</v>
      </c>
      <c r="AF245" s="10"/>
      <c r="AG245" s="9"/>
      <c r="AH245" s="9" t="s">
        <v>123</v>
      </c>
      <c r="AI245" s="9" t="str">
        <f>IFERROR(__xludf.DUMMYFUNCTION("GOOGLETRANSLATE(AH245,""pt"",""en"")"),"spent more time and more regressions")</f>
        <v>spent more time and more regressions</v>
      </c>
      <c r="AJ245" s="12" t="s">
        <v>556</v>
      </c>
      <c r="AK245" s="13" t="str">
        <f>IFERROR(__xludf.DUMMYFUNCTION("GOOGLETRANSLATE(AJ245,""pt"",""en"")"),"confused the True and False")</f>
        <v>confused the True and False</v>
      </c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</row>
    <row r="246">
      <c r="A246" s="9">
        <v>364.0</v>
      </c>
      <c r="B246" s="10">
        <v>15.0</v>
      </c>
      <c r="C246" s="10">
        <v>29.0</v>
      </c>
      <c r="D246" s="9">
        <v>1.0</v>
      </c>
      <c r="E246" s="10" t="s">
        <v>186</v>
      </c>
      <c r="F246" s="10">
        <v>4.0</v>
      </c>
      <c r="G246" s="10">
        <v>1.0</v>
      </c>
      <c r="H246" s="10" t="s">
        <v>102</v>
      </c>
      <c r="I246" s="10">
        <v>1.0</v>
      </c>
      <c r="J246" s="10" t="s">
        <v>40</v>
      </c>
      <c r="K246" s="10" t="s">
        <v>85</v>
      </c>
      <c r="L246" s="10">
        <v>43.04</v>
      </c>
      <c r="M246" s="10">
        <v>42.0</v>
      </c>
      <c r="N246" s="10">
        <v>13.77</v>
      </c>
      <c r="O246" s="10">
        <v>16.0</v>
      </c>
      <c r="P246" s="10">
        <v>6.0</v>
      </c>
      <c r="Q246" s="10">
        <v>10.0</v>
      </c>
      <c r="R246" s="10">
        <v>19.82</v>
      </c>
      <c r="S246" s="10">
        <v>24.0</v>
      </c>
      <c r="T246" s="10">
        <v>8.47</v>
      </c>
      <c r="U246" s="10">
        <v>4.0</v>
      </c>
      <c r="V246" s="10">
        <v>4.0</v>
      </c>
      <c r="W246" s="10">
        <v>0.0</v>
      </c>
      <c r="X246" s="10">
        <v>8.0</v>
      </c>
      <c r="Y246" s="10">
        <v>1.0</v>
      </c>
      <c r="Z246" s="10">
        <v>7.0</v>
      </c>
      <c r="AA246" s="10">
        <v>1.0</v>
      </c>
      <c r="AB246" s="10">
        <v>8.0</v>
      </c>
      <c r="AC246" s="11" t="s">
        <v>189</v>
      </c>
      <c r="AD246" s="10" t="s">
        <v>557</v>
      </c>
      <c r="AE246" s="9" t="str">
        <f>IFERROR(__xludf.DUMMYFUNCTION("GOOGLETRANSLATE(AD246,""pt"",""en"")"),"Validating And and OR was difficult")</f>
        <v>Validating And and OR was difficult</v>
      </c>
      <c r="AF246" s="10" t="s">
        <v>558</v>
      </c>
      <c r="AG246" s="9" t="str">
        <f>IFERROR(__xludf.DUMMYFUNCTION("GOOGLETRANSLATE(AF246,""pt"",""en"")"),"considered the test true")</f>
        <v>considered the test true</v>
      </c>
      <c r="AH246" s="10"/>
      <c r="AI246" s="9"/>
      <c r="AJ246" s="12" t="s">
        <v>559</v>
      </c>
      <c r="AK246" s="13" t="str">
        <f>IFERROR(__xludf.DUMMYFUNCTION("GOOGLETRANSLATE(AJ246,""pt"",""en"")"),"Hard to validate and and or")</f>
        <v>Hard to validate and and or</v>
      </c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</row>
    <row r="247">
      <c r="A247" s="9">
        <v>16.0</v>
      </c>
      <c r="B247" s="10">
        <v>2.0</v>
      </c>
      <c r="C247" s="10">
        <v>4.0</v>
      </c>
      <c r="D247" s="9">
        <v>1.0</v>
      </c>
      <c r="E247" s="10" t="s">
        <v>169</v>
      </c>
      <c r="F247" s="10">
        <v>4.0</v>
      </c>
      <c r="G247" s="10">
        <v>1.0</v>
      </c>
      <c r="H247" s="10" t="s">
        <v>39</v>
      </c>
      <c r="I247" s="10">
        <v>1.0</v>
      </c>
      <c r="J247" s="10" t="s">
        <v>40</v>
      </c>
      <c r="K247" s="10" t="s">
        <v>57</v>
      </c>
      <c r="L247" s="10">
        <v>119.64</v>
      </c>
      <c r="M247" s="10">
        <v>191.0</v>
      </c>
      <c r="N247" s="10">
        <v>78.86</v>
      </c>
      <c r="O247" s="10">
        <v>84.0</v>
      </c>
      <c r="P247" s="10">
        <v>68.0</v>
      </c>
      <c r="Q247" s="10">
        <v>16.0</v>
      </c>
      <c r="R247" s="10">
        <v>84.79</v>
      </c>
      <c r="S247" s="10">
        <v>149.0</v>
      </c>
      <c r="T247" s="10">
        <v>63.95</v>
      </c>
      <c r="U247" s="10">
        <v>63.0</v>
      </c>
      <c r="V247" s="10">
        <v>63.0</v>
      </c>
      <c r="W247" s="10">
        <v>0.0</v>
      </c>
      <c r="X247" s="10">
        <v>10.0</v>
      </c>
      <c r="Y247" s="10">
        <v>3.0</v>
      </c>
      <c r="Z247" s="10">
        <v>7.0</v>
      </c>
      <c r="AA247" s="10">
        <v>3.0</v>
      </c>
      <c r="AB247" s="10">
        <v>7.0</v>
      </c>
      <c r="AC247" s="11" t="s">
        <v>58</v>
      </c>
      <c r="AD247" s="10" t="s">
        <v>559</v>
      </c>
      <c r="AE247" s="9" t="str">
        <f>IFERROR(__xludf.DUMMYFUNCTION("GOOGLETRANSLATE(AD247,""pt"",""en"")"),"Hard to validate and and or")</f>
        <v>Hard to validate and and or</v>
      </c>
      <c r="AF247" s="10"/>
      <c r="AG247" s="9"/>
      <c r="AH247" s="9" t="s">
        <v>123</v>
      </c>
      <c r="AI247" s="9" t="str">
        <f>IFERROR(__xludf.DUMMYFUNCTION("GOOGLETRANSLATE(AH247,""pt"",""en"")"),"spent more time and more regressions")</f>
        <v>spent more time and more regressions</v>
      </c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</row>
    <row r="248">
      <c r="A248" s="9">
        <v>64.0</v>
      </c>
      <c r="B248" s="10">
        <v>6.0</v>
      </c>
      <c r="C248" s="10">
        <v>12.0</v>
      </c>
      <c r="D248" s="9">
        <v>1.0</v>
      </c>
      <c r="E248" s="10" t="s">
        <v>169</v>
      </c>
      <c r="F248" s="10">
        <v>4.0</v>
      </c>
      <c r="G248" s="10">
        <v>1.0</v>
      </c>
      <c r="H248" s="10" t="s">
        <v>39</v>
      </c>
      <c r="I248" s="10">
        <v>2.0</v>
      </c>
      <c r="J248" s="10" t="s">
        <v>40</v>
      </c>
      <c r="K248" s="10" t="s">
        <v>85</v>
      </c>
      <c r="L248" s="10">
        <v>89.42</v>
      </c>
      <c r="M248" s="10">
        <v>109.0</v>
      </c>
      <c r="N248" s="10">
        <v>32.78</v>
      </c>
      <c r="O248" s="10">
        <v>44.0</v>
      </c>
      <c r="P248" s="10">
        <v>25.0</v>
      </c>
      <c r="Q248" s="10">
        <v>19.0</v>
      </c>
      <c r="R248" s="10">
        <v>39.6</v>
      </c>
      <c r="S248" s="10">
        <v>53.0</v>
      </c>
      <c r="T248" s="10">
        <v>16.8</v>
      </c>
      <c r="U248" s="10">
        <v>18.0</v>
      </c>
      <c r="V248" s="10">
        <v>18.0</v>
      </c>
      <c r="W248" s="10">
        <v>0.0</v>
      </c>
      <c r="X248" s="10">
        <v>13.0</v>
      </c>
      <c r="Y248" s="10">
        <v>4.0</v>
      </c>
      <c r="Z248" s="10">
        <v>9.0</v>
      </c>
      <c r="AA248" s="10">
        <v>3.0</v>
      </c>
      <c r="AB248" s="10">
        <v>10.0</v>
      </c>
      <c r="AC248" s="11" t="s">
        <v>194</v>
      </c>
      <c r="AD248" s="10" t="s">
        <v>205</v>
      </c>
      <c r="AE248" s="9" t="str">
        <f>IFERROR(__xludf.DUMMYFUNCTION("GOOGLETRANSLATE(AD248,""pt"",""en"")"),"pointed to if as difficult")</f>
        <v>pointed to if as difficult</v>
      </c>
      <c r="AF248" s="10" t="s">
        <v>560</v>
      </c>
      <c r="AG248" s="9" t="str">
        <f>IFERROR(__xludf.DUMMYFUNCTION("GOOGLETRANSLATE(AF248,""pt"",""en"")"),"did not care with the operators")</f>
        <v>did not care with the operators</v>
      </c>
      <c r="AH248" s="9" t="s">
        <v>104</v>
      </c>
      <c r="AI248" s="9" t="str">
        <f>IFERROR(__xludf.DUMMYFUNCTION("GOOGLETRANSLATE(AH248,""pt"",""en"")"),"made a mistake, spent more time and more regressions")</f>
        <v>made a mistake, spent more time and more regressions</v>
      </c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</row>
    <row r="249">
      <c r="A249" s="9">
        <v>244.0</v>
      </c>
      <c r="B249" s="10">
        <v>5.0</v>
      </c>
      <c r="C249" s="10">
        <v>9.0</v>
      </c>
      <c r="D249" s="9">
        <v>1.0</v>
      </c>
      <c r="E249" s="10" t="s">
        <v>186</v>
      </c>
      <c r="F249" s="10">
        <v>4.0</v>
      </c>
      <c r="G249" s="10">
        <v>1.0</v>
      </c>
      <c r="H249" s="10" t="s">
        <v>102</v>
      </c>
      <c r="I249" s="10">
        <v>2.0</v>
      </c>
      <c r="J249" s="10" t="s">
        <v>40</v>
      </c>
      <c r="K249" s="10" t="s">
        <v>140</v>
      </c>
      <c r="L249" s="10">
        <v>45.8</v>
      </c>
      <c r="M249" s="10">
        <v>72.0</v>
      </c>
      <c r="N249" s="10">
        <v>23.5</v>
      </c>
      <c r="O249" s="10">
        <v>27.0</v>
      </c>
      <c r="P249" s="10">
        <v>17.0</v>
      </c>
      <c r="Q249" s="10">
        <v>10.0</v>
      </c>
      <c r="R249" s="10">
        <v>21.26</v>
      </c>
      <c r="S249" s="10">
        <v>30.0</v>
      </c>
      <c r="T249" s="10">
        <v>10.22</v>
      </c>
      <c r="U249" s="10">
        <v>8.0</v>
      </c>
      <c r="V249" s="10">
        <v>8.0</v>
      </c>
      <c r="W249" s="10">
        <v>0.0</v>
      </c>
      <c r="X249" s="10">
        <v>5.0</v>
      </c>
      <c r="Y249" s="10">
        <v>3.0</v>
      </c>
      <c r="Z249" s="10">
        <v>2.0</v>
      </c>
      <c r="AA249" s="10">
        <v>1.0</v>
      </c>
      <c r="AB249" s="10">
        <v>4.0</v>
      </c>
      <c r="AC249" s="11" t="s">
        <v>65</v>
      </c>
      <c r="AD249" s="10" t="s">
        <v>561</v>
      </c>
      <c r="AE249" s="9" t="str">
        <f>IFERROR(__xludf.DUMMYFUNCTION("GOOGLETRANSLATE(AD249,""pt"",""en"")"),"the value of and and or is difficult to check")</f>
        <v>the value of and and or is difficult to check</v>
      </c>
      <c r="AF249" s="10"/>
      <c r="AG249" s="9"/>
      <c r="AH249" s="9" t="s">
        <v>104</v>
      </c>
      <c r="AI249" s="9" t="str">
        <f>IFERROR(__xludf.DUMMYFUNCTION("GOOGLETRANSLATE(AH249,""pt"",""en"")"),"made a mistake, spent more time and more regressions")</f>
        <v>made a mistake, spent more time and more regressions</v>
      </c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</row>
    <row r="250">
      <c r="A250" s="9">
        <v>250.0</v>
      </c>
      <c r="B250" s="10">
        <v>5.0</v>
      </c>
      <c r="C250" s="10">
        <v>9.0</v>
      </c>
      <c r="D250" s="9">
        <v>2.0</v>
      </c>
      <c r="E250" s="10" t="s">
        <v>261</v>
      </c>
      <c r="F250" s="10">
        <v>4.0</v>
      </c>
      <c r="G250" s="10">
        <v>2.0</v>
      </c>
      <c r="H250" s="10" t="s">
        <v>39</v>
      </c>
      <c r="I250" s="10">
        <v>2.0</v>
      </c>
      <c r="J250" s="10" t="s">
        <v>40</v>
      </c>
      <c r="K250" s="10" t="s">
        <v>85</v>
      </c>
      <c r="L250" s="10">
        <v>44.67</v>
      </c>
      <c r="M250" s="10">
        <v>57.0</v>
      </c>
      <c r="N250" s="10">
        <v>18.5</v>
      </c>
      <c r="O250" s="10">
        <v>24.0</v>
      </c>
      <c r="P250" s="10">
        <v>14.0</v>
      </c>
      <c r="Q250" s="10">
        <v>10.0</v>
      </c>
      <c r="R250" s="10">
        <v>20.38</v>
      </c>
      <c r="S250" s="10">
        <v>31.0</v>
      </c>
      <c r="T250" s="10">
        <v>9.58</v>
      </c>
      <c r="U250" s="10">
        <v>11.0</v>
      </c>
      <c r="V250" s="10">
        <v>11.0</v>
      </c>
      <c r="W250" s="10">
        <v>0.0</v>
      </c>
      <c r="X250" s="10">
        <v>3.0</v>
      </c>
      <c r="Y250" s="10">
        <v>2.0</v>
      </c>
      <c r="Z250" s="10">
        <v>1.0</v>
      </c>
      <c r="AA250" s="10">
        <v>2.0</v>
      </c>
      <c r="AB250" s="10">
        <v>1.0</v>
      </c>
      <c r="AC250" s="11" t="s">
        <v>65</v>
      </c>
      <c r="AD250" s="10" t="s">
        <v>562</v>
      </c>
      <c r="AE250" s="9" t="str">
        <f>IFERROR(__xludf.DUMMYFUNCTION("GOOGLETRANSLATE(AD250,""pt"",""en"")"),"same difficulty with and and or")</f>
        <v>same difficulty with and and or</v>
      </c>
      <c r="AF250" s="10"/>
      <c r="AG250" s="9"/>
      <c r="AH250" s="9" t="s">
        <v>104</v>
      </c>
      <c r="AI250" s="9" t="str">
        <f>IFERROR(__xludf.DUMMYFUNCTION("GOOGLETRANSLATE(AH250,""pt"",""en"")"),"made a mistake, spent more time and more regressions")</f>
        <v>made a mistake, spent more time and more regressions</v>
      </c>
      <c r="AJ250" s="13" t="s">
        <v>563</v>
      </c>
      <c r="AK250" s="13" t="str">
        <f>IFERROR(__xludf.DUMMYFUNCTION("GOOGLETRANSLATE(AJ250,""pt"",""en"")"),"Difficulty with and and or")</f>
        <v>Difficulty with and and or</v>
      </c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</row>
    <row r="251">
      <c r="A251" s="9">
        <v>274.0</v>
      </c>
      <c r="B251" s="10">
        <v>7.0</v>
      </c>
      <c r="C251" s="10">
        <v>13.0</v>
      </c>
      <c r="D251" s="9">
        <v>2.0</v>
      </c>
      <c r="E251" s="10" t="s">
        <v>261</v>
      </c>
      <c r="F251" s="10">
        <v>4.0</v>
      </c>
      <c r="G251" s="10">
        <v>2.0</v>
      </c>
      <c r="H251" s="10" t="s">
        <v>39</v>
      </c>
      <c r="I251" s="10">
        <v>2.0</v>
      </c>
      <c r="J251" s="10" t="s">
        <v>40</v>
      </c>
      <c r="K251" s="10" t="s">
        <v>57</v>
      </c>
      <c r="L251" s="10">
        <v>76.13</v>
      </c>
      <c r="M251" s="10">
        <v>144.0</v>
      </c>
      <c r="N251" s="10">
        <v>50.14</v>
      </c>
      <c r="O251" s="10">
        <v>76.0</v>
      </c>
      <c r="P251" s="10">
        <v>47.0</v>
      </c>
      <c r="Q251" s="10">
        <v>29.0</v>
      </c>
      <c r="R251" s="10">
        <v>39.14</v>
      </c>
      <c r="S251" s="10">
        <v>76.0</v>
      </c>
      <c r="T251" s="10">
        <v>27.93</v>
      </c>
      <c r="U251" s="10">
        <v>30.0</v>
      </c>
      <c r="V251" s="10">
        <v>30.0</v>
      </c>
      <c r="W251" s="10">
        <v>0.0</v>
      </c>
      <c r="X251" s="10">
        <v>21.0</v>
      </c>
      <c r="Y251" s="10">
        <v>12.0</v>
      </c>
      <c r="Z251" s="10">
        <v>9.0</v>
      </c>
      <c r="AA251" s="10">
        <v>13.0</v>
      </c>
      <c r="AB251" s="10">
        <v>8.0</v>
      </c>
      <c r="AC251" s="11" t="s">
        <v>109</v>
      </c>
      <c r="AD251" s="10" t="s">
        <v>564</v>
      </c>
      <c r="AE251" s="9" t="str">
        <f>IFERROR(__xludf.DUMMYFUNCTION("GOOGLETRANSLATE(AD251,""pt"",""en"")"),"was confused with and or or")</f>
        <v>was confused with and or or</v>
      </c>
      <c r="AF251" s="10"/>
      <c r="AG251" s="9"/>
      <c r="AH251" s="9" t="s">
        <v>104</v>
      </c>
      <c r="AI251" s="9" t="str">
        <f>IFERROR(__xludf.DUMMYFUNCTION("GOOGLETRANSLATE(AH251,""pt"",""en"")"),"made a mistake, spent more time and more regressions")</f>
        <v>made a mistake, spent more time and more regressions</v>
      </c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</row>
    <row r="252">
      <c r="A252" s="9">
        <v>86.0</v>
      </c>
      <c r="B252" s="10">
        <v>8.0</v>
      </c>
      <c r="C252" s="10">
        <v>16.0</v>
      </c>
      <c r="D252" s="9">
        <v>1.0</v>
      </c>
      <c r="E252" s="10" t="s">
        <v>139</v>
      </c>
      <c r="F252" s="10">
        <v>2.0</v>
      </c>
      <c r="G252" s="10">
        <v>1.0</v>
      </c>
      <c r="H252" s="10" t="s">
        <v>39</v>
      </c>
      <c r="I252" s="10">
        <v>2.0</v>
      </c>
      <c r="J252" s="10" t="s">
        <v>40</v>
      </c>
      <c r="K252" s="10" t="s">
        <v>57</v>
      </c>
      <c r="L252" s="10">
        <v>82.24</v>
      </c>
      <c r="M252" s="10">
        <v>146.0</v>
      </c>
      <c r="N252" s="10">
        <v>55.88</v>
      </c>
      <c r="O252" s="10">
        <v>66.0</v>
      </c>
      <c r="P252" s="10">
        <v>29.0</v>
      </c>
      <c r="Q252" s="10">
        <v>37.0</v>
      </c>
      <c r="R252" s="10">
        <v>35.92</v>
      </c>
      <c r="S252" s="10">
        <v>68.0</v>
      </c>
      <c r="T252" s="10">
        <v>27.84</v>
      </c>
      <c r="U252" s="10">
        <v>18.0</v>
      </c>
      <c r="V252" s="10">
        <v>18.0</v>
      </c>
      <c r="W252" s="10">
        <v>0.0</v>
      </c>
      <c r="X252" s="10">
        <v>26.0</v>
      </c>
      <c r="Y252" s="10">
        <v>18.0</v>
      </c>
      <c r="Z252" s="10">
        <v>8.0</v>
      </c>
      <c r="AA252" s="10">
        <v>16.0</v>
      </c>
      <c r="AB252" s="10">
        <v>10.0</v>
      </c>
      <c r="AC252" s="11" t="s">
        <v>62</v>
      </c>
      <c r="AD252" s="10" t="s">
        <v>565</v>
      </c>
      <c r="AE252" s="9" t="str">
        <f>IFERROR(__xludf.DUMMYFUNCTION("GOOGLETRANSLATE(AD252,""pt"",""en"")"),"did not understand the not")</f>
        <v>did not understand the not</v>
      </c>
      <c r="AF252" s="10"/>
      <c r="AG252" s="9"/>
      <c r="AH252" s="9" t="s">
        <v>168</v>
      </c>
      <c r="AI252" s="9" t="str">
        <f>IFERROR(__xludf.DUMMYFUNCTION("GOOGLETRANSLATE(AH252,""pt"",""en"")"),"missed, more time, regressions in AOI, and entry")</f>
        <v>missed, more time, regressions in AOI, and entry</v>
      </c>
      <c r="AJ252" s="14" t="s">
        <v>566</v>
      </c>
      <c r="AK252" s="13" t="str">
        <f>IFERROR(__xludf.DUMMYFUNCTION("GOOGLETRANSLATE(AJ252,""pt"",""en"")"),"Difficulty with not")</f>
        <v>Difficulty with not</v>
      </c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</row>
    <row r="253">
      <c r="A253" s="9">
        <v>98.0</v>
      </c>
      <c r="B253" s="10">
        <v>9.0</v>
      </c>
      <c r="C253" s="10">
        <v>18.0</v>
      </c>
      <c r="D253" s="9">
        <v>1.0</v>
      </c>
      <c r="E253" s="10" t="s">
        <v>139</v>
      </c>
      <c r="F253" s="10">
        <v>2.0</v>
      </c>
      <c r="G253" s="10">
        <v>1.0</v>
      </c>
      <c r="H253" s="10" t="s">
        <v>39</v>
      </c>
      <c r="I253" s="10">
        <v>2.0</v>
      </c>
      <c r="J253" s="10" t="s">
        <v>40</v>
      </c>
      <c r="K253" s="10" t="s">
        <v>57</v>
      </c>
      <c r="L253" s="10">
        <v>90.05</v>
      </c>
      <c r="M253" s="10">
        <v>132.0</v>
      </c>
      <c r="N253" s="10">
        <v>41.67</v>
      </c>
      <c r="O253" s="10">
        <v>60.0</v>
      </c>
      <c r="P253" s="10">
        <v>33.0</v>
      </c>
      <c r="Q253" s="10">
        <v>27.0</v>
      </c>
      <c r="R253" s="10">
        <v>27.1</v>
      </c>
      <c r="S253" s="10">
        <v>50.0</v>
      </c>
      <c r="T253" s="10">
        <v>16.6</v>
      </c>
      <c r="U253" s="10">
        <v>14.0</v>
      </c>
      <c r="V253" s="10">
        <v>14.0</v>
      </c>
      <c r="W253" s="10">
        <v>0.0</v>
      </c>
      <c r="X253" s="10">
        <v>17.0</v>
      </c>
      <c r="Y253" s="10">
        <v>5.0</v>
      </c>
      <c r="Z253" s="10">
        <v>12.0</v>
      </c>
      <c r="AA253" s="10">
        <v>3.0</v>
      </c>
      <c r="AB253" s="10">
        <v>14.0</v>
      </c>
      <c r="AC253" s="11" t="s">
        <v>42</v>
      </c>
      <c r="AD253" s="10" t="s">
        <v>565</v>
      </c>
      <c r="AE253" s="9" t="str">
        <f>IFERROR(__xludf.DUMMYFUNCTION("GOOGLETRANSLATE(AD253,""pt"",""en"")"),"did not understand the not")</f>
        <v>did not understand the not</v>
      </c>
      <c r="AF253" s="10"/>
      <c r="AG253" s="9"/>
      <c r="AH253" s="9" t="s">
        <v>168</v>
      </c>
      <c r="AI253" s="9" t="str">
        <f>IFERROR(__xludf.DUMMYFUNCTION("GOOGLETRANSLATE(AH253,""pt"",""en"")"),"missed, more time, regressions in AOI, and entry")</f>
        <v>missed, more time, regressions in AOI, and entry</v>
      </c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</row>
    <row r="254">
      <c r="A254" s="9">
        <v>2.0</v>
      </c>
      <c r="B254" s="10">
        <v>1.0</v>
      </c>
      <c r="C254" s="10">
        <v>2.0</v>
      </c>
      <c r="D254" s="9">
        <v>1.0</v>
      </c>
      <c r="E254" s="10" t="s">
        <v>139</v>
      </c>
      <c r="F254" s="10">
        <v>2.0</v>
      </c>
      <c r="G254" s="10">
        <v>1.0</v>
      </c>
      <c r="H254" s="10" t="s">
        <v>39</v>
      </c>
      <c r="I254" s="10">
        <v>1.0</v>
      </c>
      <c r="J254" s="10" t="s">
        <v>40</v>
      </c>
      <c r="K254" s="10" t="s">
        <v>41</v>
      </c>
      <c r="L254" s="10">
        <v>30.93</v>
      </c>
      <c r="M254" s="10">
        <v>43.0</v>
      </c>
      <c r="N254" s="10">
        <v>15.4</v>
      </c>
      <c r="O254" s="10">
        <v>15.0</v>
      </c>
      <c r="P254" s="10">
        <v>10.0</v>
      </c>
      <c r="Q254" s="10">
        <v>5.0</v>
      </c>
      <c r="R254" s="10">
        <v>14.7</v>
      </c>
      <c r="S254" s="10">
        <v>24.0</v>
      </c>
      <c r="T254" s="10">
        <v>9.28</v>
      </c>
      <c r="U254" s="10">
        <v>8.0</v>
      </c>
      <c r="V254" s="10">
        <v>8.0</v>
      </c>
      <c r="W254" s="10">
        <v>0.0</v>
      </c>
      <c r="X254" s="10">
        <v>4.0</v>
      </c>
      <c r="Y254" s="10">
        <v>3.0</v>
      </c>
      <c r="Z254" s="10">
        <v>1.0</v>
      </c>
      <c r="AA254" s="10">
        <v>0.0</v>
      </c>
      <c r="AB254" s="10">
        <v>4.0</v>
      </c>
      <c r="AC254" s="11" t="s">
        <v>81</v>
      </c>
      <c r="AD254" s="10" t="s">
        <v>567</v>
      </c>
      <c r="AE254" s="9" t="str">
        <f>IFERROR(__xludf.DUMMYFUNCTION("GOOGLETRANSLATE(AD254,""pt"",""en"")"),"not")</f>
        <v>not</v>
      </c>
      <c r="AF254" s="10" t="s">
        <v>568</v>
      </c>
      <c r="AG254" s="9" t="str">
        <f>IFERROR(__xludf.DUMMYFUNCTION("GOOGLETRANSLATE(AF254,""pt"",""en"")"),"observed the denial of the verification of the IF and how many times would enter the condition")</f>
        <v>observed the denial of the verification of the IF and how many times would enter the condition</v>
      </c>
      <c r="AH254" s="9" t="s">
        <v>242</v>
      </c>
      <c r="AI254" s="9" t="str">
        <f>IFERROR(__xludf.DUMMYFUNCTION("GOOGLETRANSLATE(AH254,""pt"",""en"")"),"More time at AOI")</f>
        <v>More time at AOI</v>
      </c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</row>
    <row r="255">
      <c r="A255" s="9">
        <v>50.0</v>
      </c>
      <c r="B255" s="10">
        <v>5.0</v>
      </c>
      <c r="C255" s="10">
        <v>10.0</v>
      </c>
      <c r="D255" s="9">
        <v>1.0</v>
      </c>
      <c r="E255" s="10" t="s">
        <v>139</v>
      </c>
      <c r="F255" s="10">
        <v>2.0</v>
      </c>
      <c r="G255" s="10">
        <v>1.0</v>
      </c>
      <c r="H255" s="10" t="s">
        <v>39</v>
      </c>
      <c r="I255" s="10">
        <v>2.0</v>
      </c>
      <c r="J255" s="10" t="s">
        <v>40</v>
      </c>
      <c r="K255" s="10" t="s">
        <v>57</v>
      </c>
      <c r="L255" s="10">
        <v>136.51</v>
      </c>
      <c r="M255" s="10">
        <v>218.0</v>
      </c>
      <c r="N255" s="10">
        <v>80.1</v>
      </c>
      <c r="O255" s="10">
        <v>92.0</v>
      </c>
      <c r="P255" s="10">
        <v>53.0</v>
      </c>
      <c r="Q255" s="10">
        <v>39.0</v>
      </c>
      <c r="R255" s="10">
        <v>53.56</v>
      </c>
      <c r="S255" s="10">
        <v>96.0</v>
      </c>
      <c r="T255" s="10">
        <v>36.37</v>
      </c>
      <c r="U255" s="10">
        <v>28.0</v>
      </c>
      <c r="V255" s="10">
        <v>28.0</v>
      </c>
      <c r="W255" s="10">
        <v>0.0</v>
      </c>
      <c r="X255" s="10">
        <v>32.0</v>
      </c>
      <c r="Y255" s="10">
        <v>18.0</v>
      </c>
      <c r="Z255" s="10">
        <v>14.0</v>
      </c>
      <c r="AA255" s="10">
        <v>15.0</v>
      </c>
      <c r="AB255" s="10">
        <v>16.0</v>
      </c>
      <c r="AC255" s="11" t="s">
        <v>90</v>
      </c>
      <c r="AD255" s="10" t="s">
        <v>566</v>
      </c>
      <c r="AE255" s="9" t="str">
        <f>IFERROR(__xludf.DUMMYFUNCTION("GOOGLETRANSLATE(AD255,""pt"",""en"")"),"Difficulty with not")</f>
        <v>Difficulty with not</v>
      </c>
      <c r="AF255" s="10"/>
      <c r="AG255" s="9"/>
      <c r="AH255" s="9" t="s">
        <v>569</v>
      </c>
      <c r="AI255" s="9" t="str">
        <f>IFERROR(__xludf.DUMMYFUNCTION("GOOGLETRANSLATE(AH255,""pt"",""en"")"),"made a mistake, spent more time at AOI, more regressions, and more entries")</f>
        <v>made a mistake, spent more time at AOI, more regressions, and more entries</v>
      </c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</row>
    <row r="256">
      <c r="A256" s="9">
        <v>248.0</v>
      </c>
      <c r="B256" s="10">
        <v>5.0</v>
      </c>
      <c r="C256" s="10">
        <v>9.0</v>
      </c>
      <c r="D256" s="9">
        <v>2.0</v>
      </c>
      <c r="E256" s="10" t="s">
        <v>96</v>
      </c>
      <c r="F256" s="10">
        <v>2.0</v>
      </c>
      <c r="G256" s="10">
        <v>2.0</v>
      </c>
      <c r="H256" s="10" t="s">
        <v>39</v>
      </c>
      <c r="I256" s="10">
        <v>2.0</v>
      </c>
      <c r="J256" s="10" t="s">
        <v>40</v>
      </c>
      <c r="K256" s="10" t="s">
        <v>85</v>
      </c>
      <c r="L256" s="10">
        <v>143.81</v>
      </c>
      <c r="M256" s="10">
        <v>215.0</v>
      </c>
      <c r="N256" s="10">
        <v>76.84</v>
      </c>
      <c r="O256" s="10">
        <v>105.0</v>
      </c>
      <c r="P256" s="10">
        <v>68.0</v>
      </c>
      <c r="Q256" s="10">
        <v>37.0</v>
      </c>
      <c r="R256" s="10">
        <v>75.79</v>
      </c>
      <c r="S256" s="10">
        <v>119.0</v>
      </c>
      <c r="T256" s="10">
        <v>42.12</v>
      </c>
      <c r="U256" s="10">
        <v>47.0</v>
      </c>
      <c r="V256" s="10">
        <v>47.0</v>
      </c>
      <c r="W256" s="10">
        <v>0.0</v>
      </c>
      <c r="X256" s="10">
        <v>26.0</v>
      </c>
      <c r="Y256" s="10">
        <v>17.0</v>
      </c>
      <c r="Z256" s="10">
        <v>9.0</v>
      </c>
      <c r="AA256" s="10">
        <v>16.0</v>
      </c>
      <c r="AB256" s="10">
        <v>10.0</v>
      </c>
      <c r="AC256" s="11" t="s">
        <v>65</v>
      </c>
      <c r="AD256" s="10" t="s">
        <v>570</v>
      </c>
      <c r="AE256" s="9" t="str">
        <f>IFERROR(__xludf.DUMMYFUNCTION("GOOGLETRANSLATE(AD256,""pt"",""en"")"),"not difficult")</f>
        <v>not difficult</v>
      </c>
      <c r="AF256" s="10"/>
      <c r="AG256" s="9"/>
      <c r="AH256" s="9" t="s">
        <v>168</v>
      </c>
      <c r="AI256" s="9" t="str">
        <f>IFERROR(__xludf.DUMMYFUNCTION("GOOGLETRANSLATE(AH256,""pt"",""en"")"),"missed, more time, regressions in AOI, and entry")</f>
        <v>missed, more time, regressions in AOI, and entry</v>
      </c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</row>
    <row r="257">
      <c r="A257" s="9">
        <v>284.0</v>
      </c>
      <c r="B257" s="10">
        <v>8.0</v>
      </c>
      <c r="C257" s="10">
        <v>15.0</v>
      </c>
      <c r="D257" s="9">
        <v>2.0</v>
      </c>
      <c r="E257" s="10" t="s">
        <v>96</v>
      </c>
      <c r="F257" s="10">
        <v>2.0</v>
      </c>
      <c r="G257" s="10">
        <v>2.0</v>
      </c>
      <c r="H257" s="10" t="s">
        <v>39</v>
      </c>
      <c r="I257" s="10">
        <v>1.0</v>
      </c>
      <c r="J257" s="10" t="s">
        <v>40</v>
      </c>
      <c r="K257" s="10" t="s">
        <v>85</v>
      </c>
      <c r="L257" s="10">
        <v>65.72</v>
      </c>
      <c r="M257" s="10">
        <v>103.0</v>
      </c>
      <c r="N257" s="10">
        <v>36.63</v>
      </c>
      <c r="O257" s="10">
        <v>48.0</v>
      </c>
      <c r="P257" s="10">
        <v>25.0</v>
      </c>
      <c r="Q257" s="10">
        <v>23.0</v>
      </c>
      <c r="R257" s="10">
        <v>31.89</v>
      </c>
      <c r="S257" s="10">
        <v>57.0</v>
      </c>
      <c r="T257" s="10">
        <v>21.14</v>
      </c>
      <c r="U257" s="10">
        <v>18.0</v>
      </c>
      <c r="V257" s="10">
        <v>18.0</v>
      </c>
      <c r="W257" s="10">
        <v>0.0</v>
      </c>
      <c r="X257" s="10">
        <v>18.0</v>
      </c>
      <c r="Y257" s="10">
        <v>9.0</v>
      </c>
      <c r="Z257" s="10">
        <v>9.0</v>
      </c>
      <c r="AA257" s="10">
        <v>10.0</v>
      </c>
      <c r="AB257" s="10">
        <v>7.0</v>
      </c>
      <c r="AC257" s="11" t="s">
        <v>220</v>
      </c>
      <c r="AD257" s="10" t="s">
        <v>571</v>
      </c>
      <c r="AE257" s="9" t="str">
        <f>IFERROR(__xludf.DUMMYFUNCTION("GOOGLETRANSLATE(AD257,""pt"",""en"")"),"was confused with not")</f>
        <v>was confused with not</v>
      </c>
      <c r="AF257" s="10"/>
      <c r="AG257" s="9"/>
      <c r="AH257" s="10"/>
      <c r="AI257" s="9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</row>
    <row r="258">
      <c r="A258" s="9">
        <v>308.0</v>
      </c>
      <c r="B258" s="10">
        <v>10.0</v>
      </c>
      <c r="C258" s="10">
        <v>19.0</v>
      </c>
      <c r="D258" s="9">
        <v>2.0</v>
      </c>
      <c r="E258" s="10" t="s">
        <v>96</v>
      </c>
      <c r="F258" s="10">
        <v>2.0</v>
      </c>
      <c r="G258" s="10">
        <v>2.0</v>
      </c>
      <c r="H258" s="10" t="s">
        <v>39</v>
      </c>
      <c r="I258" s="10">
        <v>1.0</v>
      </c>
      <c r="J258" s="10" t="s">
        <v>40</v>
      </c>
      <c r="K258" s="10" t="s">
        <v>41</v>
      </c>
      <c r="L258" s="10">
        <v>31.18</v>
      </c>
      <c r="M258" s="10">
        <v>16.0</v>
      </c>
      <c r="N258" s="10">
        <v>4.61</v>
      </c>
      <c r="O258" s="10">
        <v>8.0</v>
      </c>
      <c r="P258" s="10">
        <v>2.0</v>
      </c>
      <c r="Q258" s="10">
        <v>6.0</v>
      </c>
      <c r="R258" s="10">
        <v>8.11</v>
      </c>
      <c r="S258" s="10">
        <v>5.0</v>
      </c>
      <c r="T258" s="10">
        <v>1.24</v>
      </c>
      <c r="U258" s="10">
        <v>0.0</v>
      </c>
      <c r="V258" s="10">
        <v>0.0</v>
      </c>
      <c r="W258" s="10">
        <v>0.0</v>
      </c>
      <c r="X258" s="10">
        <v>4.0</v>
      </c>
      <c r="Y258" s="10">
        <v>0.0</v>
      </c>
      <c r="Z258" s="10">
        <v>4.0</v>
      </c>
      <c r="AA258" s="10">
        <v>0.0</v>
      </c>
      <c r="AB258" s="10">
        <v>4.0</v>
      </c>
      <c r="AC258" s="11" t="s">
        <v>181</v>
      </c>
      <c r="AD258" s="10" t="s">
        <v>572</v>
      </c>
      <c r="AE258" s="9" t="str">
        <f>IFERROR(__xludf.DUMMYFUNCTION("GOOGLETRANSLATE(AD258,""pt"",""en"")"),"Had problems at not cont")</f>
        <v>Had problems at not cont</v>
      </c>
      <c r="AF258" s="10"/>
      <c r="AG258" s="9"/>
      <c r="AH258" s="10"/>
      <c r="AI258" s="9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</row>
    <row r="259">
      <c r="A259" s="9">
        <v>320.0</v>
      </c>
      <c r="B259" s="10">
        <v>11.0</v>
      </c>
      <c r="C259" s="10">
        <v>21.0</v>
      </c>
      <c r="D259" s="9">
        <v>2.0</v>
      </c>
      <c r="E259" s="10" t="s">
        <v>96</v>
      </c>
      <c r="F259" s="10">
        <v>2.0</v>
      </c>
      <c r="G259" s="10">
        <v>2.0</v>
      </c>
      <c r="H259" s="10" t="s">
        <v>39</v>
      </c>
      <c r="I259" s="10">
        <v>1.0</v>
      </c>
      <c r="J259" s="10" t="s">
        <v>40</v>
      </c>
      <c r="K259" s="10" t="s">
        <v>41</v>
      </c>
      <c r="L259" s="10">
        <v>39.23</v>
      </c>
      <c r="M259" s="10">
        <v>62.0</v>
      </c>
      <c r="N259" s="10">
        <v>23.62</v>
      </c>
      <c r="O259" s="10">
        <v>26.0</v>
      </c>
      <c r="P259" s="10">
        <v>11.0</v>
      </c>
      <c r="Q259" s="10">
        <v>15.0</v>
      </c>
      <c r="R259" s="10">
        <v>10.44</v>
      </c>
      <c r="S259" s="10">
        <v>21.0</v>
      </c>
      <c r="T259" s="10">
        <v>8.3</v>
      </c>
      <c r="U259" s="10">
        <v>6.0</v>
      </c>
      <c r="V259" s="10">
        <v>6.0</v>
      </c>
      <c r="W259" s="10">
        <v>0.0</v>
      </c>
      <c r="X259" s="10">
        <v>11.0</v>
      </c>
      <c r="Y259" s="10">
        <v>7.0</v>
      </c>
      <c r="Z259" s="10">
        <v>4.0</v>
      </c>
      <c r="AA259" s="10">
        <v>5.0</v>
      </c>
      <c r="AB259" s="10">
        <v>6.0</v>
      </c>
      <c r="AC259" s="11" t="s">
        <v>78</v>
      </c>
      <c r="AD259" s="10" t="s">
        <v>573</v>
      </c>
      <c r="AE259" s="9" t="str">
        <f>IFERROR(__xludf.DUMMYFUNCTION("GOOGLETRANSLATE(AD259,""pt"",""en"")"),"Not can confuse")</f>
        <v>Not can confuse</v>
      </c>
      <c r="AF259" s="10"/>
      <c r="AG259" s="9"/>
      <c r="AH259" s="10"/>
      <c r="AI259" s="9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</row>
    <row r="260">
      <c r="A260" s="9">
        <v>62.0</v>
      </c>
      <c r="B260" s="10">
        <v>6.0</v>
      </c>
      <c r="C260" s="10">
        <v>12.0</v>
      </c>
      <c r="D260" s="9">
        <v>1.0</v>
      </c>
      <c r="E260" s="10" t="s">
        <v>139</v>
      </c>
      <c r="F260" s="10">
        <v>2.0</v>
      </c>
      <c r="G260" s="10">
        <v>1.0</v>
      </c>
      <c r="H260" s="10" t="s">
        <v>39</v>
      </c>
      <c r="I260" s="10">
        <v>2.0</v>
      </c>
      <c r="J260" s="10" t="s">
        <v>40</v>
      </c>
      <c r="K260" s="10" t="s">
        <v>41</v>
      </c>
      <c r="L260" s="10">
        <v>131.04</v>
      </c>
      <c r="M260" s="10">
        <v>197.0</v>
      </c>
      <c r="N260" s="10">
        <v>70.09</v>
      </c>
      <c r="O260" s="10">
        <v>79.0</v>
      </c>
      <c r="P260" s="10">
        <v>47.0</v>
      </c>
      <c r="Q260" s="10">
        <v>32.0</v>
      </c>
      <c r="R260" s="10">
        <v>63.66</v>
      </c>
      <c r="S260" s="10">
        <v>104.0</v>
      </c>
      <c r="T260" s="10">
        <v>41.8</v>
      </c>
      <c r="U260" s="10">
        <v>32.0</v>
      </c>
      <c r="V260" s="10">
        <v>32.0</v>
      </c>
      <c r="W260" s="10">
        <v>0.0</v>
      </c>
      <c r="X260" s="10">
        <v>26.0</v>
      </c>
      <c r="Y260" s="10">
        <v>10.0</v>
      </c>
      <c r="Z260" s="10">
        <v>16.0</v>
      </c>
      <c r="AA260" s="10">
        <v>6.0</v>
      </c>
      <c r="AB260" s="10">
        <v>20.0</v>
      </c>
      <c r="AC260" s="11" t="s">
        <v>194</v>
      </c>
      <c r="AD260" s="10" t="s">
        <v>574</v>
      </c>
      <c r="AE260" s="9" t="str">
        <f>IFERROR(__xludf.DUMMYFUNCTION("GOOGLETRANSLATE(AD260,""pt"",""en"")"),"He found it difficult to pass the loop (not mentioned)")</f>
        <v>He found it difficult to pass the loop (not mentioned)</v>
      </c>
      <c r="AF260" s="10"/>
      <c r="AG260" s="9"/>
      <c r="AH260" s="10"/>
      <c r="AI260" s="9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</row>
    <row r="261">
      <c r="A261" s="9">
        <v>294.0</v>
      </c>
      <c r="B261" s="10">
        <v>9.0</v>
      </c>
      <c r="C261" s="10">
        <v>17.0</v>
      </c>
      <c r="D261" s="9">
        <v>1.0</v>
      </c>
      <c r="E261" s="10" t="s">
        <v>291</v>
      </c>
      <c r="F261" s="10">
        <v>6.0</v>
      </c>
      <c r="G261" s="10">
        <v>1.0</v>
      </c>
      <c r="H261" s="10" t="s">
        <v>102</v>
      </c>
      <c r="I261" s="10">
        <v>1.0</v>
      </c>
      <c r="J261" s="10" t="s">
        <v>40</v>
      </c>
      <c r="K261" s="10" t="s">
        <v>41</v>
      </c>
      <c r="L261" s="10">
        <v>40.03</v>
      </c>
      <c r="M261" s="10">
        <v>56.0</v>
      </c>
      <c r="N261" s="10">
        <v>19.02</v>
      </c>
      <c r="O261" s="10">
        <v>24.0</v>
      </c>
      <c r="P261" s="10">
        <v>12.0</v>
      </c>
      <c r="Q261" s="10">
        <v>12.0</v>
      </c>
      <c r="R261" s="10">
        <v>7.07</v>
      </c>
      <c r="S261" s="10">
        <v>11.0</v>
      </c>
      <c r="T261" s="10">
        <v>3.53</v>
      </c>
      <c r="U261" s="10">
        <v>3.0</v>
      </c>
      <c r="V261" s="10">
        <v>3.0</v>
      </c>
      <c r="W261" s="10">
        <v>0.0</v>
      </c>
      <c r="X261" s="10">
        <v>5.0</v>
      </c>
      <c r="Y261" s="10">
        <v>5.0</v>
      </c>
      <c r="Z261" s="10">
        <v>0.0</v>
      </c>
      <c r="AA261" s="10">
        <v>4.0</v>
      </c>
      <c r="AB261" s="10">
        <v>1.0</v>
      </c>
      <c r="AC261" s="11" t="s">
        <v>54</v>
      </c>
      <c r="AD261" s="10" t="s">
        <v>575</v>
      </c>
      <c r="AE261" s="9" t="str">
        <f>IFERROR(__xludf.DUMMYFUNCTION("GOOGLETRANSLATE(AD261,""pt"",""en"")"),"Easy to check the limit")</f>
        <v>Easy to check the limit</v>
      </c>
      <c r="AF261" s="10"/>
      <c r="AG261" s="9"/>
      <c r="AH261" s="10"/>
      <c r="AI261" s="9"/>
      <c r="AJ261" s="12" t="s">
        <v>575</v>
      </c>
      <c r="AK261" s="13" t="str">
        <f>IFERROR(__xludf.DUMMYFUNCTION("GOOGLETRANSLATE(AJ261,""pt"",""en"")"),"Easy to check the limit")</f>
        <v>Easy to check the limit</v>
      </c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</row>
    <row r="262">
      <c r="A262" s="9">
        <v>366.0</v>
      </c>
      <c r="B262" s="10">
        <v>15.0</v>
      </c>
      <c r="C262" s="10">
        <v>29.0</v>
      </c>
      <c r="D262" s="9">
        <v>1.0</v>
      </c>
      <c r="E262" s="10" t="s">
        <v>291</v>
      </c>
      <c r="F262" s="10">
        <v>6.0</v>
      </c>
      <c r="G262" s="10">
        <v>1.0</v>
      </c>
      <c r="H262" s="10" t="s">
        <v>102</v>
      </c>
      <c r="I262" s="10">
        <v>1.0</v>
      </c>
      <c r="J262" s="10" t="s">
        <v>40</v>
      </c>
      <c r="K262" s="10" t="s">
        <v>41</v>
      </c>
      <c r="L262" s="10">
        <v>33.32</v>
      </c>
      <c r="M262" s="10">
        <v>16.0</v>
      </c>
      <c r="N262" s="10">
        <v>3.94</v>
      </c>
      <c r="O262" s="10">
        <v>7.0</v>
      </c>
      <c r="P262" s="10">
        <v>4.0</v>
      </c>
      <c r="Q262" s="10">
        <v>3.0</v>
      </c>
      <c r="R262" s="10">
        <v>3.22</v>
      </c>
      <c r="S262" s="10">
        <v>0.0</v>
      </c>
      <c r="T262" s="10">
        <v>0.0</v>
      </c>
      <c r="U262" s="10">
        <v>0.0</v>
      </c>
      <c r="V262" s="10">
        <v>0.0</v>
      </c>
      <c r="W262" s="10">
        <v>0.0</v>
      </c>
      <c r="X262" s="10">
        <v>0.0</v>
      </c>
      <c r="Y262" s="10">
        <v>0.0</v>
      </c>
      <c r="Z262" s="10">
        <v>0.0</v>
      </c>
      <c r="AA262" s="10">
        <v>0.0</v>
      </c>
      <c r="AB262" s="10">
        <v>0.0</v>
      </c>
      <c r="AC262" s="11" t="s">
        <v>189</v>
      </c>
      <c r="AD262" s="10"/>
      <c r="AE262" s="9" t="str">
        <f>IFERROR(__xludf.DUMMYFUNCTION("GOOGLETRANSLATE(AD262,""pt"",""en"")"),"#VALUE!")</f>
        <v>#VALUE!</v>
      </c>
      <c r="AF262" s="10" t="s">
        <v>576</v>
      </c>
      <c r="AG262" s="9" t="str">
        <f>IFERROR(__xludf.DUMMYFUNCTION("GOOGLETRANSLATE(AF262,""pt"",""en"")"),"Just check the limit, so it was easy")</f>
        <v>Just check the limit, so it was easy</v>
      </c>
      <c r="AH262" s="10"/>
      <c r="AI262" s="9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</row>
    <row r="263">
      <c r="A263" s="9">
        <v>134.0</v>
      </c>
      <c r="B263" s="10">
        <v>12.0</v>
      </c>
      <c r="C263" s="10">
        <v>24.0</v>
      </c>
      <c r="D263" s="9">
        <v>1.0</v>
      </c>
      <c r="E263" s="10" t="s">
        <v>139</v>
      </c>
      <c r="F263" s="10">
        <v>2.0</v>
      </c>
      <c r="G263" s="10">
        <v>1.0</v>
      </c>
      <c r="H263" s="10" t="s">
        <v>39</v>
      </c>
      <c r="I263" s="10">
        <v>1.0</v>
      </c>
      <c r="J263" s="10" t="s">
        <v>40</v>
      </c>
      <c r="K263" s="10" t="s">
        <v>50</v>
      </c>
      <c r="L263" s="10">
        <v>13.9</v>
      </c>
      <c r="M263" s="10">
        <v>16.0</v>
      </c>
      <c r="N263" s="10">
        <v>4.92</v>
      </c>
      <c r="O263" s="10">
        <v>7.0</v>
      </c>
      <c r="P263" s="10">
        <v>3.0</v>
      </c>
      <c r="Q263" s="10">
        <v>4.0</v>
      </c>
      <c r="R263" s="10">
        <v>3.03</v>
      </c>
      <c r="S263" s="10">
        <v>4.0</v>
      </c>
      <c r="T263" s="10">
        <v>1.52</v>
      </c>
      <c r="U263" s="10">
        <v>1.0</v>
      </c>
      <c r="V263" s="10">
        <v>1.0</v>
      </c>
      <c r="W263" s="10">
        <v>0.0</v>
      </c>
      <c r="X263" s="10">
        <v>3.0</v>
      </c>
      <c r="Y263" s="10">
        <v>1.0</v>
      </c>
      <c r="Z263" s="10">
        <v>2.0</v>
      </c>
      <c r="AA263" s="10">
        <v>1.0</v>
      </c>
      <c r="AB263" s="10">
        <v>1.0</v>
      </c>
      <c r="AC263" s="11" t="s">
        <v>212</v>
      </c>
      <c r="AD263" s="10" t="s">
        <v>577</v>
      </c>
      <c r="AE263" s="9" t="str">
        <f>IFERROR(__xludf.DUMMYFUNCTION("GOOGLETRANSLATE(AD263,""pt"",""en"")"),"Not facilitated")</f>
        <v>Not facilitated</v>
      </c>
      <c r="AF263" s="10"/>
      <c r="AG263" s="9"/>
      <c r="AH263" s="9" t="s">
        <v>578</v>
      </c>
      <c r="AI263" s="9" t="str">
        <f>IFERROR(__xludf.DUMMYFUNCTION("GOOGLETRANSLATE(AH263,""pt"",""en"")"),"Hit less time, less regressions")</f>
        <v>Hit less time, less regressions</v>
      </c>
      <c r="AJ263" s="13" t="s">
        <v>579</v>
      </c>
      <c r="AK263" s="13" t="str">
        <f>IFERROR(__xludf.DUMMYFUNCTION("GOOGLETRANSLATE(AJ263,""pt"",""en"")"),"Ease with not")</f>
        <v>Ease with not</v>
      </c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</row>
    <row r="264">
      <c r="A264" s="9">
        <v>224.0</v>
      </c>
      <c r="B264" s="10">
        <v>3.0</v>
      </c>
      <c r="C264" s="10">
        <v>5.0</v>
      </c>
      <c r="D264" s="9">
        <v>2.0</v>
      </c>
      <c r="E264" s="10" t="s">
        <v>96</v>
      </c>
      <c r="F264" s="10">
        <v>2.0</v>
      </c>
      <c r="G264" s="10">
        <v>2.0</v>
      </c>
      <c r="H264" s="10" t="s">
        <v>39</v>
      </c>
      <c r="I264" s="10">
        <v>1.0</v>
      </c>
      <c r="J264" s="10" t="s">
        <v>40</v>
      </c>
      <c r="K264" s="10" t="s">
        <v>41</v>
      </c>
      <c r="L264" s="10">
        <v>113.34</v>
      </c>
      <c r="M264" s="10">
        <v>186.0</v>
      </c>
      <c r="N264" s="10">
        <v>61.87</v>
      </c>
      <c r="O264" s="10">
        <v>80.0</v>
      </c>
      <c r="P264" s="10">
        <v>49.0</v>
      </c>
      <c r="Q264" s="10">
        <v>31.0</v>
      </c>
      <c r="R264" s="10">
        <v>34.35</v>
      </c>
      <c r="S264" s="10">
        <v>68.0</v>
      </c>
      <c r="T264" s="10">
        <v>23.2</v>
      </c>
      <c r="U264" s="10">
        <v>21.0</v>
      </c>
      <c r="V264" s="10">
        <v>21.0</v>
      </c>
      <c r="W264" s="10">
        <v>0.0</v>
      </c>
      <c r="X264" s="10">
        <v>20.0</v>
      </c>
      <c r="Y264" s="10">
        <v>7.0</v>
      </c>
      <c r="Z264" s="10">
        <v>13.0</v>
      </c>
      <c r="AA264" s="10">
        <v>8.0</v>
      </c>
      <c r="AB264" s="10">
        <v>11.0</v>
      </c>
      <c r="AC264" s="11" t="s">
        <v>249</v>
      </c>
      <c r="AD264" s="10" t="s">
        <v>580</v>
      </c>
      <c r="AE264" s="9" t="str">
        <f>IFERROR(__xludf.DUMMYFUNCTION("GOOGLETRANSLATE(AD264,""pt"",""en"")"),"found the resolution by not")</f>
        <v>found the resolution by not</v>
      </c>
      <c r="AF264" s="10"/>
      <c r="AG264" s="9"/>
      <c r="AH264" s="10"/>
      <c r="AI264" s="9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</row>
    <row r="265">
      <c r="A265" s="9">
        <v>332.0</v>
      </c>
      <c r="B265" s="10">
        <v>12.0</v>
      </c>
      <c r="C265" s="10">
        <v>23.0</v>
      </c>
      <c r="D265" s="9">
        <v>2.0</v>
      </c>
      <c r="E265" s="10" t="s">
        <v>96</v>
      </c>
      <c r="F265" s="10">
        <v>2.0</v>
      </c>
      <c r="G265" s="10">
        <v>2.0</v>
      </c>
      <c r="H265" s="10" t="s">
        <v>39</v>
      </c>
      <c r="I265" s="10">
        <v>1.0</v>
      </c>
      <c r="J265" s="10" t="s">
        <v>40</v>
      </c>
      <c r="K265" s="10" t="s">
        <v>41</v>
      </c>
      <c r="L265" s="10">
        <v>48.32</v>
      </c>
      <c r="M265" s="10">
        <v>76.0</v>
      </c>
      <c r="N265" s="10">
        <v>23.79</v>
      </c>
      <c r="O265" s="10">
        <v>34.0</v>
      </c>
      <c r="P265" s="10">
        <v>14.0</v>
      </c>
      <c r="Q265" s="10">
        <v>20.0</v>
      </c>
      <c r="R265" s="10">
        <v>19.3</v>
      </c>
      <c r="S265" s="10">
        <v>32.0</v>
      </c>
      <c r="T265" s="10">
        <v>9.95</v>
      </c>
      <c r="U265" s="10">
        <v>10.0</v>
      </c>
      <c r="V265" s="10">
        <v>10.0</v>
      </c>
      <c r="W265" s="10">
        <v>0.0</v>
      </c>
      <c r="X265" s="10">
        <v>11.0</v>
      </c>
      <c r="Y265" s="10">
        <v>7.0</v>
      </c>
      <c r="Z265" s="10">
        <v>4.0</v>
      </c>
      <c r="AA265" s="10">
        <v>7.0</v>
      </c>
      <c r="AB265" s="10">
        <v>4.0</v>
      </c>
      <c r="AC265" s="11" t="s">
        <v>158</v>
      </c>
      <c r="AD265" s="10" t="s">
        <v>581</v>
      </c>
      <c r="AE265" s="9" t="str">
        <f>IFERROR(__xludf.DUMMYFUNCTION("GOOGLETRANSLATE(AD265,""pt"",""en"")"),"not helped to answer")</f>
        <v>not helped to answer</v>
      </c>
      <c r="AF265" s="10"/>
      <c r="AG265" s="9"/>
      <c r="AH265" s="10"/>
      <c r="AI265" s="9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</row>
    <row r="266">
      <c r="A266" s="9">
        <v>202.0</v>
      </c>
      <c r="B266" s="10">
        <v>1.0</v>
      </c>
      <c r="C266" s="10">
        <v>1.0</v>
      </c>
      <c r="D266" s="9">
        <v>2.0</v>
      </c>
      <c r="E266" s="10" t="s">
        <v>261</v>
      </c>
      <c r="F266" s="10">
        <v>4.0</v>
      </c>
      <c r="G266" s="10">
        <v>2.0</v>
      </c>
      <c r="H266" s="10" t="s">
        <v>39</v>
      </c>
      <c r="I266" s="10">
        <v>1.0</v>
      </c>
      <c r="J266" s="10" t="s">
        <v>40</v>
      </c>
      <c r="K266" s="10" t="s">
        <v>57</v>
      </c>
      <c r="L266" s="10">
        <v>37.96</v>
      </c>
      <c r="M266" s="10">
        <v>53.0</v>
      </c>
      <c r="N266" s="10">
        <v>18.04</v>
      </c>
      <c r="O266" s="10">
        <v>22.0</v>
      </c>
      <c r="P266" s="10">
        <v>15.0</v>
      </c>
      <c r="Q266" s="10">
        <v>7.0</v>
      </c>
      <c r="R266" s="10">
        <v>18.9</v>
      </c>
      <c r="S266" s="10">
        <v>35.0</v>
      </c>
      <c r="T266" s="10">
        <v>12.5</v>
      </c>
      <c r="U266" s="10">
        <v>14.0</v>
      </c>
      <c r="V266" s="10">
        <v>14.0</v>
      </c>
      <c r="W266" s="10">
        <v>0.0</v>
      </c>
      <c r="X266" s="10">
        <v>5.0</v>
      </c>
      <c r="Y266" s="10">
        <v>1.0</v>
      </c>
      <c r="Z266" s="10">
        <v>4.0</v>
      </c>
      <c r="AA266" s="10">
        <v>0.0</v>
      </c>
      <c r="AB266" s="10">
        <v>5.0</v>
      </c>
      <c r="AC266" s="11" t="s">
        <v>187</v>
      </c>
      <c r="AD266" s="10" t="s">
        <v>191</v>
      </c>
      <c r="AE266" s="9" t="str">
        <f>IFERROR(__xludf.DUMMYFUNCTION("GOOGLETRANSLATE(AD266,""pt"",""en"")"),"IF")</f>
        <v>IF</v>
      </c>
      <c r="AF266" s="10" t="s">
        <v>582</v>
      </c>
      <c r="AG266" s="9" t="str">
        <f>IFERROR(__xludf.DUMMYFUNCTION("GOOGLETRANSLATE(AF266,""pt"",""en"")"),"considered the if confusing (True or True)")</f>
        <v>considered the if confusing (True or True)</v>
      </c>
      <c r="AH266" s="9" t="s">
        <v>185</v>
      </c>
      <c r="AI266" s="9" t="str">
        <f>IFERROR(__xludf.DUMMYFUNCTION("GOOGLETRANSLATE(AH266,""pt"",""en"")"),"more regressions")</f>
        <v>more regressions</v>
      </c>
      <c r="AJ266" s="12" t="s">
        <v>583</v>
      </c>
      <c r="AK266" s="13" t="str">
        <f>IFERROR(__xludf.DUMMYFUNCTION("GOOGLETRANSLATE(AJ266,""pt"",""en"")"),"difficulty with precedence")</f>
        <v>difficulty with precedence</v>
      </c>
      <c r="AL266" s="13" t="s">
        <v>584</v>
      </c>
      <c r="AM266" s="14" t="s">
        <v>585</v>
      </c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</row>
    <row r="267">
      <c r="A267" s="9">
        <v>214.0</v>
      </c>
      <c r="B267" s="10">
        <v>2.0</v>
      </c>
      <c r="C267" s="10">
        <v>3.0</v>
      </c>
      <c r="D267" s="9">
        <v>2.0</v>
      </c>
      <c r="E267" s="10" t="s">
        <v>261</v>
      </c>
      <c r="F267" s="10">
        <v>4.0</v>
      </c>
      <c r="G267" s="10">
        <v>2.0</v>
      </c>
      <c r="H267" s="10" t="s">
        <v>39</v>
      </c>
      <c r="I267" s="10">
        <v>2.0</v>
      </c>
      <c r="J267" s="10" t="s">
        <v>40</v>
      </c>
      <c r="K267" s="10" t="s">
        <v>57</v>
      </c>
      <c r="L267" s="10">
        <v>99.31</v>
      </c>
      <c r="M267" s="10">
        <v>175.0</v>
      </c>
      <c r="N267" s="10">
        <v>58.98</v>
      </c>
      <c r="O267" s="10">
        <v>75.0</v>
      </c>
      <c r="P267" s="10">
        <v>42.0</v>
      </c>
      <c r="Q267" s="10">
        <v>33.0</v>
      </c>
      <c r="R267" s="10">
        <v>44.15</v>
      </c>
      <c r="S267" s="10">
        <v>87.0</v>
      </c>
      <c r="T267" s="10">
        <v>30.64</v>
      </c>
      <c r="U267" s="10">
        <v>29.0</v>
      </c>
      <c r="V267" s="10">
        <v>29.0</v>
      </c>
      <c r="W267" s="10">
        <v>0.0</v>
      </c>
      <c r="X267" s="10">
        <v>17.0</v>
      </c>
      <c r="Y267" s="10">
        <v>7.0</v>
      </c>
      <c r="Z267" s="10">
        <v>10.0</v>
      </c>
      <c r="AA267" s="10">
        <v>4.0</v>
      </c>
      <c r="AB267" s="10">
        <v>12.0</v>
      </c>
      <c r="AC267" s="11" t="s">
        <v>97</v>
      </c>
      <c r="AD267" s="10" t="s">
        <v>583</v>
      </c>
      <c r="AE267" s="9" t="str">
        <f>IFERROR(__xludf.DUMMYFUNCTION("GOOGLETRANSLATE(AD267,""pt"",""en"")"),"difficulty with precedence")</f>
        <v>difficulty with precedence</v>
      </c>
      <c r="AF267" s="10"/>
      <c r="AG267" s="9"/>
      <c r="AH267" s="9" t="s">
        <v>104</v>
      </c>
      <c r="AI267" s="9" t="str">
        <f>IFERROR(__xludf.DUMMYFUNCTION("GOOGLETRANSLATE(AH267,""pt"",""en"")"),"made a mistake, spent more time and more regressions")</f>
        <v>made a mistake, spent more time and more regressions</v>
      </c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</row>
    <row r="268">
      <c r="A268" s="9">
        <v>262.0</v>
      </c>
      <c r="B268" s="10">
        <v>6.0</v>
      </c>
      <c r="C268" s="10">
        <v>11.0</v>
      </c>
      <c r="D268" s="9">
        <v>2.0</v>
      </c>
      <c r="E268" s="10" t="s">
        <v>261</v>
      </c>
      <c r="F268" s="10">
        <v>4.0</v>
      </c>
      <c r="G268" s="10">
        <v>2.0</v>
      </c>
      <c r="H268" s="10" t="s">
        <v>39</v>
      </c>
      <c r="I268" s="10">
        <v>2.0</v>
      </c>
      <c r="J268" s="10" t="s">
        <v>40</v>
      </c>
      <c r="K268" s="10" t="s">
        <v>140</v>
      </c>
      <c r="L268" s="10">
        <v>46.93</v>
      </c>
      <c r="M268" s="10">
        <v>76.0</v>
      </c>
      <c r="N268" s="10">
        <v>24.52</v>
      </c>
      <c r="O268" s="10">
        <v>36.0</v>
      </c>
      <c r="P268" s="10">
        <v>23.0</v>
      </c>
      <c r="Q268" s="10">
        <v>13.0</v>
      </c>
      <c r="R268" s="10">
        <v>22.4</v>
      </c>
      <c r="S268" s="10">
        <v>46.0</v>
      </c>
      <c r="T268" s="10">
        <v>15.94</v>
      </c>
      <c r="U268" s="10">
        <v>18.0</v>
      </c>
      <c r="V268" s="10">
        <v>18.0</v>
      </c>
      <c r="W268" s="10">
        <v>0.0</v>
      </c>
      <c r="X268" s="10">
        <v>6.0</v>
      </c>
      <c r="Y268" s="10">
        <v>1.0</v>
      </c>
      <c r="Z268" s="10">
        <v>5.0</v>
      </c>
      <c r="AA268" s="10">
        <v>0.0</v>
      </c>
      <c r="AB268" s="10">
        <v>6.0</v>
      </c>
      <c r="AC268" s="11" t="s">
        <v>202</v>
      </c>
      <c r="AD268" s="10" t="s">
        <v>586</v>
      </c>
      <c r="AE268" s="9" t="str">
        <f>IFERROR(__xludf.DUMMYFUNCTION("GOOGLETRANSLATE(AD268,""pt"",""en"")"),"Order confuses")</f>
        <v>Order confuses</v>
      </c>
      <c r="AF268" s="10"/>
      <c r="AG268" s="9"/>
      <c r="AH268" s="9" t="s">
        <v>104</v>
      </c>
      <c r="AI268" s="9" t="str">
        <f>IFERROR(__xludf.DUMMYFUNCTION("GOOGLETRANSLATE(AH268,""pt"",""en"")"),"made a mistake, spent more time and more regressions")</f>
        <v>made a mistake, spent more time and more regressions</v>
      </c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</row>
    <row r="269">
      <c r="A269" s="9">
        <v>4.0</v>
      </c>
      <c r="B269" s="10">
        <v>1.0</v>
      </c>
      <c r="C269" s="10">
        <v>2.0</v>
      </c>
      <c r="D269" s="9">
        <v>1.0</v>
      </c>
      <c r="E269" s="10" t="s">
        <v>169</v>
      </c>
      <c r="F269" s="10">
        <v>4.0</v>
      </c>
      <c r="G269" s="10">
        <v>1.0</v>
      </c>
      <c r="H269" s="10" t="s">
        <v>39</v>
      </c>
      <c r="I269" s="10">
        <v>2.0</v>
      </c>
      <c r="J269" s="10" t="s">
        <v>40</v>
      </c>
      <c r="K269" s="10" t="s">
        <v>57</v>
      </c>
      <c r="L269" s="10">
        <v>71.39</v>
      </c>
      <c r="M269" s="10">
        <v>79.0</v>
      </c>
      <c r="N269" s="10">
        <v>24.93</v>
      </c>
      <c r="O269" s="10">
        <v>35.0</v>
      </c>
      <c r="P269" s="10">
        <v>14.0</v>
      </c>
      <c r="Q269" s="10">
        <v>21.0</v>
      </c>
      <c r="R269" s="10">
        <v>33.02</v>
      </c>
      <c r="S269" s="10">
        <v>39.0</v>
      </c>
      <c r="T269" s="10">
        <v>13.36</v>
      </c>
      <c r="U269" s="10">
        <v>11.0</v>
      </c>
      <c r="V269" s="10">
        <v>11.0</v>
      </c>
      <c r="W269" s="10">
        <v>0.0</v>
      </c>
      <c r="X269" s="10">
        <v>10.0</v>
      </c>
      <c r="Y269" s="10">
        <v>3.0</v>
      </c>
      <c r="Z269" s="10">
        <v>7.0</v>
      </c>
      <c r="AA269" s="10">
        <v>7.0</v>
      </c>
      <c r="AB269" s="10">
        <v>3.0</v>
      </c>
      <c r="AC269" s="11" t="s">
        <v>81</v>
      </c>
      <c r="AD269" s="10" t="s">
        <v>587</v>
      </c>
      <c r="AE269" s="9" t="str">
        <f>IFERROR(__xludf.DUMMYFUNCTION("GOOGLETRANSLATE(AD269,""pt"",""en"")"),"Precedence in IF")</f>
        <v>Precedence in IF</v>
      </c>
      <c r="AF269" s="26" t="s">
        <v>588</v>
      </c>
      <c r="AG269" s="9" t="str">
        <f>IFERROR(__xludf.DUMMYFUNCTION("GOOGLETRANSLATE(AF269,""pt"",""en"")"),"evaluated the value from left to right, then found that it would have to observe the and first")</f>
        <v>evaluated the value from left to right, then found that it would have to observe the and first</v>
      </c>
      <c r="AH269" s="9" t="s">
        <v>104</v>
      </c>
      <c r="AI269" s="9" t="str">
        <f>IFERROR(__xludf.DUMMYFUNCTION("GOOGLETRANSLATE(AH269,""pt"",""en"")"),"made a mistake, spent more time and more regressions")</f>
        <v>made a mistake, spent more time and more regressions</v>
      </c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</row>
    <row r="270">
      <c r="A270" s="9">
        <v>298.0</v>
      </c>
      <c r="B270" s="10">
        <v>9.0</v>
      </c>
      <c r="C270" s="10">
        <v>17.0</v>
      </c>
      <c r="D270" s="9">
        <v>2.0</v>
      </c>
      <c r="E270" s="10" t="s">
        <v>261</v>
      </c>
      <c r="F270" s="10">
        <v>4.0</v>
      </c>
      <c r="G270" s="10">
        <v>2.0</v>
      </c>
      <c r="H270" s="10" t="s">
        <v>39</v>
      </c>
      <c r="I270" s="10">
        <v>2.0</v>
      </c>
      <c r="J270" s="10" t="s">
        <v>40</v>
      </c>
      <c r="K270" s="10" t="s">
        <v>140</v>
      </c>
      <c r="L270" s="10">
        <v>44.86</v>
      </c>
      <c r="M270" s="10">
        <v>56.0</v>
      </c>
      <c r="N270" s="10">
        <v>23.17</v>
      </c>
      <c r="O270" s="10">
        <v>26.0</v>
      </c>
      <c r="P270" s="10">
        <v>11.0</v>
      </c>
      <c r="Q270" s="10">
        <v>15.0</v>
      </c>
      <c r="R270" s="10">
        <v>17.51</v>
      </c>
      <c r="S270" s="10">
        <v>26.0</v>
      </c>
      <c r="T270" s="10">
        <v>10.74</v>
      </c>
      <c r="U270" s="10">
        <v>8.0</v>
      </c>
      <c r="V270" s="10">
        <v>8.0</v>
      </c>
      <c r="W270" s="10">
        <v>0.0</v>
      </c>
      <c r="X270" s="10">
        <v>11.0</v>
      </c>
      <c r="Y270" s="10">
        <v>4.0</v>
      </c>
      <c r="Z270" s="10">
        <v>7.0</v>
      </c>
      <c r="AA270" s="10">
        <v>5.0</v>
      </c>
      <c r="AB270" s="10">
        <v>6.0</v>
      </c>
      <c r="AC270" s="11" t="s">
        <v>54</v>
      </c>
      <c r="AD270" s="10" t="s">
        <v>589</v>
      </c>
      <c r="AE270" s="9" t="str">
        <f>IFERROR(__xludf.DUMMYFUNCTION("GOOGLETRANSLATE(AD270,""pt"",""en"")"),"No PARNETESIS is worse")</f>
        <v>No PARNETESIS is worse</v>
      </c>
      <c r="AF270" s="10"/>
      <c r="AG270" s="9"/>
      <c r="AH270" s="9" t="s">
        <v>104</v>
      </c>
      <c r="AI270" s="9" t="str">
        <f>IFERROR(__xludf.DUMMYFUNCTION("GOOGLETRANSLATE(AH270,""pt"",""en"")"),"made a mistake, spent more time and more regressions")</f>
        <v>made a mistake, spent more time and more regressions</v>
      </c>
      <c r="AJ270" s="13" t="s">
        <v>590</v>
      </c>
      <c r="AK270" s="13" t="str">
        <f>IFERROR(__xludf.DUMMYFUNCTION("GOOGLETRANSLATE(AJ270,""pt"",""en"")"),"lack of parenthesis made it difficult")</f>
        <v>lack of parenthesis made it difficult</v>
      </c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</row>
    <row r="271">
      <c r="A271" s="9">
        <v>322.0</v>
      </c>
      <c r="B271" s="10">
        <v>11.0</v>
      </c>
      <c r="C271" s="10">
        <v>21.0</v>
      </c>
      <c r="D271" s="9">
        <v>2.0</v>
      </c>
      <c r="E271" s="10" t="s">
        <v>261</v>
      </c>
      <c r="F271" s="10">
        <v>4.0</v>
      </c>
      <c r="G271" s="10">
        <v>2.0</v>
      </c>
      <c r="H271" s="10" t="s">
        <v>39</v>
      </c>
      <c r="I271" s="10">
        <v>1.0</v>
      </c>
      <c r="J271" s="10" t="s">
        <v>40</v>
      </c>
      <c r="K271" s="10" t="s">
        <v>41</v>
      </c>
      <c r="L271" s="10">
        <v>26.97</v>
      </c>
      <c r="M271" s="10">
        <v>42.0</v>
      </c>
      <c r="N271" s="10">
        <v>16.79</v>
      </c>
      <c r="O271" s="10">
        <v>18.0</v>
      </c>
      <c r="P271" s="10">
        <v>10.0</v>
      </c>
      <c r="Q271" s="10">
        <v>8.0</v>
      </c>
      <c r="R271" s="10">
        <v>11.97</v>
      </c>
      <c r="S271" s="10">
        <v>20.0</v>
      </c>
      <c r="T271" s="10">
        <v>7.94</v>
      </c>
      <c r="U271" s="10">
        <v>7.0</v>
      </c>
      <c r="V271" s="10">
        <v>7.0</v>
      </c>
      <c r="W271" s="10">
        <v>0.0</v>
      </c>
      <c r="X271" s="10">
        <v>5.0</v>
      </c>
      <c r="Y271" s="10">
        <v>3.0</v>
      </c>
      <c r="Z271" s="10">
        <v>2.0</v>
      </c>
      <c r="AA271" s="10">
        <v>1.0</v>
      </c>
      <c r="AB271" s="10">
        <v>4.0</v>
      </c>
      <c r="AC271" s="11" t="s">
        <v>78</v>
      </c>
      <c r="AD271" s="10" t="s">
        <v>591</v>
      </c>
      <c r="AE271" s="9" t="str">
        <f>IFERROR(__xludf.DUMMYFUNCTION("GOOGLETRANSLATE(AD271,""pt"",""en"")"),"Easy to check with parentheses")</f>
        <v>Easy to check with parentheses</v>
      </c>
      <c r="AF271" s="10"/>
      <c r="AG271" s="9"/>
      <c r="AH271" s="10"/>
      <c r="AI271" s="9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</row>
    <row r="272">
      <c r="A272" s="9">
        <v>226.0</v>
      </c>
      <c r="B272" s="10">
        <v>3.0</v>
      </c>
      <c r="C272" s="10">
        <v>5.0</v>
      </c>
      <c r="D272" s="9">
        <v>2.0</v>
      </c>
      <c r="E272" s="10" t="s">
        <v>261</v>
      </c>
      <c r="F272" s="10">
        <v>4.0</v>
      </c>
      <c r="G272" s="10">
        <v>2.0</v>
      </c>
      <c r="H272" s="10" t="s">
        <v>39</v>
      </c>
      <c r="I272" s="10">
        <v>2.0</v>
      </c>
      <c r="J272" s="10" t="s">
        <v>40</v>
      </c>
      <c r="K272" s="10" t="s">
        <v>85</v>
      </c>
      <c r="L272" s="10">
        <v>88.49</v>
      </c>
      <c r="M272" s="10">
        <v>115.0</v>
      </c>
      <c r="N272" s="10">
        <v>37.93</v>
      </c>
      <c r="O272" s="10">
        <v>48.0</v>
      </c>
      <c r="P272" s="10">
        <v>34.0</v>
      </c>
      <c r="Q272" s="10">
        <v>14.0</v>
      </c>
      <c r="R272" s="10">
        <v>51.78</v>
      </c>
      <c r="S272" s="10">
        <v>79.0</v>
      </c>
      <c r="T272" s="10">
        <v>27.33</v>
      </c>
      <c r="U272" s="10">
        <v>27.0</v>
      </c>
      <c r="V272" s="10">
        <v>27.0</v>
      </c>
      <c r="W272" s="10">
        <v>0.0</v>
      </c>
      <c r="X272" s="10">
        <v>13.0</v>
      </c>
      <c r="Y272" s="10">
        <v>4.0</v>
      </c>
      <c r="Z272" s="10">
        <v>9.0</v>
      </c>
      <c r="AA272" s="10">
        <v>3.0</v>
      </c>
      <c r="AB272" s="10">
        <v>10.0</v>
      </c>
      <c r="AC272" s="11" t="s">
        <v>249</v>
      </c>
      <c r="AD272" s="9" t="s">
        <v>592</v>
      </c>
      <c r="AE272" s="9" t="str">
        <f>IFERROR(__xludf.DUMMYFUNCTION("GOOGLETRANSLATE(AD272,""pt"",""en"")"),"missed the parenthesis")</f>
        <v>missed the parenthesis</v>
      </c>
      <c r="AF272" s="10"/>
      <c r="AG272" s="9"/>
      <c r="AH272" s="9" t="s">
        <v>104</v>
      </c>
      <c r="AI272" s="9" t="str">
        <f>IFERROR(__xludf.DUMMYFUNCTION("GOOGLETRANSLATE(AH272,""pt"",""en"")"),"made a mistake, spent more time and more regressions")</f>
        <v>made a mistake, spent more time and more regressions</v>
      </c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</row>
    <row r="273">
      <c r="A273" s="9">
        <v>292.0</v>
      </c>
      <c r="B273" s="10">
        <v>9.0</v>
      </c>
      <c r="C273" s="10">
        <v>17.0</v>
      </c>
      <c r="D273" s="9">
        <v>1.0</v>
      </c>
      <c r="E273" s="10" t="s">
        <v>186</v>
      </c>
      <c r="F273" s="10">
        <v>4.0</v>
      </c>
      <c r="G273" s="10">
        <v>1.0</v>
      </c>
      <c r="H273" s="10" t="s">
        <v>102</v>
      </c>
      <c r="I273" s="10">
        <v>1.0</v>
      </c>
      <c r="J273" s="10" t="s">
        <v>40</v>
      </c>
      <c r="K273" s="10" t="s">
        <v>85</v>
      </c>
      <c r="L273" s="10">
        <v>44.66</v>
      </c>
      <c r="M273" s="10">
        <v>54.0</v>
      </c>
      <c r="N273" s="10">
        <v>20.84</v>
      </c>
      <c r="O273" s="10">
        <v>23.0</v>
      </c>
      <c r="P273" s="10">
        <v>13.0</v>
      </c>
      <c r="Q273" s="10">
        <v>10.0</v>
      </c>
      <c r="R273" s="10">
        <v>20.01</v>
      </c>
      <c r="S273" s="10">
        <v>28.0</v>
      </c>
      <c r="T273" s="10">
        <v>12.74</v>
      </c>
      <c r="U273" s="10">
        <v>10.0</v>
      </c>
      <c r="V273" s="10">
        <v>10.0</v>
      </c>
      <c r="W273" s="10">
        <v>0.0</v>
      </c>
      <c r="X273" s="10">
        <v>6.0</v>
      </c>
      <c r="Y273" s="10">
        <v>2.0</v>
      </c>
      <c r="Z273" s="10">
        <v>4.0</v>
      </c>
      <c r="AA273" s="10">
        <v>1.0</v>
      </c>
      <c r="AB273" s="10">
        <v>5.0</v>
      </c>
      <c r="AC273" s="11" t="s">
        <v>54</v>
      </c>
      <c r="AD273" s="10" t="s">
        <v>593</v>
      </c>
      <c r="AE273" s="9" t="str">
        <f>IFERROR(__xludf.DUMMYFUNCTION("GOOGLETRANSLATE(AD273,""pt"",""en"")"),"parentheses facilitated")</f>
        <v>parentheses facilitated</v>
      </c>
      <c r="AF273" s="10"/>
      <c r="AG273" s="9"/>
      <c r="AH273" s="10"/>
      <c r="AI273" s="9"/>
      <c r="AJ273" s="12" t="s">
        <v>593</v>
      </c>
      <c r="AK273" s="13" t="str">
        <f>IFERROR(__xludf.DUMMYFUNCTION("GOOGLETRANSLATE(AJ273,""pt"",""en"")"),"parentheses facilitated")</f>
        <v>parentheses facilitated</v>
      </c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</row>
    <row r="274">
      <c r="A274" s="9">
        <v>10.0</v>
      </c>
      <c r="B274" s="10">
        <v>1.0</v>
      </c>
      <c r="C274" s="10">
        <v>2.0</v>
      </c>
      <c r="D274" s="9">
        <v>2.0</v>
      </c>
      <c r="E274" s="10" t="s">
        <v>178</v>
      </c>
      <c r="F274" s="10">
        <v>4.0</v>
      </c>
      <c r="G274" s="10">
        <v>2.0</v>
      </c>
      <c r="H274" s="10" t="s">
        <v>102</v>
      </c>
      <c r="I274" s="10">
        <v>1.0</v>
      </c>
      <c r="J274" s="10" t="s">
        <v>40</v>
      </c>
      <c r="K274" s="10" t="s">
        <v>41</v>
      </c>
      <c r="L274" s="10">
        <v>18.99</v>
      </c>
      <c r="M274" s="10">
        <v>24.0</v>
      </c>
      <c r="N274" s="10">
        <v>6.54</v>
      </c>
      <c r="O274" s="10">
        <v>9.0</v>
      </c>
      <c r="P274" s="10">
        <v>5.0</v>
      </c>
      <c r="Q274" s="10">
        <v>4.0</v>
      </c>
      <c r="R274" s="10">
        <v>5.96</v>
      </c>
      <c r="S274" s="10">
        <v>10.0</v>
      </c>
      <c r="T274" s="10">
        <v>2.77</v>
      </c>
      <c r="U274" s="10">
        <v>4.0</v>
      </c>
      <c r="V274" s="10">
        <v>4.0</v>
      </c>
      <c r="W274" s="10">
        <v>0.0</v>
      </c>
      <c r="X274" s="10">
        <v>5.0</v>
      </c>
      <c r="Y274" s="10">
        <v>3.0</v>
      </c>
      <c r="Z274" s="10">
        <v>2.0</v>
      </c>
      <c r="AA274" s="10">
        <v>1.0</v>
      </c>
      <c r="AB274" s="10">
        <v>4.0</v>
      </c>
      <c r="AC274" s="11" t="s">
        <v>81</v>
      </c>
      <c r="AD274" s="10" t="s">
        <v>52</v>
      </c>
      <c r="AE274" s="9" t="str">
        <f>IFERROR(__xludf.DUMMYFUNCTION("GOOGLETRANSLATE(AD274,""pt"",""en"")"),"no difficulty pointed out")</f>
        <v>no difficulty pointed out</v>
      </c>
      <c r="AF274" s="10" t="s">
        <v>594</v>
      </c>
      <c r="AG274" s="9" t="str">
        <f>IFERROR(__xludf.DUMMYFUNCTION("GOOGLETRANSLATE(AF274,""pt"",""en"")"),"the parentheses made it easier")</f>
        <v>the parentheses made it easier</v>
      </c>
      <c r="AH274" s="10"/>
      <c r="AI274" s="9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</row>
    <row r="275">
      <c r="A275" s="9">
        <v>22.0</v>
      </c>
      <c r="B275" s="10">
        <v>2.0</v>
      </c>
      <c r="C275" s="10">
        <v>4.0</v>
      </c>
      <c r="D275" s="9">
        <v>2.0</v>
      </c>
      <c r="E275" s="10" t="s">
        <v>178</v>
      </c>
      <c r="F275" s="10">
        <v>4.0</v>
      </c>
      <c r="G275" s="10">
        <v>2.0</v>
      </c>
      <c r="H275" s="10" t="s">
        <v>102</v>
      </c>
      <c r="I275" s="10">
        <v>1.0</v>
      </c>
      <c r="J275" s="10" t="s">
        <v>40</v>
      </c>
      <c r="K275" s="10" t="s">
        <v>41</v>
      </c>
      <c r="L275" s="10">
        <v>31.03</v>
      </c>
      <c r="M275" s="10">
        <v>47.0</v>
      </c>
      <c r="N275" s="10">
        <v>19.66</v>
      </c>
      <c r="O275" s="10">
        <v>19.0</v>
      </c>
      <c r="P275" s="10">
        <v>14.0</v>
      </c>
      <c r="Q275" s="10">
        <v>5.0</v>
      </c>
      <c r="R275" s="10">
        <v>17.27</v>
      </c>
      <c r="S275" s="10">
        <v>28.0</v>
      </c>
      <c r="T275" s="10">
        <v>13.19</v>
      </c>
      <c r="U275" s="10">
        <v>12.0</v>
      </c>
      <c r="V275" s="10">
        <v>12.0</v>
      </c>
      <c r="W275" s="10">
        <v>0.0</v>
      </c>
      <c r="X275" s="10">
        <v>3.0</v>
      </c>
      <c r="Y275" s="10">
        <v>0.0</v>
      </c>
      <c r="Z275" s="10">
        <v>3.0</v>
      </c>
      <c r="AA275" s="10">
        <v>0.0</v>
      </c>
      <c r="AB275" s="10">
        <v>3.0</v>
      </c>
      <c r="AC275" s="11" t="s">
        <v>58</v>
      </c>
      <c r="AD275" s="10" t="s">
        <v>595</v>
      </c>
      <c r="AE275" s="9" t="str">
        <f>IFERROR(__xludf.DUMMYFUNCTION("GOOGLETRANSLATE(AD275,""pt"",""en"")"),"Paraêtesis facilitated")</f>
        <v>Paraêtesis facilitated</v>
      </c>
      <c r="AF275" s="10"/>
      <c r="AG275" s="9"/>
      <c r="AH275" s="10"/>
      <c r="AI275" s="9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</row>
    <row r="276">
      <c r="A276" s="9">
        <v>34.0</v>
      </c>
      <c r="B276" s="10">
        <v>3.0</v>
      </c>
      <c r="C276" s="10">
        <v>6.0</v>
      </c>
      <c r="D276" s="9">
        <v>2.0</v>
      </c>
      <c r="E276" s="10" t="s">
        <v>178</v>
      </c>
      <c r="F276" s="10">
        <v>4.0</v>
      </c>
      <c r="G276" s="10">
        <v>2.0</v>
      </c>
      <c r="H276" s="10" t="s">
        <v>102</v>
      </c>
      <c r="I276" s="10">
        <v>1.0</v>
      </c>
      <c r="J276" s="10" t="s">
        <v>40</v>
      </c>
      <c r="K276" s="10" t="s">
        <v>50</v>
      </c>
      <c r="L276" s="10">
        <v>11.73</v>
      </c>
      <c r="M276" s="10">
        <v>13.0</v>
      </c>
      <c r="N276" s="10">
        <v>3.8</v>
      </c>
      <c r="O276" s="10">
        <v>3.0</v>
      </c>
      <c r="P276" s="10">
        <v>2.0</v>
      </c>
      <c r="Q276" s="10">
        <v>1.0</v>
      </c>
      <c r="R276" s="10">
        <v>3.72</v>
      </c>
      <c r="S276" s="10">
        <v>5.0</v>
      </c>
      <c r="T276" s="10">
        <v>1.5</v>
      </c>
      <c r="U276" s="10">
        <v>2.0</v>
      </c>
      <c r="V276" s="10">
        <v>2.0</v>
      </c>
      <c r="W276" s="10">
        <v>0.0</v>
      </c>
      <c r="X276" s="10">
        <v>2.0</v>
      </c>
      <c r="Y276" s="10">
        <v>1.0</v>
      </c>
      <c r="Z276" s="10">
        <v>1.0</v>
      </c>
      <c r="AA276" s="10">
        <v>0.0</v>
      </c>
      <c r="AB276" s="10">
        <v>2.0</v>
      </c>
      <c r="AC276" s="11" t="s">
        <v>160</v>
      </c>
      <c r="AD276" s="10" t="s">
        <v>596</v>
      </c>
      <c r="AE276" s="9" t="str">
        <f>IFERROR(__xludf.DUMMYFUNCTION("GOOGLETRANSLATE(AD276,""pt"",""en"")"),"Easy condition by ()")</f>
        <v>Easy condition by ()</v>
      </c>
      <c r="AF276" s="10"/>
      <c r="AG276" s="9"/>
      <c r="AH276" s="10"/>
      <c r="AI276" s="9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</row>
    <row r="277">
      <c r="A277" s="9">
        <v>58.0</v>
      </c>
      <c r="B277" s="10">
        <v>5.0</v>
      </c>
      <c r="C277" s="10">
        <v>10.0</v>
      </c>
      <c r="D277" s="9">
        <v>2.0</v>
      </c>
      <c r="E277" s="10" t="s">
        <v>178</v>
      </c>
      <c r="F277" s="10">
        <v>4.0</v>
      </c>
      <c r="G277" s="10">
        <v>2.0</v>
      </c>
      <c r="H277" s="10" t="s">
        <v>102</v>
      </c>
      <c r="I277" s="10">
        <v>1.0</v>
      </c>
      <c r="J277" s="10" t="s">
        <v>40</v>
      </c>
      <c r="K277" s="10" t="s">
        <v>41</v>
      </c>
      <c r="L277" s="10">
        <v>32.5</v>
      </c>
      <c r="M277" s="10">
        <v>50.0</v>
      </c>
      <c r="N277" s="10">
        <v>17.32</v>
      </c>
      <c r="O277" s="10">
        <v>23.0</v>
      </c>
      <c r="P277" s="10">
        <v>18.0</v>
      </c>
      <c r="Q277" s="10">
        <v>5.0</v>
      </c>
      <c r="R277" s="10">
        <v>19.71</v>
      </c>
      <c r="S277" s="10">
        <v>35.0</v>
      </c>
      <c r="T277" s="10">
        <v>12.34</v>
      </c>
      <c r="U277" s="10">
        <v>17.0</v>
      </c>
      <c r="V277" s="10">
        <v>17.0</v>
      </c>
      <c r="W277" s="10">
        <v>0.0</v>
      </c>
      <c r="X277" s="10">
        <v>3.0</v>
      </c>
      <c r="Y277" s="10">
        <v>1.0</v>
      </c>
      <c r="Z277" s="10">
        <v>2.0</v>
      </c>
      <c r="AA277" s="10">
        <v>0.0</v>
      </c>
      <c r="AB277" s="10">
        <v>3.0</v>
      </c>
      <c r="AC277" s="11" t="s">
        <v>90</v>
      </c>
      <c r="AD277" s="10" t="s">
        <v>597</v>
      </c>
      <c r="AE277" s="9" t="str">
        <f>IFERROR(__xludf.DUMMYFUNCTION("GOOGLETRANSLATE(AD277,""pt"",""en"")"),"() Facilitated")</f>
        <v>() Facilitated</v>
      </c>
      <c r="AF277" s="10"/>
      <c r="AG277" s="9"/>
      <c r="AH277" s="10"/>
      <c r="AI277" s="9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</row>
    <row r="278">
      <c r="A278" s="9">
        <v>70.0</v>
      </c>
      <c r="B278" s="10">
        <v>6.0</v>
      </c>
      <c r="C278" s="10">
        <v>12.0</v>
      </c>
      <c r="D278" s="9">
        <v>2.0</v>
      </c>
      <c r="E278" s="10" t="s">
        <v>178</v>
      </c>
      <c r="F278" s="10">
        <v>4.0</v>
      </c>
      <c r="G278" s="10">
        <v>2.0</v>
      </c>
      <c r="H278" s="10" t="s">
        <v>102</v>
      </c>
      <c r="I278" s="10">
        <v>1.0</v>
      </c>
      <c r="J278" s="10" t="s">
        <v>40</v>
      </c>
      <c r="K278" s="10" t="s">
        <v>41</v>
      </c>
      <c r="L278" s="10">
        <v>54.31</v>
      </c>
      <c r="M278" s="10">
        <v>70.0</v>
      </c>
      <c r="N278" s="10">
        <v>21.44</v>
      </c>
      <c r="O278" s="10">
        <v>26.0</v>
      </c>
      <c r="P278" s="10">
        <v>15.0</v>
      </c>
      <c r="Q278" s="10">
        <v>11.0</v>
      </c>
      <c r="R278" s="10">
        <v>29.92</v>
      </c>
      <c r="S278" s="10">
        <v>38.0</v>
      </c>
      <c r="T278" s="10">
        <v>12.86</v>
      </c>
      <c r="U278" s="10">
        <v>9.0</v>
      </c>
      <c r="V278" s="10">
        <v>9.0</v>
      </c>
      <c r="W278" s="10">
        <v>0.0</v>
      </c>
      <c r="X278" s="10">
        <v>7.0</v>
      </c>
      <c r="Y278" s="10">
        <v>4.0</v>
      </c>
      <c r="Z278" s="10">
        <v>3.0</v>
      </c>
      <c r="AA278" s="10">
        <v>3.0</v>
      </c>
      <c r="AB278" s="10">
        <v>5.0</v>
      </c>
      <c r="AC278" s="11" t="s">
        <v>194</v>
      </c>
      <c r="AD278" s="10" t="s">
        <v>598</v>
      </c>
      <c r="AE278" s="9" t="str">
        <f>IFERROR(__xludf.DUMMYFUNCTION("GOOGLETRANSLATE(AD278,""pt"",""en"")"),"Releases facilitated, if of course, understood")</f>
        <v>Releases facilitated, if of course, understood</v>
      </c>
      <c r="AF278" s="10"/>
      <c r="AG278" s="9"/>
      <c r="AH278" s="10"/>
      <c r="AI278" s="9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</row>
    <row r="279">
      <c r="A279" s="9">
        <v>82.0</v>
      </c>
      <c r="B279" s="10">
        <v>7.0</v>
      </c>
      <c r="C279" s="10">
        <v>14.0</v>
      </c>
      <c r="D279" s="9">
        <v>2.0</v>
      </c>
      <c r="E279" s="10" t="s">
        <v>178</v>
      </c>
      <c r="F279" s="10">
        <v>4.0</v>
      </c>
      <c r="G279" s="10">
        <v>2.0</v>
      </c>
      <c r="H279" s="10" t="s">
        <v>102</v>
      </c>
      <c r="I279" s="10">
        <v>1.0</v>
      </c>
      <c r="J279" s="10" t="s">
        <v>40</v>
      </c>
      <c r="K279" s="10" t="s">
        <v>41</v>
      </c>
      <c r="L279" s="10">
        <v>20.87</v>
      </c>
      <c r="M279" s="10">
        <v>22.0</v>
      </c>
      <c r="N279" s="10">
        <v>7.61</v>
      </c>
      <c r="O279" s="10">
        <v>8.0</v>
      </c>
      <c r="P279" s="10">
        <v>5.0</v>
      </c>
      <c r="Q279" s="10">
        <v>3.0</v>
      </c>
      <c r="R279" s="10">
        <v>10.8</v>
      </c>
      <c r="S279" s="10">
        <v>18.0</v>
      </c>
      <c r="T279" s="10">
        <v>5.91</v>
      </c>
      <c r="U279" s="10">
        <v>5.0</v>
      </c>
      <c r="V279" s="10">
        <v>5.0</v>
      </c>
      <c r="W279" s="10">
        <v>0.0</v>
      </c>
      <c r="X279" s="10">
        <v>2.0</v>
      </c>
      <c r="Y279" s="10">
        <v>1.0</v>
      </c>
      <c r="Z279" s="10">
        <v>1.0</v>
      </c>
      <c r="AA279" s="10">
        <v>1.0</v>
      </c>
      <c r="AB279" s="10">
        <v>2.0</v>
      </c>
      <c r="AC279" s="11" t="s">
        <v>118</v>
      </c>
      <c r="AD279" s="10" t="s">
        <v>599</v>
      </c>
      <c r="AE279" s="9" t="str">
        <f>IFERROR(__xludf.DUMMYFUNCTION("GOOGLETRANSLATE(AD279,""pt"",""en"")"),"easier than the previous hair ()")</f>
        <v>easier than the previous hair ()</v>
      </c>
      <c r="AF279" s="10"/>
      <c r="AG279" s="9"/>
      <c r="AH279" s="10"/>
      <c r="AI279" s="9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</row>
    <row r="280">
      <c r="A280" s="9">
        <v>94.0</v>
      </c>
      <c r="B280" s="10">
        <v>8.0</v>
      </c>
      <c r="C280" s="10">
        <v>16.0</v>
      </c>
      <c r="D280" s="9">
        <v>2.0</v>
      </c>
      <c r="E280" s="10" t="s">
        <v>178</v>
      </c>
      <c r="F280" s="10">
        <v>4.0</v>
      </c>
      <c r="G280" s="10">
        <v>2.0</v>
      </c>
      <c r="H280" s="10" t="s">
        <v>102</v>
      </c>
      <c r="I280" s="10">
        <v>1.0</v>
      </c>
      <c r="J280" s="10" t="s">
        <v>40</v>
      </c>
      <c r="K280" s="10" t="s">
        <v>41</v>
      </c>
      <c r="L280" s="10">
        <v>34.74</v>
      </c>
      <c r="M280" s="10">
        <v>65.0</v>
      </c>
      <c r="N280" s="10">
        <v>20.61</v>
      </c>
      <c r="O280" s="10">
        <v>25.0</v>
      </c>
      <c r="P280" s="10">
        <v>15.0</v>
      </c>
      <c r="Q280" s="10">
        <v>10.0</v>
      </c>
      <c r="R280" s="10">
        <v>17.89</v>
      </c>
      <c r="S280" s="10">
        <v>34.0</v>
      </c>
      <c r="T280" s="10">
        <v>11.89</v>
      </c>
      <c r="U280" s="10">
        <v>8.0</v>
      </c>
      <c r="V280" s="10">
        <v>8.0</v>
      </c>
      <c r="W280" s="10">
        <v>0.0</v>
      </c>
      <c r="X280" s="10">
        <v>10.0</v>
      </c>
      <c r="Y280" s="10">
        <v>7.0</v>
      </c>
      <c r="Z280" s="10">
        <v>3.0</v>
      </c>
      <c r="AA280" s="10">
        <v>5.0</v>
      </c>
      <c r="AB280" s="10">
        <v>5.0</v>
      </c>
      <c r="AC280" s="11" t="s">
        <v>62</v>
      </c>
      <c r="AD280" s="10" t="s">
        <v>600</v>
      </c>
      <c r="AE280" s="9" t="str">
        <f>IFERROR(__xludf.DUMMYFUNCTION("GOOGLETRANSLATE(AD280,""pt"",""en"")"),"Easy because of ()")</f>
        <v>Easy because of ()</v>
      </c>
      <c r="AF280" s="10"/>
      <c r="AG280" s="9"/>
      <c r="AH280" s="10"/>
      <c r="AI280" s="9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</row>
    <row r="281">
      <c r="A281" s="9">
        <v>130.0</v>
      </c>
      <c r="B281" s="10">
        <v>11.0</v>
      </c>
      <c r="C281" s="10">
        <v>22.0</v>
      </c>
      <c r="D281" s="9">
        <v>2.0</v>
      </c>
      <c r="E281" s="10" t="s">
        <v>178</v>
      </c>
      <c r="F281" s="10">
        <v>4.0</v>
      </c>
      <c r="G281" s="10">
        <v>2.0</v>
      </c>
      <c r="H281" s="10" t="s">
        <v>102</v>
      </c>
      <c r="I281" s="10">
        <v>1.0</v>
      </c>
      <c r="J281" s="10" t="s">
        <v>40</v>
      </c>
      <c r="K281" s="10" t="s">
        <v>41</v>
      </c>
      <c r="L281" s="10">
        <v>12.27</v>
      </c>
      <c r="M281" s="10">
        <v>15.0</v>
      </c>
      <c r="N281" s="10">
        <v>5.76</v>
      </c>
      <c r="O281" s="10">
        <v>6.0</v>
      </c>
      <c r="P281" s="10">
        <v>2.0</v>
      </c>
      <c r="Q281" s="10">
        <v>4.0</v>
      </c>
      <c r="R281" s="10">
        <v>3.62</v>
      </c>
      <c r="S281" s="10">
        <v>7.0</v>
      </c>
      <c r="T281" s="10">
        <v>2.32</v>
      </c>
      <c r="U281" s="10">
        <v>1.0</v>
      </c>
      <c r="V281" s="10">
        <v>1.0</v>
      </c>
      <c r="W281" s="10">
        <v>0.0</v>
      </c>
      <c r="X281" s="10">
        <v>4.0</v>
      </c>
      <c r="Y281" s="10">
        <v>2.0</v>
      </c>
      <c r="Z281" s="10">
        <v>2.0</v>
      </c>
      <c r="AA281" s="10">
        <v>2.0</v>
      </c>
      <c r="AB281" s="10">
        <v>3.0</v>
      </c>
      <c r="AC281" s="11" t="s">
        <v>86</v>
      </c>
      <c r="AD281" s="10" t="s">
        <v>601</v>
      </c>
      <c r="AE281" s="9" t="str">
        <f>IFERROR(__xludf.DUMMYFUNCTION("GOOGLETRANSLATE(AD281,""pt"",""en"")"),"IF presents (), it became easier")</f>
        <v>IF presents (), it became easier</v>
      </c>
      <c r="AF281" s="10"/>
      <c r="AG281" s="9"/>
      <c r="AH281" s="10"/>
      <c r="AI281" s="9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</row>
    <row r="282">
      <c r="A282" s="9">
        <v>154.0</v>
      </c>
      <c r="B282" s="10">
        <v>13.0</v>
      </c>
      <c r="C282" s="10">
        <v>26.0</v>
      </c>
      <c r="D282" s="9">
        <v>2.0</v>
      </c>
      <c r="E282" s="10" t="s">
        <v>178</v>
      </c>
      <c r="F282" s="10">
        <v>4.0</v>
      </c>
      <c r="G282" s="10">
        <v>2.0</v>
      </c>
      <c r="H282" s="10" t="s">
        <v>102</v>
      </c>
      <c r="I282" s="10">
        <v>1.0</v>
      </c>
      <c r="J282" s="10" t="s">
        <v>40</v>
      </c>
      <c r="K282" s="10" t="s">
        <v>57</v>
      </c>
      <c r="L282" s="10">
        <v>25.68</v>
      </c>
      <c r="M282" s="10">
        <v>41.0</v>
      </c>
      <c r="N282" s="10">
        <v>12.74</v>
      </c>
      <c r="O282" s="10">
        <v>18.0</v>
      </c>
      <c r="P282" s="10">
        <v>6.0</v>
      </c>
      <c r="Q282" s="10">
        <v>12.0</v>
      </c>
      <c r="R282" s="10">
        <v>9.03</v>
      </c>
      <c r="S282" s="10">
        <v>18.0</v>
      </c>
      <c r="T282" s="10">
        <v>5.45</v>
      </c>
      <c r="U282" s="10">
        <v>5.0</v>
      </c>
      <c r="V282" s="10">
        <v>5.0</v>
      </c>
      <c r="W282" s="10">
        <v>0.0</v>
      </c>
      <c r="X282" s="10">
        <v>10.0</v>
      </c>
      <c r="Y282" s="10">
        <v>9.0</v>
      </c>
      <c r="Z282" s="10">
        <v>1.0</v>
      </c>
      <c r="AA282" s="10">
        <v>7.0</v>
      </c>
      <c r="AB282" s="10">
        <v>2.0</v>
      </c>
      <c r="AC282" s="11" t="s">
        <v>141</v>
      </c>
      <c r="AD282" s="10" t="s">
        <v>602</v>
      </c>
      <c r="AE282" s="9" t="str">
        <f>IFERROR(__xludf.DUMMYFUNCTION("GOOGLETRANSLATE(AD282,""pt"",""en"")"),"improved with ()")</f>
        <v>improved with ()</v>
      </c>
      <c r="AF282" s="10"/>
      <c r="AG282" s="9"/>
      <c r="AH282" s="10"/>
      <c r="AI282" s="9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</row>
    <row r="283">
      <c r="A283" s="9">
        <v>178.0</v>
      </c>
      <c r="B283" s="10">
        <v>15.0</v>
      </c>
      <c r="C283" s="10">
        <v>30.0</v>
      </c>
      <c r="D283" s="9">
        <v>2.0</v>
      </c>
      <c r="E283" s="10" t="s">
        <v>178</v>
      </c>
      <c r="F283" s="10">
        <v>4.0</v>
      </c>
      <c r="G283" s="10">
        <v>2.0</v>
      </c>
      <c r="H283" s="10" t="s">
        <v>102</v>
      </c>
      <c r="I283" s="10">
        <v>1.0</v>
      </c>
      <c r="J283" s="10" t="s">
        <v>40</v>
      </c>
      <c r="K283" s="10" t="s">
        <v>50</v>
      </c>
      <c r="L283" s="10">
        <v>22.18</v>
      </c>
      <c r="M283" s="10">
        <v>22.0</v>
      </c>
      <c r="N283" s="10">
        <v>8.62</v>
      </c>
      <c r="O283" s="10">
        <v>9.0</v>
      </c>
      <c r="P283" s="10">
        <v>6.0</v>
      </c>
      <c r="Q283" s="10">
        <v>3.0</v>
      </c>
      <c r="R283" s="10">
        <v>3.23</v>
      </c>
      <c r="S283" s="10">
        <v>4.0</v>
      </c>
      <c r="T283" s="10">
        <v>1.39</v>
      </c>
      <c r="U283" s="10">
        <v>1.0</v>
      </c>
      <c r="V283" s="10">
        <v>1.0</v>
      </c>
      <c r="W283" s="10">
        <v>0.0</v>
      </c>
      <c r="X283" s="10">
        <v>2.0</v>
      </c>
      <c r="Y283" s="10">
        <v>0.0</v>
      </c>
      <c r="Z283" s="10">
        <v>2.0</v>
      </c>
      <c r="AA283" s="10">
        <v>0.0</v>
      </c>
      <c r="AB283" s="10">
        <v>2.0</v>
      </c>
      <c r="AC283" s="11" t="s">
        <v>245</v>
      </c>
      <c r="AD283" s="10" t="s">
        <v>593</v>
      </c>
      <c r="AE283" s="9" t="str">
        <f>IFERROR(__xludf.DUMMYFUNCTION("GOOGLETRANSLATE(AD283,""pt"",""en"")"),"parentheses facilitated")</f>
        <v>parentheses facilitated</v>
      </c>
      <c r="AF283" s="10" t="s">
        <v>603</v>
      </c>
      <c r="AG283" s="9" t="str">
        <f>IFERROR(__xludf.DUMMYFUNCTION("GOOGLETRANSLATE(AF283,""pt"",""en"")"),"validated and then the or")</f>
        <v>validated and then the or</v>
      </c>
      <c r="AH283" s="10"/>
      <c r="AI283" s="9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</row>
    <row r="284">
      <c r="A284" s="9">
        <v>190.0</v>
      </c>
      <c r="B284" s="9">
        <v>16.0</v>
      </c>
      <c r="C284" s="10">
        <v>32.0</v>
      </c>
      <c r="D284" s="9">
        <v>2.0</v>
      </c>
      <c r="E284" s="10" t="s">
        <v>178</v>
      </c>
      <c r="F284" s="10">
        <v>4.0</v>
      </c>
      <c r="G284" s="10">
        <v>2.0</v>
      </c>
      <c r="H284" s="10" t="s">
        <v>39</v>
      </c>
      <c r="I284" s="9">
        <v>1.0</v>
      </c>
      <c r="J284" s="10" t="s">
        <v>40</v>
      </c>
      <c r="K284" s="10"/>
      <c r="L284" s="10">
        <v>22.79</v>
      </c>
      <c r="M284" s="10">
        <v>34.0</v>
      </c>
      <c r="N284" s="10">
        <v>10.96</v>
      </c>
      <c r="O284" s="10">
        <v>14.0</v>
      </c>
      <c r="P284" s="10">
        <v>8.0</v>
      </c>
      <c r="Q284" s="10">
        <v>6.0</v>
      </c>
      <c r="R284" s="10">
        <v>8.61</v>
      </c>
      <c r="S284" s="10">
        <v>16.0</v>
      </c>
      <c r="T284" s="10">
        <v>5.37</v>
      </c>
      <c r="U284" s="10">
        <v>8.0</v>
      </c>
      <c r="V284" s="10">
        <v>8.0</v>
      </c>
      <c r="W284" s="10">
        <v>0.0</v>
      </c>
      <c r="X284" s="10">
        <v>3.0</v>
      </c>
      <c r="Y284" s="10">
        <v>1.0</v>
      </c>
      <c r="Z284" s="10">
        <v>2.0</v>
      </c>
      <c r="AA284" s="10">
        <v>0.0</v>
      </c>
      <c r="AB284" s="10">
        <v>3.0</v>
      </c>
      <c r="AC284" s="11" t="s">
        <v>146</v>
      </c>
      <c r="AD284" s="10" t="s">
        <v>604</v>
      </c>
      <c r="AE284" s="9" t="str">
        <f>IFERROR(__xludf.DUMMYFUNCTION("GOOGLETRANSLATE(AD284,""pt"",""en"")"),"easier than the previous")</f>
        <v>easier than the previous</v>
      </c>
      <c r="AF284" s="10" t="s">
        <v>605</v>
      </c>
      <c r="AG284" s="9" t="str">
        <f>IFERROR(__xludf.DUMMYFUNCTION("GOOGLETRANSLATE(AF284,""pt"",""en"")"),"observed the parentheses and resolved the and first")</f>
        <v>observed the parentheses and resolved the and first</v>
      </c>
      <c r="AH284" s="10"/>
      <c r="AI284" s="9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</row>
    <row r="285">
      <c r="A285" s="9">
        <v>208.0</v>
      </c>
      <c r="B285" s="10">
        <v>2.0</v>
      </c>
      <c r="C285" s="10">
        <v>3.0</v>
      </c>
      <c r="D285" s="9">
        <v>1.0</v>
      </c>
      <c r="E285" s="10" t="s">
        <v>186</v>
      </c>
      <c r="F285" s="10">
        <v>4.0</v>
      </c>
      <c r="G285" s="10">
        <v>1.0</v>
      </c>
      <c r="H285" s="10" t="s">
        <v>102</v>
      </c>
      <c r="I285" s="10">
        <v>2.0</v>
      </c>
      <c r="J285" s="10" t="s">
        <v>40</v>
      </c>
      <c r="K285" s="10" t="s">
        <v>57</v>
      </c>
      <c r="L285" s="10">
        <v>201.1</v>
      </c>
      <c r="M285" s="10">
        <v>345.0</v>
      </c>
      <c r="N285" s="10">
        <v>115.98</v>
      </c>
      <c r="O285" s="10">
        <v>141.0</v>
      </c>
      <c r="P285" s="10">
        <v>71.0</v>
      </c>
      <c r="Q285" s="10">
        <v>70.0</v>
      </c>
      <c r="R285" s="10">
        <v>82.57</v>
      </c>
      <c r="S285" s="10">
        <v>161.0</v>
      </c>
      <c r="T285" s="10">
        <v>56.61</v>
      </c>
      <c r="U285" s="10">
        <v>43.0</v>
      </c>
      <c r="V285" s="10">
        <v>43.0</v>
      </c>
      <c r="W285" s="10">
        <v>0.0</v>
      </c>
      <c r="X285" s="10">
        <v>49.0</v>
      </c>
      <c r="Y285" s="10">
        <v>17.0</v>
      </c>
      <c r="Z285" s="10">
        <v>32.0</v>
      </c>
      <c r="AA285" s="10">
        <v>15.0</v>
      </c>
      <c r="AB285" s="10">
        <v>34.0</v>
      </c>
      <c r="AC285" s="11" t="s">
        <v>97</v>
      </c>
      <c r="AD285" s="10" t="s">
        <v>595</v>
      </c>
      <c r="AE285" s="9" t="str">
        <f>IFERROR(__xludf.DUMMYFUNCTION("GOOGLETRANSLATE(AD285,""pt"",""en"")"),"Paraêtesis facilitated")</f>
        <v>Paraêtesis facilitated</v>
      </c>
      <c r="AF285" s="10"/>
      <c r="AG285" s="9"/>
      <c r="AH285" s="9" t="s">
        <v>104</v>
      </c>
      <c r="AI285" s="9" t="str">
        <f>IFERROR(__xludf.DUMMYFUNCTION("GOOGLETRANSLATE(AH285,""pt"",""en"")"),"made a mistake, spent more time and more regressions")</f>
        <v>made a mistake, spent more time and more regressions</v>
      </c>
      <c r="AP285" s="15"/>
    </row>
    <row r="286">
      <c r="A286" s="9">
        <v>220.0</v>
      </c>
      <c r="B286" s="10">
        <v>3.0</v>
      </c>
      <c r="C286" s="10">
        <v>5.0</v>
      </c>
      <c r="D286" s="9">
        <v>1.0</v>
      </c>
      <c r="E286" s="10" t="s">
        <v>186</v>
      </c>
      <c r="F286" s="10">
        <v>4.0</v>
      </c>
      <c r="G286" s="10">
        <v>1.0</v>
      </c>
      <c r="H286" s="10" t="s">
        <v>102</v>
      </c>
      <c r="I286" s="10">
        <v>1.0</v>
      </c>
      <c r="J286" s="10" t="s">
        <v>40</v>
      </c>
      <c r="K286" s="10" t="s">
        <v>41</v>
      </c>
      <c r="L286" s="10">
        <v>28.29</v>
      </c>
      <c r="M286" s="10">
        <v>42.0</v>
      </c>
      <c r="N286" s="10">
        <v>14.03</v>
      </c>
      <c r="O286" s="10">
        <v>19.0</v>
      </c>
      <c r="P286" s="10">
        <v>7.0</v>
      </c>
      <c r="Q286" s="10">
        <v>12.0</v>
      </c>
      <c r="R286" s="10">
        <v>12.44</v>
      </c>
      <c r="S286" s="10">
        <v>20.0</v>
      </c>
      <c r="T286" s="10">
        <v>6.57</v>
      </c>
      <c r="U286" s="10">
        <v>6.0</v>
      </c>
      <c r="V286" s="10">
        <v>6.0</v>
      </c>
      <c r="W286" s="10">
        <v>0.0</v>
      </c>
      <c r="X286" s="10">
        <v>6.0</v>
      </c>
      <c r="Y286" s="10">
        <v>2.0</v>
      </c>
      <c r="Z286" s="10">
        <v>4.0</v>
      </c>
      <c r="AA286" s="10">
        <v>2.0</v>
      </c>
      <c r="AB286" s="10">
        <v>4.0</v>
      </c>
      <c r="AC286" s="11" t="s">
        <v>249</v>
      </c>
      <c r="AD286" s="10" t="s">
        <v>606</v>
      </c>
      <c r="AE286" s="9" t="str">
        <f>IFERROR(__xludf.DUMMYFUNCTION("GOOGLETRANSLATE(AD286,""pt"",""en"")"),"easy because of the parentheses")</f>
        <v>easy because of the parentheses</v>
      </c>
      <c r="AF286" s="10"/>
      <c r="AG286" s="9"/>
      <c r="AH286" s="10"/>
      <c r="AI286" s="9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</row>
    <row r="287">
      <c r="A287" s="9">
        <v>328.0</v>
      </c>
      <c r="B287" s="10">
        <v>12.0</v>
      </c>
      <c r="C287" s="10">
        <v>23.0</v>
      </c>
      <c r="D287" s="9">
        <v>1.0</v>
      </c>
      <c r="E287" s="10" t="s">
        <v>186</v>
      </c>
      <c r="F287" s="10">
        <v>4.0</v>
      </c>
      <c r="G287" s="10">
        <v>1.0</v>
      </c>
      <c r="H287" s="10" t="s">
        <v>102</v>
      </c>
      <c r="I287" s="10">
        <v>1.0</v>
      </c>
      <c r="J287" s="10" t="s">
        <v>40</v>
      </c>
      <c r="K287" s="10" t="s">
        <v>41</v>
      </c>
      <c r="L287" s="10">
        <v>35.67</v>
      </c>
      <c r="M287" s="10">
        <v>49.0</v>
      </c>
      <c r="N287" s="10">
        <v>17.02</v>
      </c>
      <c r="O287" s="10">
        <v>18.0</v>
      </c>
      <c r="P287" s="10">
        <v>12.0</v>
      </c>
      <c r="Q287" s="10">
        <v>6.0</v>
      </c>
      <c r="R287" s="10">
        <v>7.91</v>
      </c>
      <c r="S287" s="10">
        <v>12.0</v>
      </c>
      <c r="T287" s="10">
        <v>4.15</v>
      </c>
      <c r="U287" s="10">
        <v>4.0</v>
      </c>
      <c r="V287" s="10">
        <v>4.0</v>
      </c>
      <c r="W287" s="10">
        <v>0.0</v>
      </c>
      <c r="X287" s="10">
        <v>3.0</v>
      </c>
      <c r="Y287" s="10">
        <v>1.0</v>
      </c>
      <c r="Z287" s="10">
        <v>2.0</v>
      </c>
      <c r="AA287" s="10">
        <v>0.0</v>
      </c>
      <c r="AB287" s="10">
        <v>3.0</v>
      </c>
      <c r="AC287" s="11" t="s">
        <v>158</v>
      </c>
      <c r="AD287" s="10" t="s">
        <v>607</v>
      </c>
      <c r="AE287" s="9" t="str">
        <f>IFERROR(__xludf.DUMMYFUNCTION("GOOGLETRANSLATE(AD287,""pt"",""en"")"),"brings the () that facilitate")</f>
        <v>brings the () that facilitate</v>
      </c>
      <c r="AF287" s="10"/>
      <c r="AG287" s="9"/>
      <c r="AH287" s="10"/>
      <c r="AI287" s="9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</row>
    <row r="288">
      <c r="A288" s="9">
        <v>7.0</v>
      </c>
      <c r="B288" s="10">
        <v>1.0</v>
      </c>
      <c r="C288" s="10">
        <v>2.0</v>
      </c>
      <c r="D288" s="9">
        <v>2.0</v>
      </c>
      <c r="E288" s="10" t="s">
        <v>374</v>
      </c>
      <c r="F288" s="10">
        <v>1.0</v>
      </c>
      <c r="G288" s="10">
        <v>2.0</v>
      </c>
      <c r="H288" s="10" t="s">
        <v>102</v>
      </c>
      <c r="I288" s="10">
        <v>1.0</v>
      </c>
      <c r="J288" s="10" t="s">
        <v>40</v>
      </c>
      <c r="K288" s="10" t="s">
        <v>50</v>
      </c>
      <c r="L288" s="10">
        <v>25.95</v>
      </c>
      <c r="M288" s="10">
        <v>32.0</v>
      </c>
      <c r="N288" s="10">
        <v>9.42</v>
      </c>
      <c r="O288" s="10">
        <v>15.0</v>
      </c>
      <c r="P288" s="10">
        <v>4.0</v>
      </c>
      <c r="Q288" s="10">
        <v>11.0</v>
      </c>
      <c r="R288" s="10">
        <v>9.93</v>
      </c>
      <c r="S288" s="10">
        <v>16.0</v>
      </c>
      <c r="T288" s="10">
        <v>4.55</v>
      </c>
      <c r="U288" s="10">
        <v>6.0</v>
      </c>
      <c r="V288" s="10">
        <v>1.0</v>
      </c>
      <c r="W288" s="10">
        <v>5.0</v>
      </c>
      <c r="X288" s="10">
        <v>2.0</v>
      </c>
      <c r="Y288" s="10">
        <v>0.0</v>
      </c>
      <c r="Z288" s="10">
        <v>2.0</v>
      </c>
      <c r="AA288" s="10">
        <v>0.0</v>
      </c>
      <c r="AB288" s="10">
        <v>3.0</v>
      </c>
      <c r="AC288" s="11" t="s">
        <v>81</v>
      </c>
      <c r="AD288" s="10" t="s">
        <v>52</v>
      </c>
      <c r="AE288" s="9" t="str">
        <f>IFERROR(__xludf.DUMMYFUNCTION("GOOGLETRANSLATE(AD288,""pt"",""en"")"),"no difficulty pointed out")</f>
        <v>no difficulty pointed out</v>
      </c>
      <c r="AF288" s="10" t="s">
        <v>608</v>
      </c>
      <c r="AG288" s="9" t="str">
        <f>IFERROR(__xludf.DUMMYFUNCTION("GOOGLETRANSLATE(AF288,""pt"",""en"")"),"commented to be easier than the previous 11th")</f>
        <v>commented to be easier than the previous 11th</v>
      </c>
      <c r="AH288" s="10"/>
      <c r="AI288" s="9"/>
      <c r="AJ288" s="13" t="s">
        <v>609</v>
      </c>
      <c r="AK288" s="14" t="s">
        <v>610</v>
      </c>
      <c r="AL288" s="13" t="s">
        <v>609</v>
      </c>
      <c r="AM288" s="14" t="s">
        <v>610</v>
      </c>
      <c r="AN288" s="13" t="s">
        <v>609</v>
      </c>
      <c r="AO288" s="14" t="s">
        <v>610</v>
      </c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</row>
    <row r="289">
      <c r="A289" s="9">
        <v>19.0</v>
      </c>
      <c r="B289" s="10">
        <v>2.0</v>
      </c>
      <c r="C289" s="10">
        <v>4.0</v>
      </c>
      <c r="D289" s="9">
        <v>2.0</v>
      </c>
      <c r="E289" s="10" t="s">
        <v>374</v>
      </c>
      <c r="F289" s="10">
        <v>1.0</v>
      </c>
      <c r="G289" s="10">
        <v>2.0</v>
      </c>
      <c r="H289" s="10" t="s">
        <v>102</v>
      </c>
      <c r="I289" s="10">
        <v>1.0</v>
      </c>
      <c r="J289" s="10" t="s">
        <v>40</v>
      </c>
      <c r="K289" s="10" t="s">
        <v>57</v>
      </c>
      <c r="L289" s="10">
        <v>64.72</v>
      </c>
      <c r="M289" s="10">
        <v>109.0</v>
      </c>
      <c r="N289" s="10">
        <v>36.42</v>
      </c>
      <c r="O289" s="10">
        <v>47.0</v>
      </c>
      <c r="P289" s="10">
        <v>19.0</v>
      </c>
      <c r="Q289" s="10">
        <v>28.0</v>
      </c>
      <c r="R289" s="10">
        <v>25.05</v>
      </c>
      <c r="S289" s="10">
        <v>44.0</v>
      </c>
      <c r="T289" s="10">
        <v>13.58</v>
      </c>
      <c r="U289" s="10">
        <v>11.0</v>
      </c>
      <c r="V289" s="10">
        <v>6.0</v>
      </c>
      <c r="W289" s="10">
        <v>5.0</v>
      </c>
      <c r="X289" s="10">
        <v>17.0</v>
      </c>
      <c r="Y289" s="10">
        <v>0.0</v>
      </c>
      <c r="Z289" s="10">
        <v>17.0</v>
      </c>
      <c r="AA289" s="10">
        <v>0.0</v>
      </c>
      <c r="AB289" s="10">
        <v>18.0</v>
      </c>
      <c r="AC289" s="11" t="s">
        <v>58</v>
      </c>
      <c r="AD289" s="9" t="s">
        <v>440</v>
      </c>
      <c r="AE289" s="9" t="str">
        <f>IFERROR(__xludf.DUMMYFUNCTION("GOOGLETRANSLATE(AD289,""pt"",""en"")"),"No excerpt from the code was difficult")</f>
        <v>No excerpt from the code was difficult</v>
      </c>
      <c r="AF289" s="10"/>
      <c r="AG289" s="9"/>
      <c r="AH289" s="10"/>
      <c r="AI289" s="9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</row>
    <row r="290">
      <c r="A290" s="9">
        <v>31.0</v>
      </c>
      <c r="B290" s="10">
        <v>3.0</v>
      </c>
      <c r="C290" s="10">
        <v>6.0</v>
      </c>
      <c r="D290" s="9">
        <v>2.0</v>
      </c>
      <c r="E290" s="10" t="s">
        <v>374</v>
      </c>
      <c r="F290" s="10">
        <v>1.0</v>
      </c>
      <c r="G290" s="10">
        <v>2.0</v>
      </c>
      <c r="H290" s="10" t="s">
        <v>102</v>
      </c>
      <c r="I290" s="10">
        <v>1.0</v>
      </c>
      <c r="J290" s="10" t="s">
        <v>40</v>
      </c>
      <c r="K290" s="10" t="s">
        <v>50</v>
      </c>
      <c r="L290" s="10">
        <v>17.6</v>
      </c>
      <c r="M290" s="10">
        <v>25.0</v>
      </c>
      <c r="N290" s="10">
        <v>7.94</v>
      </c>
      <c r="O290" s="10">
        <v>9.0</v>
      </c>
      <c r="P290" s="10">
        <v>2.0</v>
      </c>
      <c r="Q290" s="10">
        <v>7.0</v>
      </c>
      <c r="R290" s="10">
        <v>5.59</v>
      </c>
      <c r="S290" s="10">
        <v>8.0</v>
      </c>
      <c r="T290" s="10">
        <v>2.51</v>
      </c>
      <c r="U290" s="10">
        <v>2.0</v>
      </c>
      <c r="V290" s="10">
        <v>1.0</v>
      </c>
      <c r="W290" s="10">
        <v>1.0</v>
      </c>
      <c r="X290" s="10">
        <v>2.0</v>
      </c>
      <c r="Y290" s="10">
        <v>0.0</v>
      </c>
      <c r="Z290" s="10">
        <v>2.0</v>
      </c>
      <c r="AA290" s="10">
        <v>0.0</v>
      </c>
      <c r="AB290" s="10">
        <v>3.0</v>
      </c>
      <c r="AC290" s="11" t="s">
        <v>160</v>
      </c>
      <c r="AD290" s="9" t="s">
        <v>611</v>
      </c>
      <c r="AE290" s="9" t="str">
        <f>IFERROR(__xludf.DUMMYFUNCTION("GOOGLETRANSLATE(AD290,""pt"",""en"")"),"Everything was easy")</f>
        <v>Everything was easy</v>
      </c>
      <c r="AF290" s="10"/>
      <c r="AG290" s="9"/>
      <c r="AH290" s="10"/>
      <c r="AI290" s="9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</row>
    <row r="291">
      <c r="A291" s="9">
        <v>43.0</v>
      </c>
      <c r="B291" s="10">
        <v>4.0</v>
      </c>
      <c r="C291" s="10">
        <v>8.0</v>
      </c>
      <c r="D291" s="9">
        <v>2.0</v>
      </c>
      <c r="E291" s="10" t="s">
        <v>374</v>
      </c>
      <c r="F291" s="10">
        <v>1.0</v>
      </c>
      <c r="G291" s="10">
        <v>2.0</v>
      </c>
      <c r="H291" s="10" t="s">
        <v>102</v>
      </c>
      <c r="I291" s="10">
        <v>1.0</v>
      </c>
      <c r="J291" s="10" t="s">
        <v>40</v>
      </c>
      <c r="K291" s="10" t="s">
        <v>41</v>
      </c>
      <c r="L291" s="10">
        <v>117.85</v>
      </c>
      <c r="M291" s="10">
        <v>206.0</v>
      </c>
      <c r="N291" s="10">
        <v>70.92</v>
      </c>
      <c r="O291" s="10">
        <v>99.0</v>
      </c>
      <c r="P291" s="10">
        <v>45.0</v>
      </c>
      <c r="Q291" s="10">
        <v>54.0</v>
      </c>
      <c r="R291" s="10">
        <v>21.34</v>
      </c>
      <c r="S291" s="10">
        <v>39.0</v>
      </c>
      <c r="T291" s="10">
        <v>14.22</v>
      </c>
      <c r="U291" s="10">
        <v>6.0</v>
      </c>
      <c r="V291" s="10">
        <v>1.0</v>
      </c>
      <c r="W291" s="10">
        <v>5.0</v>
      </c>
      <c r="X291" s="10">
        <v>19.0</v>
      </c>
      <c r="Y291" s="10">
        <v>0.0</v>
      </c>
      <c r="Z291" s="10">
        <v>19.0</v>
      </c>
      <c r="AA291" s="10">
        <v>0.0</v>
      </c>
      <c r="AB291" s="10">
        <v>20.0</v>
      </c>
      <c r="AC291" s="11" t="s">
        <v>153</v>
      </c>
      <c r="AD291" s="9" t="s">
        <v>611</v>
      </c>
      <c r="AE291" s="9" t="str">
        <f>IFERROR(__xludf.DUMMYFUNCTION("GOOGLETRANSLATE(AD291,""pt"",""en"")"),"Everything was easy")</f>
        <v>Everything was easy</v>
      </c>
      <c r="AF291" s="10"/>
      <c r="AG291" s="9"/>
      <c r="AH291" s="10"/>
      <c r="AI291" s="9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</row>
    <row r="292">
      <c r="A292" s="9">
        <v>55.0</v>
      </c>
      <c r="B292" s="10">
        <v>5.0</v>
      </c>
      <c r="C292" s="10">
        <v>10.0</v>
      </c>
      <c r="D292" s="9">
        <v>2.0</v>
      </c>
      <c r="E292" s="10" t="s">
        <v>374</v>
      </c>
      <c r="F292" s="10">
        <v>1.0</v>
      </c>
      <c r="G292" s="10">
        <v>2.0</v>
      </c>
      <c r="H292" s="10" t="s">
        <v>102</v>
      </c>
      <c r="I292" s="10">
        <v>1.0</v>
      </c>
      <c r="J292" s="10" t="s">
        <v>40</v>
      </c>
      <c r="K292" s="10" t="s">
        <v>41</v>
      </c>
      <c r="L292" s="10">
        <v>30.47</v>
      </c>
      <c r="M292" s="10">
        <v>52.0</v>
      </c>
      <c r="N292" s="10">
        <v>16.08</v>
      </c>
      <c r="O292" s="10">
        <v>22.0</v>
      </c>
      <c r="P292" s="10">
        <v>11.0</v>
      </c>
      <c r="Q292" s="10">
        <v>11.0</v>
      </c>
      <c r="R292" s="10">
        <v>9.34</v>
      </c>
      <c r="S292" s="10">
        <v>18.0</v>
      </c>
      <c r="T292" s="10">
        <v>5.01</v>
      </c>
      <c r="U292" s="10">
        <v>8.0</v>
      </c>
      <c r="V292" s="10">
        <v>5.0</v>
      </c>
      <c r="W292" s="10">
        <v>3.0</v>
      </c>
      <c r="X292" s="10">
        <v>4.0</v>
      </c>
      <c r="Y292" s="10">
        <v>0.0</v>
      </c>
      <c r="Z292" s="10">
        <v>4.0</v>
      </c>
      <c r="AA292" s="10">
        <v>0.0</v>
      </c>
      <c r="AB292" s="10">
        <v>4.0</v>
      </c>
      <c r="AC292" s="11" t="s">
        <v>90</v>
      </c>
      <c r="AD292" s="10" t="s">
        <v>612</v>
      </c>
      <c r="AE292" s="9" t="str">
        <f>IFERROR(__xludf.DUMMYFUNCTION("GOOGLETRANSLATE(AD292,""pt"",""en"")"),"quiet in general")</f>
        <v>quiet in general</v>
      </c>
      <c r="AF292" s="10"/>
      <c r="AG292" s="9"/>
      <c r="AH292" s="10"/>
      <c r="AI292" s="9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</row>
    <row r="293">
      <c r="A293" s="9">
        <v>67.0</v>
      </c>
      <c r="B293" s="10">
        <v>6.0</v>
      </c>
      <c r="C293" s="10">
        <v>12.0</v>
      </c>
      <c r="D293" s="9">
        <v>2.0</v>
      </c>
      <c r="E293" s="10" t="s">
        <v>374</v>
      </c>
      <c r="F293" s="10">
        <v>1.0</v>
      </c>
      <c r="G293" s="10">
        <v>2.0</v>
      </c>
      <c r="H293" s="10" t="s">
        <v>102</v>
      </c>
      <c r="I293" s="10">
        <v>1.0</v>
      </c>
      <c r="J293" s="10" t="s">
        <v>40</v>
      </c>
      <c r="K293" s="10" t="s">
        <v>41</v>
      </c>
      <c r="L293" s="10">
        <v>25.51</v>
      </c>
      <c r="M293" s="10">
        <v>33.0</v>
      </c>
      <c r="N293" s="10">
        <v>11.37</v>
      </c>
      <c r="O293" s="10">
        <v>14.0</v>
      </c>
      <c r="P293" s="10">
        <v>8.0</v>
      </c>
      <c r="Q293" s="10">
        <v>6.0</v>
      </c>
      <c r="R293" s="10">
        <v>9.3</v>
      </c>
      <c r="S293" s="10">
        <v>8.0</v>
      </c>
      <c r="T293" s="10">
        <v>3.8</v>
      </c>
      <c r="U293" s="10">
        <v>1.0</v>
      </c>
      <c r="V293" s="10">
        <v>1.0</v>
      </c>
      <c r="W293" s="10">
        <v>0.0</v>
      </c>
      <c r="X293" s="10">
        <v>3.0</v>
      </c>
      <c r="Y293" s="10">
        <v>0.0</v>
      </c>
      <c r="Z293" s="10">
        <v>3.0</v>
      </c>
      <c r="AA293" s="10">
        <v>0.0</v>
      </c>
      <c r="AB293" s="10">
        <v>4.0</v>
      </c>
      <c r="AC293" s="11" t="s">
        <v>194</v>
      </c>
      <c r="AD293" s="10" t="s">
        <v>464</v>
      </c>
      <c r="AE293" s="9" t="str">
        <f>IFERROR(__xludf.DUMMYFUNCTION("GOOGLETRANSLATE(AD293,""pt"",""en"")"),"unlikely")</f>
        <v>unlikely</v>
      </c>
      <c r="AF293" s="10" t="s">
        <v>613</v>
      </c>
      <c r="AG293" s="9" t="str">
        <f>IFERROR(__xludf.DUMMYFUNCTION("GOOGLETRANSLATE(AF293,""pt"",""en"")"),"boring stretch")</f>
        <v>boring stretch</v>
      </c>
      <c r="AH293" s="10"/>
      <c r="AI293" s="9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</row>
    <row r="294">
      <c r="A294" s="9">
        <v>115.0</v>
      </c>
      <c r="B294" s="10">
        <v>10.0</v>
      </c>
      <c r="C294" s="10">
        <v>20.0</v>
      </c>
      <c r="D294" s="9">
        <v>2.0</v>
      </c>
      <c r="E294" s="10" t="s">
        <v>374</v>
      </c>
      <c r="F294" s="10">
        <v>1.0</v>
      </c>
      <c r="G294" s="10">
        <v>2.0</v>
      </c>
      <c r="H294" s="10" t="s">
        <v>102</v>
      </c>
      <c r="I294" s="10">
        <v>1.0</v>
      </c>
      <c r="J294" s="10" t="s">
        <v>40</v>
      </c>
      <c r="K294" s="10" t="s">
        <v>50</v>
      </c>
      <c r="L294" s="10">
        <v>69.71</v>
      </c>
      <c r="M294" s="10">
        <v>106.0</v>
      </c>
      <c r="N294" s="10">
        <v>35.29</v>
      </c>
      <c r="O294" s="10">
        <v>56.0</v>
      </c>
      <c r="P294" s="10">
        <v>25.0</v>
      </c>
      <c r="Q294" s="10">
        <v>31.0</v>
      </c>
      <c r="R294" s="10">
        <v>18.12</v>
      </c>
      <c r="S294" s="10">
        <v>31.0</v>
      </c>
      <c r="T294" s="10">
        <v>9.1</v>
      </c>
      <c r="U294" s="10">
        <v>12.0</v>
      </c>
      <c r="V294" s="10">
        <v>7.0</v>
      </c>
      <c r="W294" s="10">
        <v>5.0</v>
      </c>
      <c r="X294" s="10">
        <v>11.0</v>
      </c>
      <c r="Y294" s="10">
        <v>1.0</v>
      </c>
      <c r="Z294" s="10">
        <v>10.0</v>
      </c>
      <c r="AA294" s="10">
        <v>0.0</v>
      </c>
      <c r="AB294" s="10">
        <v>11.0</v>
      </c>
      <c r="AC294" s="11" t="s">
        <v>197</v>
      </c>
      <c r="AD294" s="10" t="s">
        <v>464</v>
      </c>
      <c r="AE294" s="9" t="str">
        <f>IFERROR(__xludf.DUMMYFUNCTION("GOOGLETRANSLATE(AD294,""pt"",""en"")"),"unlikely")</f>
        <v>unlikely</v>
      </c>
      <c r="AF294" s="10"/>
      <c r="AG294" s="9"/>
      <c r="AH294" s="10"/>
      <c r="AI294" s="9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</row>
    <row r="295">
      <c r="A295" s="9">
        <v>139.0</v>
      </c>
      <c r="B295" s="10">
        <v>12.0</v>
      </c>
      <c r="C295" s="10">
        <v>24.0</v>
      </c>
      <c r="D295" s="9">
        <v>2.0</v>
      </c>
      <c r="E295" s="10" t="s">
        <v>374</v>
      </c>
      <c r="F295" s="10">
        <v>1.0</v>
      </c>
      <c r="G295" s="10">
        <v>2.0</v>
      </c>
      <c r="H295" s="10" t="s">
        <v>102</v>
      </c>
      <c r="I295" s="10">
        <v>1.0</v>
      </c>
      <c r="J295" s="10" t="s">
        <v>40</v>
      </c>
      <c r="K295" s="10" t="s">
        <v>50</v>
      </c>
      <c r="L295" s="10">
        <v>17.17</v>
      </c>
      <c r="M295" s="10">
        <v>20.0</v>
      </c>
      <c r="N295" s="10">
        <v>5.39</v>
      </c>
      <c r="O295" s="10">
        <v>10.0</v>
      </c>
      <c r="P295" s="10">
        <v>4.0</v>
      </c>
      <c r="Q295" s="10">
        <v>6.0</v>
      </c>
      <c r="R295" s="10">
        <v>6.31</v>
      </c>
      <c r="S295" s="10">
        <v>8.0</v>
      </c>
      <c r="T295" s="10">
        <v>2.39</v>
      </c>
      <c r="U295" s="10">
        <v>3.0</v>
      </c>
      <c r="V295" s="10">
        <v>3.0</v>
      </c>
      <c r="W295" s="10">
        <v>0.0</v>
      </c>
      <c r="X295" s="10">
        <v>2.0</v>
      </c>
      <c r="Y295" s="10">
        <v>0.0</v>
      </c>
      <c r="Z295" s="10">
        <v>2.0</v>
      </c>
      <c r="AA295" s="10">
        <v>0.0</v>
      </c>
      <c r="AB295" s="10">
        <v>2.0</v>
      </c>
      <c r="AC295" s="11" t="s">
        <v>212</v>
      </c>
      <c r="AD295" s="10" t="s">
        <v>614</v>
      </c>
      <c r="AE295" s="9" t="str">
        <f>IFERROR(__xludf.DUMMYFUNCTION("GOOGLETRANSLATE(AD295,""pt"",""en"")"),"unique")</f>
        <v>unique</v>
      </c>
      <c r="AF295" s="10"/>
      <c r="AG295" s="9"/>
      <c r="AH295" s="10"/>
      <c r="AI295" s="9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</row>
    <row r="296">
      <c r="A296" s="9">
        <v>151.0</v>
      </c>
      <c r="B296" s="10">
        <v>13.0</v>
      </c>
      <c r="C296" s="10">
        <v>26.0</v>
      </c>
      <c r="D296" s="9">
        <v>2.0</v>
      </c>
      <c r="E296" s="10" t="s">
        <v>374</v>
      </c>
      <c r="F296" s="10">
        <v>1.0</v>
      </c>
      <c r="G296" s="10">
        <v>2.0</v>
      </c>
      <c r="H296" s="10" t="s">
        <v>102</v>
      </c>
      <c r="I296" s="10">
        <v>1.0</v>
      </c>
      <c r="J296" s="10" t="s">
        <v>40</v>
      </c>
      <c r="K296" s="10" t="s">
        <v>41</v>
      </c>
      <c r="L296" s="10">
        <v>20.76</v>
      </c>
      <c r="M296" s="10">
        <v>41.0</v>
      </c>
      <c r="N296" s="10">
        <v>12.93</v>
      </c>
      <c r="O296" s="10">
        <v>17.0</v>
      </c>
      <c r="P296" s="10">
        <v>7.0</v>
      </c>
      <c r="Q296" s="10">
        <v>10.0</v>
      </c>
      <c r="R296" s="10">
        <v>6.3</v>
      </c>
      <c r="S296" s="10">
        <v>10.0</v>
      </c>
      <c r="T296" s="10">
        <v>3.88</v>
      </c>
      <c r="U296" s="10">
        <v>2.0</v>
      </c>
      <c r="V296" s="10">
        <v>2.0</v>
      </c>
      <c r="W296" s="10">
        <v>0.0</v>
      </c>
      <c r="X296" s="10">
        <v>5.0</v>
      </c>
      <c r="Y296" s="10">
        <v>0.0</v>
      </c>
      <c r="Z296" s="10">
        <v>5.0</v>
      </c>
      <c r="AA296" s="10">
        <v>0.0</v>
      </c>
      <c r="AB296" s="10">
        <v>6.0</v>
      </c>
      <c r="AC296" s="11" t="s">
        <v>141</v>
      </c>
      <c r="AD296" s="10" t="s">
        <v>464</v>
      </c>
      <c r="AE296" s="9" t="str">
        <f>IFERROR(__xludf.DUMMYFUNCTION("GOOGLETRANSLATE(AD296,""pt"",""en"")"),"unlikely")</f>
        <v>unlikely</v>
      </c>
      <c r="AF296" s="10"/>
      <c r="AG296" s="9"/>
      <c r="AH296" s="10"/>
      <c r="AI296" s="9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</row>
    <row r="297">
      <c r="A297" s="9">
        <v>26.0</v>
      </c>
      <c r="B297" s="10">
        <v>3.0</v>
      </c>
      <c r="C297" s="10">
        <v>6.0</v>
      </c>
      <c r="D297" s="9">
        <v>1.0</v>
      </c>
      <c r="E297" s="10" t="s">
        <v>139</v>
      </c>
      <c r="F297" s="10">
        <v>2.0</v>
      </c>
      <c r="G297" s="10">
        <v>1.0</v>
      </c>
      <c r="H297" s="10" t="s">
        <v>39</v>
      </c>
      <c r="I297" s="10">
        <v>2.0</v>
      </c>
      <c r="J297" s="10" t="s">
        <v>40</v>
      </c>
      <c r="K297" s="10" t="s">
        <v>57</v>
      </c>
      <c r="L297" s="10">
        <v>71.4</v>
      </c>
      <c r="M297" s="10">
        <v>93.0</v>
      </c>
      <c r="N297" s="10">
        <v>43.02</v>
      </c>
      <c r="O297" s="10">
        <v>47.0</v>
      </c>
      <c r="P297" s="10">
        <v>30.0</v>
      </c>
      <c r="Q297" s="10">
        <v>17.0</v>
      </c>
      <c r="R297" s="10">
        <v>10.13</v>
      </c>
      <c r="S297" s="10">
        <v>14.0</v>
      </c>
      <c r="T297" s="10">
        <v>5.8</v>
      </c>
      <c r="U297" s="10">
        <v>4.0</v>
      </c>
      <c r="V297" s="10">
        <v>4.0</v>
      </c>
      <c r="W297" s="10">
        <v>0.0</v>
      </c>
      <c r="X297" s="10">
        <v>10.0</v>
      </c>
      <c r="Y297" s="10">
        <v>3.0</v>
      </c>
      <c r="Z297" s="10">
        <v>7.0</v>
      </c>
      <c r="AA297" s="10">
        <v>2.0</v>
      </c>
      <c r="AB297" s="10">
        <v>8.0</v>
      </c>
      <c r="AC297" s="11" t="s">
        <v>160</v>
      </c>
      <c r="AD297" s="10" t="s">
        <v>464</v>
      </c>
      <c r="AE297" s="9" t="str">
        <f>IFERROR(__xludf.DUMMYFUNCTION("GOOGLETRANSLATE(AD297,""pt"",""en"")"),"unlikely")</f>
        <v>unlikely</v>
      </c>
      <c r="AF297" s="10"/>
      <c r="AG297" s="9"/>
      <c r="AH297" s="10"/>
      <c r="AI297" s="9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</row>
    <row r="298">
      <c r="A298" s="9">
        <v>38.0</v>
      </c>
      <c r="B298" s="10">
        <v>4.0</v>
      </c>
      <c r="C298" s="10">
        <v>8.0</v>
      </c>
      <c r="D298" s="9">
        <v>1.0</v>
      </c>
      <c r="E298" s="10" t="s">
        <v>139</v>
      </c>
      <c r="F298" s="10">
        <v>2.0</v>
      </c>
      <c r="G298" s="10">
        <v>1.0</v>
      </c>
      <c r="H298" s="10" t="s">
        <v>39</v>
      </c>
      <c r="I298" s="10">
        <v>1.0</v>
      </c>
      <c r="J298" s="10" t="s">
        <v>40</v>
      </c>
      <c r="K298" s="10" t="s">
        <v>41</v>
      </c>
      <c r="L298" s="10">
        <v>26.56</v>
      </c>
      <c r="M298" s="10">
        <v>44.0</v>
      </c>
      <c r="N298" s="10">
        <v>17.34</v>
      </c>
      <c r="O298" s="10">
        <v>17.0</v>
      </c>
      <c r="P298" s="10">
        <v>8.0</v>
      </c>
      <c r="Q298" s="10">
        <v>9.0</v>
      </c>
      <c r="R298" s="10">
        <v>6.91</v>
      </c>
      <c r="S298" s="10">
        <v>13.0</v>
      </c>
      <c r="T298" s="10">
        <v>4.8</v>
      </c>
      <c r="U298" s="10">
        <v>4.0</v>
      </c>
      <c r="V298" s="10">
        <v>4.0</v>
      </c>
      <c r="W298" s="10">
        <v>0.0</v>
      </c>
      <c r="X298" s="10">
        <v>5.0</v>
      </c>
      <c r="Y298" s="10">
        <v>1.0</v>
      </c>
      <c r="Z298" s="10">
        <v>4.0</v>
      </c>
      <c r="AA298" s="10">
        <v>2.0</v>
      </c>
      <c r="AB298" s="10">
        <v>3.0</v>
      </c>
      <c r="AC298" s="11" t="s">
        <v>153</v>
      </c>
      <c r="AD298" s="10" t="s">
        <v>464</v>
      </c>
      <c r="AE298" s="9" t="str">
        <f>IFERROR(__xludf.DUMMYFUNCTION("GOOGLETRANSLATE(AD298,""pt"",""en"")"),"unlikely")</f>
        <v>unlikely</v>
      </c>
      <c r="AF298" s="10"/>
      <c r="AG298" s="9"/>
      <c r="AH298" s="10"/>
      <c r="AI298" s="9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</row>
    <row r="299">
      <c r="A299" s="9">
        <v>374.0</v>
      </c>
      <c r="B299" s="9">
        <v>16.0</v>
      </c>
      <c r="C299" s="10">
        <v>31.0</v>
      </c>
      <c r="D299" s="9">
        <v>1.0</v>
      </c>
      <c r="E299" s="10" t="s">
        <v>124</v>
      </c>
      <c r="F299" s="10">
        <v>2.0</v>
      </c>
      <c r="G299" s="10">
        <v>1.0</v>
      </c>
      <c r="H299" s="10" t="s">
        <v>102</v>
      </c>
      <c r="I299" s="9">
        <v>1.0</v>
      </c>
      <c r="J299" s="9" t="s">
        <v>40</v>
      </c>
      <c r="K299" s="9" t="s">
        <v>50</v>
      </c>
      <c r="L299" s="10">
        <v>19.1</v>
      </c>
      <c r="M299" s="10">
        <v>23.0</v>
      </c>
      <c r="N299" s="10">
        <v>12.39</v>
      </c>
      <c r="O299" s="10">
        <v>5.0</v>
      </c>
      <c r="P299" s="10">
        <v>1.0</v>
      </c>
      <c r="Q299" s="10">
        <v>4.0</v>
      </c>
      <c r="R299" s="10">
        <v>9.14</v>
      </c>
      <c r="S299" s="10">
        <v>10.0</v>
      </c>
      <c r="T299" s="10">
        <v>8.69</v>
      </c>
      <c r="U299" s="10">
        <v>1.0</v>
      </c>
      <c r="V299" s="10">
        <v>1.0</v>
      </c>
      <c r="W299" s="10">
        <v>0.0</v>
      </c>
      <c r="X299" s="10">
        <v>5.0</v>
      </c>
      <c r="Y299" s="10">
        <v>2.0</v>
      </c>
      <c r="Z299" s="10">
        <v>3.0</v>
      </c>
      <c r="AA299" s="10">
        <v>0.0</v>
      </c>
      <c r="AB299" s="10">
        <v>5.0</v>
      </c>
      <c r="AC299" s="11" t="s">
        <v>144</v>
      </c>
      <c r="AD299" s="10" t="s">
        <v>464</v>
      </c>
      <c r="AE299" s="9" t="str">
        <f>IFERROR(__xludf.DUMMYFUNCTION("GOOGLETRANSLATE(AD299,""pt"",""en"")"),"unlikely")</f>
        <v>unlikely</v>
      </c>
      <c r="AF299" s="10"/>
      <c r="AG299" s="9"/>
      <c r="AH299" s="10"/>
      <c r="AI299" s="9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</row>
    <row r="300">
      <c r="A300" s="9">
        <v>92.0</v>
      </c>
      <c r="B300" s="10">
        <v>8.0</v>
      </c>
      <c r="C300" s="10">
        <v>16.0</v>
      </c>
      <c r="D300" s="9">
        <v>2.0</v>
      </c>
      <c r="E300" s="10" t="s">
        <v>115</v>
      </c>
      <c r="F300" s="10">
        <v>2.0</v>
      </c>
      <c r="G300" s="10">
        <v>2.0</v>
      </c>
      <c r="H300" s="10" t="s">
        <v>102</v>
      </c>
      <c r="I300" s="10">
        <v>1.0</v>
      </c>
      <c r="J300" s="10" t="s">
        <v>40</v>
      </c>
      <c r="K300" s="10" t="s">
        <v>41</v>
      </c>
      <c r="L300" s="10">
        <v>39.46</v>
      </c>
      <c r="M300" s="10">
        <v>72.0</v>
      </c>
      <c r="N300" s="10">
        <v>25.44</v>
      </c>
      <c r="O300" s="10">
        <v>24.0</v>
      </c>
      <c r="P300" s="10">
        <v>8.0</v>
      </c>
      <c r="Q300" s="10">
        <v>16.0</v>
      </c>
      <c r="R300" s="10">
        <v>10.03</v>
      </c>
      <c r="S300" s="10">
        <v>18.0</v>
      </c>
      <c r="T300" s="10">
        <v>7.79</v>
      </c>
      <c r="U300" s="10">
        <v>1.0</v>
      </c>
      <c r="V300" s="10">
        <v>1.0</v>
      </c>
      <c r="W300" s="10">
        <v>0.0</v>
      </c>
      <c r="X300" s="10">
        <v>6.0</v>
      </c>
      <c r="Y300" s="10">
        <v>4.0</v>
      </c>
      <c r="Z300" s="10">
        <v>2.0</v>
      </c>
      <c r="AA300" s="10">
        <v>2.0</v>
      </c>
      <c r="AB300" s="10">
        <v>4.0</v>
      </c>
      <c r="AC300" s="11" t="s">
        <v>62</v>
      </c>
      <c r="AD300" s="10" t="s">
        <v>615</v>
      </c>
      <c r="AE300" s="9" t="str">
        <f>IFERROR(__xludf.DUMMYFUNCTION("GOOGLETRANSLATE(AD300,""pt"",""en"")"),"No difficult passage")</f>
        <v>No difficult passage</v>
      </c>
      <c r="AF300" s="10"/>
      <c r="AG300" s="9"/>
      <c r="AH300" s="10"/>
      <c r="AI300" s="9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</row>
    <row r="301">
      <c r="A301" s="9">
        <v>207.0</v>
      </c>
      <c r="B301" s="10">
        <v>2.0</v>
      </c>
      <c r="C301" s="10">
        <v>3.0</v>
      </c>
      <c r="D301" s="9">
        <v>1.0</v>
      </c>
      <c r="E301" s="10" t="s">
        <v>204</v>
      </c>
      <c r="F301" s="10">
        <v>3.0</v>
      </c>
      <c r="G301" s="10">
        <v>1.0</v>
      </c>
      <c r="H301" s="10" t="s">
        <v>102</v>
      </c>
      <c r="I301" s="10">
        <v>1.0</v>
      </c>
      <c r="J301" s="10" t="s">
        <v>40</v>
      </c>
      <c r="K301" s="10" t="s">
        <v>57</v>
      </c>
      <c r="L301" s="10">
        <v>50.73</v>
      </c>
      <c r="M301" s="10">
        <v>83.0</v>
      </c>
      <c r="N301" s="10">
        <v>24.86</v>
      </c>
      <c r="O301" s="10">
        <v>32.0</v>
      </c>
      <c r="P301" s="10">
        <v>12.0</v>
      </c>
      <c r="Q301" s="10">
        <v>20.0</v>
      </c>
      <c r="R301" s="10">
        <v>26.37</v>
      </c>
      <c r="S301" s="10">
        <v>41.0</v>
      </c>
      <c r="T301" s="10">
        <v>12.7</v>
      </c>
      <c r="U301" s="10">
        <v>12.0</v>
      </c>
      <c r="V301" s="10">
        <v>6.0</v>
      </c>
      <c r="W301" s="10">
        <v>6.0</v>
      </c>
      <c r="X301" s="10">
        <v>8.0</v>
      </c>
      <c r="Y301" s="10">
        <v>8.0</v>
      </c>
      <c r="Z301" s="10">
        <v>0.0</v>
      </c>
      <c r="AA301" s="10">
        <v>7.0</v>
      </c>
      <c r="AB301" s="10">
        <v>1.0</v>
      </c>
      <c r="AC301" s="11" t="s">
        <v>97</v>
      </c>
      <c r="AD301" s="10" t="s">
        <v>616</v>
      </c>
      <c r="AE301" s="9" t="str">
        <f>IFERROR(__xludf.DUMMYFUNCTION("GOOGLETRANSLATE(AD301,""pt"",""en"")"),"no difficulty")</f>
        <v>no difficulty</v>
      </c>
      <c r="AF301" s="10"/>
      <c r="AG301" s="9"/>
      <c r="AH301" s="10"/>
      <c r="AI301" s="9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</row>
    <row r="302">
      <c r="A302" s="9">
        <v>255.0</v>
      </c>
      <c r="B302" s="10">
        <v>6.0</v>
      </c>
      <c r="C302" s="10">
        <v>11.0</v>
      </c>
      <c r="D302" s="9">
        <v>1.0</v>
      </c>
      <c r="E302" s="10" t="s">
        <v>204</v>
      </c>
      <c r="F302" s="10">
        <v>3.0</v>
      </c>
      <c r="G302" s="10">
        <v>1.0</v>
      </c>
      <c r="H302" s="10" t="s">
        <v>102</v>
      </c>
      <c r="I302" s="10">
        <v>1.0</v>
      </c>
      <c r="J302" s="10" t="s">
        <v>40</v>
      </c>
      <c r="K302" s="10" t="s">
        <v>50</v>
      </c>
      <c r="L302" s="10">
        <v>33.1</v>
      </c>
      <c r="M302" s="10">
        <v>51.0</v>
      </c>
      <c r="N302" s="10">
        <v>17.72</v>
      </c>
      <c r="O302" s="10">
        <v>19.0</v>
      </c>
      <c r="P302" s="10">
        <v>8.0</v>
      </c>
      <c r="Q302" s="10">
        <v>11.0</v>
      </c>
      <c r="R302" s="10">
        <v>15.57</v>
      </c>
      <c r="S302" s="10">
        <v>24.0</v>
      </c>
      <c r="T302" s="10">
        <v>7.84</v>
      </c>
      <c r="U302" s="10">
        <v>7.0</v>
      </c>
      <c r="V302" s="10">
        <v>4.0</v>
      </c>
      <c r="W302" s="10">
        <v>3.0</v>
      </c>
      <c r="X302" s="10">
        <v>8.0</v>
      </c>
      <c r="Y302" s="10">
        <v>6.0</v>
      </c>
      <c r="Z302" s="10">
        <v>2.0</v>
      </c>
      <c r="AA302" s="10">
        <v>5.0</v>
      </c>
      <c r="AB302" s="10">
        <v>2.0</v>
      </c>
      <c r="AC302" s="11" t="s">
        <v>202</v>
      </c>
      <c r="AD302" s="10" t="s">
        <v>464</v>
      </c>
      <c r="AE302" s="9" t="str">
        <f>IFERROR(__xludf.DUMMYFUNCTION("GOOGLETRANSLATE(AD302,""pt"",""en"")"),"unlikely")</f>
        <v>unlikely</v>
      </c>
      <c r="AF302" s="10"/>
      <c r="AG302" s="9"/>
      <c r="AH302" s="10"/>
      <c r="AI302" s="9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</row>
    <row r="303">
      <c r="A303" s="9">
        <v>267.0</v>
      </c>
      <c r="B303" s="10">
        <v>7.0</v>
      </c>
      <c r="C303" s="10">
        <v>13.0</v>
      </c>
      <c r="D303" s="9">
        <v>1.0</v>
      </c>
      <c r="E303" s="10" t="s">
        <v>204</v>
      </c>
      <c r="F303" s="10">
        <v>3.0</v>
      </c>
      <c r="G303" s="10">
        <v>1.0</v>
      </c>
      <c r="H303" s="10" t="s">
        <v>102</v>
      </c>
      <c r="I303" s="10">
        <v>1.0</v>
      </c>
      <c r="J303" s="10" t="s">
        <v>40</v>
      </c>
      <c r="K303" s="10" t="s">
        <v>57</v>
      </c>
      <c r="L303" s="10">
        <v>106.31</v>
      </c>
      <c r="M303" s="10">
        <v>199.0</v>
      </c>
      <c r="N303" s="10">
        <v>64.61</v>
      </c>
      <c r="O303" s="10">
        <v>90.0</v>
      </c>
      <c r="P303" s="10">
        <v>42.0</v>
      </c>
      <c r="Q303" s="10">
        <v>48.0</v>
      </c>
      <c r="R303" s="10">
        <v>42.43</v>
      </c>
      <c r="S303" s="10">
        <v>74.0</v>
      </c>
      <c r="T303" s="10">
        <v>22.6</v>
      </c>
      <c r="U303" s="10">
        <v>26.0</v>
      </c>
      <c r="V303" s="10">
        <v>17.0</v>
      </c>
      <c r="W303" s="10">
        <v>9.0</v>
      </c>
      <c r="X303" s="10">
        <v>21.0</v>
      </c>
      <c r="Y303" s="10">
        <v>18.0</v>
      </c>
      <c r="Z303" s="10">
        <v>3.0</v>
      </c>
      <c r="AA303" s="10">
        <v>17.0</v>
      </c>
      <c r="AB303" s="10">
        <v>3.0</v>
      </c>
      <c r="AC303" s="11" t="s">
        <v>109</v>
      </c>
      <c r="AD303" s="10" t="s">
        <v>617</v>
      </c>
      <c r="AE303" s="9" t="str">
        <f>IFERROR(__xludf.DUMMYFUNCTION("GOOGLETRANSLATE(AD303,""pt"",""en"")"),"quiet in the condition")</f>
        <v>quiet in the condition</v>
      </c>
      <c r="AF303" s="10"/>
      <c r="AG303" s="9"/>
      <c r="AH303" s="10"/>
      <c r="AI303" s="9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</row>
    <row r="304">
      <c r="A304" s="9">
        <v>279.0</v>
      </c>
      <c r="B304" s="10">
        <v>8.0</v>
      </c>
      <c r="C304" s="10">
        <v>15.0</v>
      </c>
      <c r="D304" s="9">
        <v>1.0</v>
      </c>
      <c r="E304" s="10" t="s">
        <v>204</v>
      </c>
      <c r="F304" s="10">
        <v>3.0</v>
      </c>
      <c r="G304" s="10">
        <v>1.0</v>
      </c>
      <c r="H304" s="10" t="s">
        <v>102</v>
      </c>
      <c r="I304" s="10">
        <v>1.0</v>
      </c>
      <c r="J304" s="10" t="s">
        <v>40</v>
      </c>
      <c r="K304" s="10" t="s">
        <v>41</v>
      </c>
      <c r="L304" s="10">
        <v>96.45</v>
      </c>
      <c r="M304" s="10">
        <v>128.0</v>
      </c>
      <c r="N304" s="10">
        <v>39.18</v>
      </c>
      <c r="O304" s="10">
        <v>54.0</v>
      </c>
      <c r="P304" s="10">
        <v>16.0</v>
      </c>
      <c r="Q304" s="10">
        <v>38.0</v>
      </c>
      <c r="R304" s="10">
        <v>51.85</v>
      </c>
      <c r="S304" s="10">
        <v>70.0</v>
      </c>
      <c r="T304" s="10">
        <v>23.1</v>
      </c>
      <c r="U304" s="10">
        <v>23.0</v>
      </c>
      <c r="V304" s="10">
        <v>10.0</v>
      </c>
      <c r="W304" s="10">
        <v>13.0</v>
      </c>
      <c r="X304" s="10">
        <v>21.0</v>
      </c>
      <c r="Y304" s="10">
        <v>18.0</v>
      </c>
      <c r="Z304" s="10">
        <v>3.0</v>
      </c>
      <c r="AA304" s="10">
        <v>16.0</v>
      </c>
      <c r="AB304" s="10">
        <v>4.0</v>
      </c>
      <c r="AC304" s="11" t="s">
        <v>220</v>
      </c>
      <c r="AD304" s="10" t="s">
        <v>618</v>
      </c>
      <c r="AE304" s="9" t="str">
        <f>IFERROR(__xludf.DUMMYFUNCTION("GOOGLETRANSLATE(AD304,""pt"",""en"")"),"There was no calculation, it was easy")</f>
        <v>There was no calculation, it was easy</v>
      </c>
      <c r="AF304" s="10"/>
      <c r="AG304" s="9"/>
      <c r="AH304" s="10"/>
      <c r="AI304" s="9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</row>
    <row r="305">
      <c r="A305" s="9">
        <v>291.0</v>
      </c>
      <c r="B305" s="10">
        <v>9.0</v>
      </c>
      <c r="C305" s="10">
        <v>17.0</v>
      </c>
      <c r="D305" s="9">
        <v>1.0</v>
      </c>
      <c r="E305" s="10" t="s">
        <v>204</v>
      </c>
      <c r="F305" s="10">
        <v>3.0</v>
      </c>
      <c r="G305" s="10">
        <v>1.0</v>
      </c>
      <c r="H305" s="10" t="s">
        <v>102</v>
      </c>
      <c r="I305" s="10">
        <v>1.0</v>
      </c>
      <c r="J305" s="10" t="s">
        <v>40</v>
      </c>
      <c r="K305" s="10" t="s">
        <v>57</v>
      </c>
      <c r="L305" s="10">
        <v>31.41</v>
      </c>
      <c r="M305" s="10">
        <v>49.0</v>
      </c>
      <c r="N305" s="10">
        <v>17.52</v>
      </c>
      <c r="O305" s="10">
        <v>21.0</v>
      </c>
      <c r="P305" s="10">
        <v>13.0</v>
      </c>
      <c r="Q305" s="10">
        <v>8.0</v>
      </c>
      <c r="R305" s="10">
        <v>17.78</v>
      </c>
      <c r="S305" s="10">
        <v>26.0</v>
      </c>
      <c r="T305" s="10">
        <v>9.98</v>
      </c>
      <c r="U305" s="10">
        <v>8.0</v>
      </c>
      <c r="V305" s="10">
        <v>6.0</v>
      </c>
      <c r="W305" s="10">
        <v>2.0</v>
      </c>
      <c r="X305" s="10">
        <v>6.0</v>
      </c>
      <c r="Y305" s="10">
        <v>5.0</v>
      </c>
      <c r="Z305" s="10">
        <v>1.0</v>
      </c>
      <c r="AA305" s="10">
        <v>5.0</v>
      </c>
      <c r="AB305" s="10">
        <v>0.0</v>
      </c>
      <c r="AC305" s="11" t="s">
        <v>54</v>
      </c>
      <c r="AD305" s="10" t="s">
        <v>619</v>
      </c>
      <c r="AE305" s="9" t="str">
        <f>IFERROR(__xludf.DUMMYFUNCTION("GOOGLETRANSLATE(AD305,""pt"",""en"")"),"If easy to validate")</f>
        <v>If easy to validate</v>
      </c>
      <c r="AF305" s="10"/>
      <c r="AG305" s="9"/>
      <c r="AH305" s="10"/>
      <c r="AI305" s="9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</row>
    <row r="306">
      <c r="A306" s="9">
        <v>315.0</v>
      </c>
      <c r="B306" s="10">
        <v>11.0</v>
      </c>
      <c r="C306" s="10">
        <v>21.0</v>
      </c>
      <c r="D306" s="9">
        <v>1.0</v>
      </c>
      <c r="E306" s="10" t="s">
        <v>204</v>
      </c>
      <c r="F306" s="10">
        <v>3.0</v>
      </c>
      <c r="G306" s="10">
        <v>1.0</v>
      </c>
      <c r="H306" s="10" t="s">
        <v>102</v>
      </c>
      <c r="I306" s="10">
        <v>1.0</v>
      </c>
      <c r="J306" s="10" t="s">
        <v>40</v>
      </c>
      <c r="K306" s="10" t="s">
        <v>41</v>
      </c>
      <c r="L306" s="10">
        <v>32.63</v>
      </c>
      <c r="M306" s="10">
        <v>37.0</v>
      </c>
      <c r="N306" s="10">
        <v>12.71</v>
      </c>
      <c r="O306" s="10">
        <v>13.0</v>
      </c>
      <c r="P306" s="10">
        <v>2.0</v>
      </c>
      <c r="Q306" s="10">
        <v>11.0</v>
      </c>
      <c r="R306" s="10">
        <v>12.82</v>
      </c>
      <c r="S306" s="10">
        <v>17.0</v>
      </c>
      <c r="T306" s="10">
        <v>5.92</v>
      </c>
      <c r="U306" s="10">
        <v>2.0</v>
      </c>
      <c r="V306" s="10">
        <v>1.0</v>
      </c>
      <c r="W306" s="10">
        <v>1.0</v>
      </c>
      <c r="X306" s="10">
        <v>6.0</v>
      </c>
      <c r="Y306" s="10">
        <v>5.0</v>
      </c>
      <c r="Z306" s="10">
        <v>1.0</v>
      </c>
      <c r="AA306" s="10">
        <v>5.0</v>
      </c>
      <c r="AB306" s="10">
        <v>1.0</v>
      </c>
      <c r="AC306" s="11" t="s">
        <v>78</v>
      </c>
      <c r="AD306" s="10" t="s">
        <v>620</v>
      </c>
      <c r="AE306" s="9" t="str">
        <f>IFERROR(__xludf.DUMMYFUNCTION("GOOGLETRANSLATE(AD306,""pt"",""en"")"),"Easy, only enters the if once")</f>
        <v>Easy, only enters the if once</v>
      </c>
      <c r="AF306" s="10"/>
      <c r="AG306" s="9"/>
      <c r="AH306" s="10"/>
      <c r="AI306" s="9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</row>
    <row r="307">
      <c r="A307" s="9">
        <v>375.0</v>
      </c>
      <c r="B307" s="9">
        <v>16.0</v>
      </c>
      <c r="C307" s="10">
        <v>31.0</v>
      </c>
      <c r="D307" s="9">
        <v>1.0</v>
      </c>
      <c r="E307" s="10" t="s">
        <v>204</v>
      </c>
      <c r="F307" s="10">
        <v>3.0</v>
      </c>
      <c r="G307" s="10">
        <v>1.0</v>
      </c>
      <c r="H307" s="10" t="s">
        <v>102</v>
      </c>
      <c r="I307" s="9">
        <v>1.0</v>
      </c>
      <c r="J307" s="9" t="s">
        <v>40</v>
      </c>
      <c r="K307" s="9" t="s">
        <v>41</v>
      </c>
      <c r="L307" s="10">
        <v>50.38</v>
      </c>
      <c r="M307" s="10">
        <v>76.0</v>
      </c>
      <c r="N307" s="10">
        <v>23.82</v>
      </c>
      <c r="O307" s="10">
        <v>33.0</v>
      </c>
      <c r="P307" s="10">
        <v>14.0</v>
      </c>
      <c r="Q307" s="10">
        <v>19.0</v>
      </c>
      <c r="R307" s="10">
        <v>25.41</v>
      </c>
      <c r="S307" s="10">
        <v>40.0</v>
      </c>
      <c r="T307" s="10">
        <v>12.04</v>
      </c>
      <c r="U307" s="10">
        <v>15.0</v>
      </c>
      <c r="V307" s="10">
        <v>9.0</v>
      </c>
      <c r="W307" s="10">
        <v>6.0</v>
      </c>
      <c r="X307" s="10">
        <v>9.0</v>
      </c>
      <c r="Y307" s="10">
        <v>9.0</v>
      </c>
      <c r="Z307" s="10">
        <v>0.0</v>
      </c>
      <c r="AA307" s="10">
        <v>9.0</v>
      </c>
      <c r="AB307" s="10">
        <v>0.0</v>
      </c>
      <c r="AC307" s="11" t="s">
        <v>144</v>
      </c>
      <c r="AD307" s="10" t="s">
        <v>621</v>
      </c>
      <c r="AE307" s="9" t="str">
        <f>IFERROR(__xludf.DUMMYFUNCTION("GOOGLETRANSLATE(AD307,""pt"",""en"")"),"Simple Code to Understand")</f>
        <v>Simple Code to Understand</v>
      </c>
      <c r="AF307" s="10"/>
      <c r="AG307" s="9"/>
      <c r="AH307" s="10"/>
      <c r="AI307" s="9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</row>
    <row r="308">
      <c r="A308" s="9">
        <v>381.0</v>
      </c>
      <c r="B308" s="9">
        <v>16.0</v>
      </c>
      <c r="C308" s="10">
        <v>31.0</v>
      </c>
      <c r="D308" s="9">
        <v>2.0</v>
      </c>
      <c r="E308" s="10" t="s">
        <v>135</v>
      </c>
      <c r="F308" s="10">
        <v>3.0</v>
      </c>
      <c r="G308" s="10">
        <v>2.0</v>
      </c>
      <c r="H308" s="10" t="s">
        <v>39</v>
      </c>
      <c r="I308" s="9">
        <v>1.0</v>
      </c>
      <c r="J308" s="9" t="s">
        <v>40</v>
      </c>
      <c r="K308" s="9" t="s">
        <v>50</v>
      </c>
      <c r="L308" s="10">
        <v>40.82</v>
      </c>
      <c r="M308" s="10">
        <v>67.0</v>
      </c>
      <c r="N308" s="10">
        <v>25.13</v>
      </c>
      <c r="O308" s="10">
        <v>24.0</v>
      </c>
      <c r="P308" s="10">
        <v>12.0</v>
      </c>
      <c r="Q308" s="10">
        <v>12.0</v>
      </c>
      <c r="R308" s="10">
        <v>13.42</v>
      </c>
      <c r="S308" s="10">
        <v>25.0</v>
      </c>
      <c r="T308" s="10">
        <v>9.12</v>
      </c>
      <c r="U308" s="10">
        <v>4.0</v>
      </c>
      <c r="V308" s="10">
        <v>4.0</v>
      </c>
      <c r="W308" s="10">
        <v>0.0</v>
      </c>
      <c r="X308" s="10">
        <v>8.0</v>
      </c>
      <c r="Y308" s="10">
        <v>3.0</v>
      </c>
      <c r="Z308" s="10">
        <v>5.0</v>
      </c>
      <c r="AA308" s="10">
        <v>4.0</v>
      </c>
      <c r="AB308" s="10">
        <v>4.0</v>
      </c>
      <c r="AC308" s="11" t="s">
        <v>144</v>
      </c>
      <c r="AD308" s="10" t="s">
        <v>464</v>
      </c>
      <c r="AE308" s="9" t="str">
        <f>IFERROR(__xludf.DUMMYFUNCTION("GOOGLETRANSLATE(AD308,""pt"",""en"")"),"unlikely")</f>
        <v>unlikely</v>
      </c>
      <c r="AF308" s="10"/>
      <c r="AG308" s="9"/>
      <c r="AH308" s="10"/>
      <c r="AI308" s="9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</row>
    <row r="309">
      <c r="A309" s="9">
        <v>9.0</v>
      </c>
      <c r="B309" s="10">
        <v>1.0</v>
      </c>
      <c r="C309" s="10">
        <v>2.0</v>
      </c>
      <c r="D309" s="9">
        <v>2.0</v>
      </c>
      <c r="E309" s="10" t="s">
        <v>101</v>
      </c>
      <c r="F309" s="10">
        <v>3.0</v>
      </c>
      <c r="G309" s="10">
        <v>2.0</v>
      </c>
      <c r="H309" s="10" t="s">
        <v>102</v>
      </c>
      <c r="I309" s="10">
        <v>1.0</v>
      </c>
      <c r="J309" s="10" t="s">
        <v>40</v>
      </c>
      <c r="K309" s="10" t="s">
        <v>41</v>
      </c>
      <c r="L309" s="10">
        <v>51.6</v>
      </c>
      <c r="M309" s="10">
        <v>46.0</v>
      </c>
      <c r="N309" s="10">
        <v>12.35</v>
      </c>
      <c r="O309" s="10">
        <v>15.0</v>
      </c>
      <c r="P309" s="10">
        <v>4.0</v>
      </c>
      <c r="Q309" s="10">
        <v>11.0</v>
      </c>
      <c r="R309" s="10">
        <v>21.23</v>
      </c>
      <c r="S309" s="10">
        <v>16.0</v>
      </c>
      <c r="T309" s="10">
        <v>4.59</v>
      </c>
      <c r="U309" s="10">
        <v>3.0</v>
      </c>
      <c r="V309" s="10">
        <v>0.0</v>
      </c>
      <c r="W309" s="10">
        <v>3.0</v>
      </c>
      <c r="X309" s="10">
        <v>5.0</v>
      </c>
      <c r="Y309" s="10">
        <v>3.0</v>
      </c>
      <c r="Z309" s="10">
        <v>2.0</v>
      </c>
      <c r="AA309" s="10">
        <v>1.0</v>
      </c>
      <c r="AB309" s="10">
        <v>4.0</v>
      </c>
      <c r="AC309" s="11" t="s">
        <v>81</v>
      </c>
      <c r="AD309" s="10" t="s">
        <v>52</v>
      </c>
      <c r="AE309" s="9" t="str">
        <f>IFERROR(__xludf.DUMMYFUNCTION("GOOGLETRANSLATE(AD309,""pt"",""en"")"),"no difficulty pointed out")</f>
        <v>no difficulty pointed out</v>
      </c>
      <c r="AF309" s="10" t="s">
        <v>622</v>
      </c>
      <c r="AG309" s="9" t="str">
        <f>IFERROR(__xludf.DUMMYFUNCTION("GOOGLETRANSLATE(AF309,""pt"",""en"")"),"It was easy to validate the if because it was exclusive")</f>
        <v>It was easy to validate the if because it was exclusive</v>
      </c>
      <c r="AH309" s="10"/>
      <c r="AI309" s="9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</row>
    <row r="310">
      <c r="A310" s="9">
        <v>33.0</v>
      </c>
      <c r="B310" s="10">
        <v>3.0</v>
      </c>
      <c r="C310" s="10">
        <v>6.0</v>
      </c>
      <c r="D310" s="9">
        <v>2.0</v>
      </c>
      <c r="E310" s="10" t="s">
        <v>101</v>
      </c>
      <c r="F310" s="10">
        <v>3.0</v>
      </c>
      <c r="G310" s="10">
        <v>2.0</v>
      </c>
      <c r="H310" s="10" t="s">
        <v>102</v>
      </c>
      <c r="I310" s="10">
        <v>1.0</v>
      </c>
      <c r="J310" s="10" t="s">
        <v>40</v>
      </c>
      <c r="K310" s="10" t="s">
        <v>57</v>
      </c>
      <c r="L310" s="10">
        <v>29.97</v>
      </c>
      <c r="M310" s="10">
        <v>36.0</v>
      </c>
      <c r="N310" s="10">
        <v>10.97</v>
      </c>
      <c r="O310" s="10">
        <v>17.0</v>
      </c>
      <c r="P310" s="10">
        <v>5.0</v>
      </c>
      <c r="Q310" s="10">
        <v>12.0</v>
      </c>
      <c r="R310" s="10">
        <v>15.39</v>
      </c>
      <c r="S310" s="10">
        <v>18.0</v>
      </c>
      <c r="T310" s="10">
        <v>5.51</v>
      </c>
      <c r="U310" s="10">
        <v>6.0</v>
      </c>
      <c r="V310" s="10">
        <v>3.0</v>
      </c>
      <c r="W310" s="10">
        <v>3.0</v>
      </c>
      <c r="X310" s="10">
        <v>6.0</v>
      </c>
      <c r="Y310" s="10">
        <v>1.0</v>
      </c>
      <c r="Z310" s="10">
        <v>5.0</v>
      </c>
      <c r="AA310" s="10">
        <v>0.0</v>
      </c>
      <c r="AB310" s="10">
        <v>5.0</v>
      </c>
      <c r="AC310" s="11" t="s">
        <v>160</v>
      </c>
      <c r="AD310" s="10" t="s">
        <v>623</v>
      </c>
      <c r="AE310" s="9" t="str">
        <f>IFERROR(__xludf.DUMMYFUNCTION("GOOGLETRANSLATE(AD310,""pt"",""en"")"),"easy standard")</f>
        <v>easy standard</v>
      </c>
      <c r="AF310" s="10"/>
      <c r="AG310" s="9"/>
      <c r="AH310" s="10"/>
      <c r="AI310" s="9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</row>
    <row r="311">
      <c r="A311" s="9">
        <v>45.0</v>
      </c>
      <c r="B311" s="10">
        <v>4.0</v>
      </c>
      <c r="C311" s="10">
        <v>8.0</v>
      </c>
      <c r="D311" s="9">
        <v>2.0</v>
      </c>
      <c r="E311" s="10" t="s">
        <v>101</v>
      </c>
      <c r="F311" s="10">
        <v>3.0</v>
      </c>
      <c r="G311" s="10">
        <v>2.0</v>
      </c>
      <c r="H311" s="10" t="s">
        <v>102</v>
      </c>
      <c r="I311" s="10">
        <v>1.0</v>
      </c>
      <c r="J311" s="10" t="s">
        <v>40</v>
      </c>
      <c r="K311" s="10" t="s">
        <v>50</v>
      </c>
      <c r="L311" s="10">
        <v>24.09</v>
      </c>
      <c r="M311" s="10">
        <v>31.0</v>
      </c>
      <c r="N311" s="10">
        <v>11.81</v>
      </c>
      <c r="O311" s="10">
        <v>15.0</v>
      </c>
      <c r="P311" s="10">
        <v>5.0</v>
      </c>
      <c r="Q311" s="10">
        <v>10.0</v>
      </c>
      <c r="R311" s="10">
        <v>9.22</v>
      </c>
      <c r="S311" s="10">
        <v>11.0</v>
      </c>
      <c r="T311" s="10">
        <v>4.53</v>
      </c>
      <c r="U311" s="10">
        <v>4.0</v>
      </c>
      <c r="V311" s="10">
        <v>3.0</v>
      </c>
      <c r="W311" s="10">
        <v>1.0</v>
      </c>
      <c r="X311" s="10">
        <v>3.0</v>
      </c>
      <c r="Y311" s="10">
        <v>1.0</v>
      </c>
      <c r="Z311" s="10">
        <v>2.0</v>
      </c>
      <c r="AA311" s="10">
        <v>1.0</v>
      </c>
      <c r="AB311" s="10">
        <v>2.0</v>
      </c>
      <c r="AC311" s="11" t="s">
        <v>153</v>
      </c>
      <c r="AD311" s="10" t="s">
        <v>624</v>
      </c>
      <c r="AE311" s="9" t="str">
        <f>IFERROR(__xludf.DUMMYFUNCTION("GOOGLETRANSLATE(AD311,""pt"",""en"")"),"simple to solve")</f>
        <v>simple to solve</v>
      </c>
      <c r="AF311" s="10"/>
      <c r="AG311" s="9"/>
      <c r="AH311" s="10"/>
      <c r="AI311" s="9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</row>
    <row r="312">
      <c r="A312" s="9">
        <v>81.0</v>
      </c>
      <c r="B312" s="10">
        <v>7.0</v>
      </c>
      <c r="C312" s="10">
        <v>14.0</v>
      </c>
      <c r="D312" s="9">
        <v>2.0</v>
      </c>
      <c r="E312" s="10" t="s">
        <v>101</v>
      </c>
      <c r="F312" s="10">
        <v>3.0</v>
      </c>
      <c r="G312" s="10">
        <v>2.0</v>
      </c>
      <c r="H312" s="10" t="s">
        <v>102</v>
      </c>
      <c r="I312" s="10">
        <v>1.0</v>
      </c>
      <c r="J312" s="10" t="s">
        <v>40</v>
      </c>
      <c r="K312" s="10" t="s">
        <v>41</v>
      </c>
      <c r="L312" s="10">
        <v>39.24</v>
      </c>
      <c r="M312" s="10">
        <v>43.0</v>
      </c>
      <c r="N312" s="10">
        <v>15.06</v>
      </c>
      <c r="O312" s="10">
        <v>17.0</v>
      </c>
      <c r="P312" s="10">
        <v>7.0</v>
      </c>
      <c r="Q312" s="10">
        <v>10.0</v>
      </c>
      <c r="R312" s="10">
        <v>16.57</v>
      </c>
      <c r="S312" s="10">
        <v>18.0</v>
      </c>
      <c r="T312" s="10">
        <v>5.86</v>
      </c>
      <c r="U312" s="10">
        <v>4.0</v>
      </c>
      <c r="V312" s="10">
        <v>0.0</v>
      </c>
      <c r="W312" s="10">
        <v>4.0</v>
      </c>
      <c r="X312" s="10">
        <v>6.0</v>
      </c>
      <c r="Y312" s="10">
        <v>5.0</v>
      </c>
      <c r="Z312" s="10">
        <v>1.0</v>
      </c>
      <c r="AA312" s="10">
        <v>4.0</v>
      </c>
      <c r="AB312" s="10">
        <v>1.0</v>
      </c>
      <c r="AC312" s="11" t="s">
        <v>118</v>
      </c>
      <c r="AD312" s="10" t="s">
        <v>154</v>
      </c>
      <c r="AE312" s="9" t="str">
        <f>IFERROR(__xludf.DUMMYFUNCTION("GOOGLETRANSLATE(AD312,""pt"",""en"")"),"IF CLARO")</f>
        <v>IF CLARO</v>
      </c>
      <c r="AF312" s="10"/>
      <c r="AG312" s="9"/>
      <c r="AH312" s="10"/>
      <c r="AI312" s="9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</row>
    <row r="313">
      <c r="A313" s="9">
        <v>117.0</v>
      </c>
      <c r="B313" s="10">
        <v>10.0</v>
      </c>
      <c r="C313" s="10">
        <v>20.0</v>
      </c>
      <c r="D313" s="9">
        <v>2.0</v>
      </c>
      <c r="E313" s="10" t="s">
        <v>101</v>
      </c>
      <c r="F313" s="10">
        <v>3.0</v>
      </c>
      <c r="G313" s="10">
        <v>2.0</v>
      </c>
      <c r="H313" s="10" t="s">
        <v>102</v>
      </c>
      <c r="I313" s="10">
        <v>1.0</v>
      </c>
      <c r="J313" s="10" t="s">
        <v>40</v>
      </c>
      <c r="K313" s="10" t="s">
        <v>57</v>
      </c>
      <c r="L313" s="10">
        <v>67.8</v>
      </c>
      <c r="M313" s="10">
        <v>93.0</v>
      </c>
      <c r="N313" s="10">
        <v>32.3</v>
      </c>
      <c r="O313" s="10">
        <v>48.0</v>
      </c>
      <c r="P313" s="10">
        <v>20.0</v>
      </c>
      <c r="Q313" s="10">
        <v>28.0</v>
      </c>
      <c r="R313" s="10">
        <v>41.98</v>
      </c>
      <c r="S313" s="10">
        <v>59.0</v>
      </c>
      <c r="T313" s="10">
        <v>22.11</v>
      </c>
      <c r="U313" s="10">
        <v>24.0</v>
      </c>
      <c r="V313" s="10">
        <v>12.0</v>
      </c>
      <c r="W313" s="10">
        <v>12.0</v>
      </c>
      <c r="X313" s="10">
        <v>11.0</v>
      </c>
      <c r="Y313" s="10">
        <v>5.0</v>
      </c>
      <c r="Z313" s="10">
        <v>6.0</v>
      </c>
      <c r="AA313" s="10">
        <v>2.0</v>
      </c>
      <c r="AB313" s="10">
        <v>9.0</v>
      </c>
      <c r="AC313" s="11" t="s">
        <v>197</v>
      </c>
      <c r="AD313" s="10" t="s">
        <v>464</v>
      </c>
      <c r="AE313" s="9" t="str">
        <f>IFERROR(__xludf.DUMMYFUNCTION("GOOGLETRANSLATE(AD313,""pt"",""en"")"),"unlikely")</f>
        <v>unlikely</v>
      </c>
      <c r="AF313" s="10"/>
      <c r="AG313" s="9"/>
      <c r="AH313" s="10"/>
      <c r="AI313" s="9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</row>
    <row r="314">
      <c r="A314" s="9">
        <v>112.0</v>
      </c>
      <c r="B314" s="10">
        <v>10.0</v>
      </c>
      <c r="C314" s="10">
        <v>20.0</v>
      </c>
      <c r="D314" s="9">
        <v>1.0</v>
      </c>
      <c r="E314" s="10" t="s">
        <v>169</v>
      </c>
      <c r="F314" s="10">
        <v>4.0</v>
      </c>
      <c r="G314" s="10">
        <v>1.0</v>
      </c>
      <c r="H314" s="10" t="s">
        <v>39</v>
      </c>
      <c r="I314" s="10">
        <v>1.0</v>
      </c>
      <c r="J314" s="10" t="s">
        <v>40</v>
      </c>
      <c r="K314" s="10" t="s">
        <v>50</v>
      </c>
      <c r="L314" s="10">
        <v>33.73</v>
      </c>
      <c r="M314" s="10">
        <v>44.0</v>
      </c>
      <c r="N314" s="10">
        <v>16.9</v>
      </c>
      <c r="O314" s="10">
        <v>19.0</v>
      </c>
      <c r="P314" s="10">
        <v>10.0</v>
      </c>
      <c r="Q314" s="10">
        <v>9.0</v>
      </c>
      <c r="R314" s="10">
        <v>13.71</v>
      </c>
      <c r="S314" s="10">
        <v>22.0</v>
      </c>
      <c r="T314" s="10">
        <v>7.74</v>
      </c>
      <c r="U314" s="10">
        <v>6.0</v>
      </c>
      <c r="V314" s="10">
        <v>6.0</v>
      </c>
      <c r="W314" s="10">
        <v>0.0</v>
      </c>
      <c r="X314" s="10">
        <v>5.0</v>
      </c>
      <c r="Y314" s="10">
        <v>0.0</v>
      </c>
      <c r="Z314" s="10">
        <v>5.0</v>
      </c>
      <c r="AA314" s="10">
        <v>0.0</v>
      </c>
      <c r="AB314" s="10">
        <v>6.0</v>
      </c>
      <c r="AC314" s="11" t="s">
        <v>197</v>
      </c>
      <c r="AD314" s="10" t="s">
        <v>615</v>
      </c>
      <c r="AE314" s="9" t="str">
        <f>IFERROR(__xludf.DUMMYFUNCTION("GOOGLETRANSLATE(AD314,""pt"",""en"")"),"No difficult passage")</f>
        <v>No difficult passage</v>
      </c>
      <c r="AF314" s="10"/>
      <c r="AG314" s="9"/>
      <c r="AH314" s="10"/>
      <c r="AI314" s="9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</row>
    <row r="315">
      <c r="A315" s="9">
        <v>358.0</v>
      </c>
      <c r="B315" s="10">
        <v>14.0</v>
      </c>
      <c r="C315" s="10">
        <v>27.0</v>
      </c>
      <c r="D315" s="9">
        <v>2.0</v>
      </c>
      <c r="E315" s="10" t="s">
        <v>261</v>
      </c>
      <c r="F315" s="10">
        <v>4.0</v>
      </c>
      <c r="G315" s="10">
        <v>2.0</v>
      </c>
      <c r="H315" s="10" t="s">
        <v>39</v>
      </c>
      <c r="I315" s="10">
        <v>2.0</v>
      </c>
      <c r="J315" s="10" t="s">
        <v>40</v>
      </c>
      <c r="K315" s="10" t="s">
        <v>41</v>
      </c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1" t="s">
        <v>69</v>
      </c>
      <c r="AD315" s="10" t="s">
        <v>464</v>
      </c>
      <c r="AE315" s="9" t="str">
        <f>IFERROR(__xludf.DUMMYFUNCTION("GOOGLETRANSLATE(AD315,""pt"",""en"")"),"unlikely")</f>
        <v>unlikely</v>
      </c>
      <c r="AF315" s="10"/>
      <c r="AG315" s="9"/>
      <c r="AH315" s="10"/>
      <c r="AI315" s="9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</row>
    <row r="316">
      <c r="A316" s="9">
        <v>185.0</v>
      </c>
      <c r="B316" s="9">
        <v>16.0</v>
      </c>
      <c r="C316" s="10">
        <v>32.0</v>
      </c>
      <c r="D316" s="9">
        <v>1.0</v>
      </c>
      <c r="E316" s="10" t="s">
        <v>136</v>
      </c>
      <c r="F316" s="10">
        <v>5.0</v>
      </c>
      <c r="G316" s="10">
        <v>1.0</v>
      </c>
      <c r="H316" s="10" t="s">
        <v>102</v>
      </c>
      <c r="I316" s="9">
        <v>1.0</v>
      </c>
      <c r="J316" s="10" t="s">
        <v>40</v>
      </c>
      <c r="K316" s="10"/>
      <c r="L316" s="10">
        <v>55.36</v>
      </c>
      <c r="M316" s="10">
        <v>84.0</v>
      </c>
      <c r="N316" s="10">
        <v>28.34</v>
      </c>
      <c r="O316" s="10">
        <v>33.0</v>
      </c>
      <c r="P316" s="10">
        <v>12.0</v>
      </c>
      <c r="Q316" s="10">
        <v>21.0</v>
      </c>
      <c r="R316" s="10">
        <v>18.8</v>
      </c>
      <c r="S316" s="10">
        <v>34.0</v>
      </c>
      <c r="T316" s="10">
        <v>12.1</v>
      </c>
      <c r="U316" s="10">
        <v>8.0</v>
      </c>
      <c r="V316" s="10">
        <v>8.0</v>
      </c>
      <c r="W316" s="10">
        <v>0.0</v>
      </c>
      <c r="X316" s="10">
        <v>9.0</v>
      </c>
      <c r="Y316" s="10">
        <v>3.0</v>
      </c>
      <c r="Z316" s="10">
        <v>6.0</v>
      </c>
      <c r="AA316" s="10">
        <v>4.0</v>
      </c>
      <c r="AB316" s="10">
        <v>5.0</v>
      </c>
      <c r="AC316" s="11" t="s">
        <v>146</v>
      </c>
      <c r="AD316" s="10" t="s">
        <v>616</v>
      </c>
      <c r="AE316" s="9" t="str">
        <f>IFERROR(__xludf.DUMMYFUNCTION("GOOGLETRANSLATE(AD316,""pt"",""en"")"),"no difficulty")</f>
        <v>no difficulty</v>
      </c>
      <c r="AF316" s="10" t="s">
        <v>625</v>
      </c>
      <c r="AG316" s="9" t="str">
        <f>IFERROR(__xludf.DUMMYFUNCTION("GOOGLETRANSLATE(AF316,""pt"",""en"")"),"observed the increase and the value of")</f>
        <v>observed the increase and the value of</v>
      </c>
      <c r="AH316" s="10"/>
      <c r="AI316" s="9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</row>
    <row r="317">
      <c r="A317" s="9">
        <v>197.0</v>
      </c>
      <c r="B317" s="10">
        <v>1.0</v>
      </c>
      <c r="C317" s="10">
        <v>1.0</v>
      </c>
      <c r="D317" s="9">
        <v>1.0</v>
      </c>
      <c r="E317" s="10" t="s">
        <v>121</v>
      </c>
      <c r="F317" s="10">
        <v>5.0</v>
      </c>
      <c r="G317" s="10">
        <v>1.0</v>
      </c>
      <c r="H317" s="10" t="s">
        <v>102</v>
      </c>
      <c r="I317" s="10">
        <v>1.0</v>
      </c>
      <c r="J317" s="10" t="s">
        <v>40</v>
      </c>
      <c r="K317" s="10" t="s">
        <v>41</v>
      </c>
      <c r="L317" s="10">
        <v>72.65</v>
      </c>
      <c r="M317" s="10">
        <v>108.0</v>
      </c>
      <c r="N317" s="10">
        <v>43.66</v>
      </c>
      <c r="O317" s="10">
        <v>49.0</v>
      </c>
      <c r="P317" s="10">
        <v>24.0</v>
      </c>
      <c r="Q317" s="10">
        <v>25.0</v>
      </c>
      <c r="R317" s="10">
        <v>37.68</v>
      </c>
      <c r="S317" s="10">
        <v>61.0</v>
      </c>
      <c r="T317" s="10">
        <v>28.58</v>
      </c>
      <c r="U317" s="10">
        <v>20.0</v>
      </c>
      <c r="V317" s="10">
        <v>20.0</v>
      </c>
      <c r="W317" s="10">
        <v>0.0</v>
      </c>
      <c r="X317" s="10">
        <v>14.0</v>
      </c>
      <c r="Y317" s="10">
        <v>9.0</v>
      </c>
      <c r="Z317" s="10">
        <v>5.0</v>
      </c>
      <c r="AA317" s="10">
        <v>9.0</v>
      </c>
      <c r="AB317" s="10">
        <v>4.0</v>
      </c>
      <c r="AC317" s="11" t="s">
        <v>51</v>
      </c>
      <c r="AD317" s="10" t="s">
        <v>52</v>
      </c>
      <c r="AE317" s="9" t="str">
        <f>IFERROR(__xludf.DUMMYFUNCTION("GOOGLETRANSLATE(AD317,""pt"",""en"")"),"no difficulty pointed out")</f>
        <v>no difficulty pointed out</v>
      </c>
      <c r="AF317" s="10"/>
      <c r="AG317" s="9"/>
      <c r="AH317" s="10"/>
      <c r="AI317" s="9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</row>
    <row r="318">
      <c r="A318" s="9">
        <v>18.0</v>
      </c>
      <c r="B318" s="10">
        <v>2.0</v>
      </c>
      <c r="C318" s="10">
        <v>4.0</v>
      </c>
      <c r="D318" s="9">
        <v>1.0</v>
      </c>
      <c r="E318" s="10" t="s">
        <v>314</v>
      </c>
      <c r="F318" s="10">
        <v>6.0</v>
      </c>
      <c r="G318" s="10">
        <v>1.0</v>
      </c>
      <c r="H318" s="10" t="s">
        <v>39</v>
      </c>
      <c r="I318" s="10">
        <v>1.0</v>
      </c>
      <c r="J318" s="10" t="s">
        <v>40</v>
      </c>
      <c r="K318" s="10" t="s">
        <v>41</v>
      </c>
      <c r="L318" s="10">
        <v>57.66</v>
      </c>
      <c r="M318" s="10">
        <v>79.0</v>
      </c>
      <c r="N318" s="10">
        <v>31.34</v>
      </c>
      <c r="O318" s="10">
        <v>37.0</v>
      </c>
      <c r="P318" s="10">
        <v>15.0</v>
      </c>
      <c r="Q318" s="10">
        <v>22.0</v>
      </c>
      <c r="R318" s="10">
        <v>7.93</v>
      </c>
      <c r="S318" s="10">
        <v>12.0</v>
      </c>
      <c r="T318" s="10">
        <v>5.36</v>
      </c>
      <c r="U318" s="10">
        <v>2.0</v>
      </c>
      <c r="V318" s="10">
        <v>2.0</v>
      </c>
      <c r="W318" s="10">
        <v>0.0</v>
      </c>
      <c r="X318" s="10">
        <v>7.0</v>
      </c>
      <c r="Y318" s="10">
        <v>5.0</v>
      </c>
      <c r="Z318" s="10">
        <v>2.0</v>
      </c>
      <c r="AA318" s="10">
        <v>6.0</v>
      </c>
      <c r="AB318" s="10">
        <v>1.0</v>
      </c>
      <c r="AC318" s="11" t="s">
        <v>58</v>
      </c>
      <c r="AD318" s="10" t="s">
        <v>464</v>
      </c>
      <c r="AE318" s="9" t="str">
        <f>IFERROR(__xludf.DUMMYFUNCTION("GOOGLETRANSLATE(AD318,""pt"",""en"")"),"unlikely")</f>
        <v>unlikely</v>
      </c>
      <c r="AF318" s="10"/>
      <c r="AG318" s="9"/>
      <c r="AH318" s="10"/>
      <c r="AI318" s="9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</row>
    <row r="319">
      <c r="A319" s="9">
        <v>30.0</v>
      </c>
      <c r="B319" s="10">
        <v>3.0</v>
      </c>
      <c r="C319" s="10">
        <v>6.0</v>
      </c>
      <c r="D319" s="9">
        <v>1.0</v>
      </c>
      <c r="E319" s="10" t="s">
        <v>314</v>
      </c>
      <c r="F319" s="10">
        <v>6.0</v>
      </c>
      <c r="G319" s="10">
        <v>1.0</v>
      </c>
      <c r="H319" s="10" t="s">
        <v>39</v>
      </c>
      <c r="I319" s="10">
        <v>1.0</v>
      </c>
      <c r="J319" s="10" t="s">
        <v>40</v>
      </c>
      <c r="K319" s="10" t="s">
        <v>41</v>
      </c>
      <c r="L319" s="10">
        <v>26.48</v>
      </c>
      <c r="M319" s="10">
        <v>31.0</v>
      </c>
      <c r="N319" s="10">
        <v>10.46</v>
      </c>
      <c r="O319" s="10">
        <v>12.0</v>
      </c>
      <c r="P319" s="10">
        <v>2.0</v>
      </c>
      <c r="Q319" s="10">
        <v>10.0</v>
      </c>
      <c r="R319" s="10">
        <v>5.21</v>
      </c>
      <c r="S319" s="10">
        <v>9.0</v>
      </c>
      <c r="T319" s="10">
        <v>2.72</v>
      </c>
      <c r="U319" s="10">
        <v>0.0</v>
      </c>
      <c r="V319" s="10">
        <v>0.0</v>
      </c>
      <c r="W319" s="10">
        <v>0.0</v>
      </c>
      <c r="X319" s="10">
        <v>6.0</v>
      </c>
      <c r="Y319" s="10">
        <v>6.0</v>
      </c>
      <c r="Z319" s="10">
        <v>0.0</v>
      </c>
      <c r="AA319" s="10">
        <v>5.0</v>
      </c>
      <c r="AB319" s="10">
        <v>0.0</v>
      </c>
      <c r="AC319" s="11" t="s">
        <v>160</v>
      </c>
      <c r="AD319" s="10" t="s">
        <v>626</v>
      </c>
      <c r="AE319" s="9" t="str">
        <f>IFERROR(__xludf.DUMMYFUNCTION("GOOGLETRANSLATE(AD319,""pt"",""en"")"),"did not find at all difficult")</f>
        <v>did not find at all difficult</v>
      </c>
      <c r="AF319" s="10"/>
      <c r="AG319" s="9"/>
      <c r="AH319" s="10"/>
      <c r="AI319" s="9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</row>
    <row r="320">
      <c r="A320" s="9">
        <v>42.0</v>
      </c>
      <c r="B320" s="10">
        <v>4.0</v>
      </c>
      <c r="C320" s="10">
        <v>8.0</v>
      </c>
      <c r="D320" s="9">
        <v>1.0</v>
      </c>
      <c r="E320" s="10" t="s">
        <v>314</v>
      </c>
      <c r="F320" s="10">
        <v>6.0</v>
      </c>
      <c r="G320" s="10">
        <v>1.0</v>
      </c>
      <c r="H320" s="10" t="s">
        <v>39</v>
      </c>
      <c r="I320" s="10">
        <v>1.0</v>
      </c>
      <c r="J320" s="10" t="s">
        <v>40</v>
      </c>
      <c r="K320" s="10" t="s">
        <v>41</v>
      </c>
      <c r="L320" s="10">
        <v>46.93</v>
      </c>
      <c r="M320" s="10">
        <v>55.0</v>
      </c>
      <c r="N320" s="10">
        <v>18.95</v>
      </c>
      <c r="O320" s="10">
        <v>21.0</v>
      </c>
      <c r="P320" s="10">
        <v>8.0</v>
      </c>
      <c r="Q320" s="10">
        <v>13.0</v>
      </c>
      <c r="R320" s="10">
        <v>3.09</v>
      </c>
      <c r="S320" s="10">
        <v>4.0</v>
      </c>
      <c r="T320" s="10">
        <v>1.51</v>
      </c>
      <c r="U320" s="10">
        <v>0.0</v>
      </c>
      <c r="V320" s="10">
        <v>0.0</v>
      </c>
      <c r="W320" s="10">
        <v>0.0</v>
      </c>
      <c r="X320" s="10">
        <v>3.0</v>
      </c>
      <c r="Y320" s="10">
        <v>3.0</v>
      </c>
      <c r="Z320" s="10">
        <v>0.0</v>
      </c>
      <c r="AA320" s="10">
        <v>3.0</v>
      </c>
      <c r="AB320" s="10">
        <v>0.0</v>
      </c>
      <c r="AC320" s="11" t="s">
        <v>153</v>
      </c>
      <c r="AD320" s="10" t="s">
        <v>627</v>
      </c>
      <c r="AE320" s="9" t="str">
        <f>IFERROR(__xludf.DUMMYFUNCTION("GOOGLETRANSLATE(AD320,""pt"",""en"")"),"Tudo Easy")</f>
        <v>Tudo Easy</v>
      </c>
      <c r="AF320" s="10"/>
      <c r="AG320" s="9"/>
      <c r="AH320" s="10"/>
      <c r="AI320" s="9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</row>
    <row r="321">
      <c r="A321" s="9">
        <v>54.0</v>
      </c>
      <c r="B321" s="10">
        <v>5.0</v>
      </c>
      <c r="C321" s="10">
        <v>10.0</v>
      </c>
      <c r="D321" s="9">
        <v>1.0</v>
      </c>
      <c r="E321" s="10" t="s">
        <v>314</v>
      </c>
      <c r="F321" s="10">
        <v>6.0</v>
      </c>
      <c r="G321" s="10">
        <v>1.0</v>
      </c>
      <c r="H321" s="10" t="s">
        <v>39</v>
      </c>
      <c r="I321" s="10">
        <v>1.0</v>
      </c>
      <c r="J321" s="10" t="s">
        <v>40</v>
      </c>
      <c r="K321" s="10" t="s">
        <v>50</v>
      </c>
      <c r="L321" s="10">
        <v>70.93</v>
      </c>
      <c r="M321" s="10">
        <v>106.0</v>
      </c>
      <c r="N321" s="10">
        <v>36.72</v>
      </c>
      <c r="O321" s="10">
        <v>45.0</v>
      </c>
      <c r="P321" s="10">
        <v>17.0</v>
      </c>
      <c r="Q321" s="10">
        <v>28.0</v>
      </c>
      <c r="R321" s="10">
        <v>7.65</v>
      </c>
      <c r="S321" s="10">
        <v>13.0</v>
      </c>
      <c r="T321" s="10">
        <v>4.73</v>
      </c>
      <c r="U321" s="10">
        <v>2.0</v>
      </c>
      <c r="V321" s="10">
        <v>2.0</v>
      </c>
      <c r="W321" s="10">
        <v>0.0</v>
      </c>
      <c r="X321" s="10">
        <v>8.0</v>
      </c>
      <c r="Y321" s="10">
        <v>8.0</v>
      </c>
      <c r="Z321" s="10">
        <v>0.0</v>
      </c>
      <c r="AA321" s="10">
        <v>7.0</v>
      </c>
      <c r="AB321" s="10">
        <v>0.0</v>
      </c>
      <c r="AC321" s="11" t="s">
        <v>90</v>
      </c>
      <c r="AD321" s="10" t="s">
        <v>464</v>
      </c>
      <c r="AE321" s="9" t="str">
        <f>IFERROR(__xludf.DUMMYFUNCTION("GOOGLETRANSLATE(AD321,""pt"",""en"")"),"unlikely")</f>
        <v>unlikely</v>
      </c>
      <c r="AF321" s="10"/>
      <c r="AG321" s="9"/>
      <c r="AH321" s="10"/>
      <c r="AI321" s="9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</row>
    <row r="322">
      <c r="A322" s="9">
        <v>66.0</v>
      </c>
      <c r="B322" s="10">
        <v>6.0</v>
      </c>
      <c r="C322" s="10">
        <v>12.0</v>
      </c>
      <c r="D322" s="9">
        <v>1.0</v>
      </c>
      <c r="E322" s="10" t="s">
        <v>314</v>
      </c>
      <c r="F322" s="10">
        <v>6.0</v>
      </c>
      <c r="G322" s="10">
        <v>1.0</v>
      </c>
      <c r="H322" s="10" t="s">
        <v>39</v>
      </c>
      <c r="I322" s="10">
        <v>1.0</v>
      </c>
      <c r="J322" s="10" t="s">
        <v>40</v>
      </c>
      <c r="K322" s="10" t="s">
        <v>41</v>
      </c>
      <c r="L322" s="10">
        <v>48.28</v>
      </c>
      <c r="M322" s="10">
        <v>62.0</v>
      </c>
      <c r="N322" s="10">
        <v>22.02</v>
      </c>
      <c r="O322" s="10">
        <v>25.0</v>
      </c>
      <c r="P322" s="10">
        <v>8.0</v>
      </c>
      <c r="Q322" s="10">
        <v>17.0</v>
      </c>
      <c r="R322" s="10">
        <v>13.29</v>
      </c>
      <c r="S322" s="10">
        <v>13.0</v>
      </c>
      <c r="T322" s="10">
        <v>5.56</v>
      </c>
      <c r="U322" s="10">
        <v>2.0</v>
      </c>
      <c r="V322" s="10">
        <v>2.0</v>
      </c>
      <c r="W322" s="10">
        <v>0.0</v>
      </c>
      <c r="X322" s="10">
        <v>5.0</v>
      </c>
      <c r="Y322" s="10">
        <v>5.0</v>
      </c>
      <c r="Z322" s="10">
        <v>0.0</v>
      </c>
      <c r="AA322" s="10">
        <v>4.0</v>
      </c>
      <c r="AB322" s="10">
        <v>1.0</v>
      </c>
      <c r="AC322" s="11" t="s">
        <v>194</v>
      </c>
      <c r="AD322" s="10" t="s">
        <v>464</v>
      </c>
      <c r="AE322" s="9" t="str">
        <f>IFERROR(__xludf.DUMMYFUNCTION("GOOGLETRANSLATE(AD322,""pt"",""en"")"),"unlikely")</f>
        <v>unlikely</v>
      </c>
      <c r="AF322" s="10" t="s">
        <v>628</v>
      </c>
      <c r="AG322" s="9" t="str">
        <f>IFERROR(__xludf.DUMMYFUNCTION("GOOGLETRANSLATE(AF322,""pt"",""en"")"),"Elem facilitated")</f>
        <v>Elem facilitated</v>
      </c>
      <c r="AH322" s="10"/>
      <c r="AI322" s="9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</row>
    <row r="323">
      <c r="A323" s="9">
        <v>78.0</v>
      </c>
      <c r="B323" s="10">
        <v>7.0</v>
      </c>
      <c r="C323" s="10">
        <v>14.0</v>
      </c>
      <c r="D323" s="9">
        <v>1.0</v>
      </c>
      <c r="E323" s="10" t="s">
        <v>314</v>
      </c>
      <c r="F323" s="10">
        <v>6.0</v>
      </c>
      <c r="G323" s="10">
        <v>1.0</v>
      </c>
      <c r="H323" s="10" t="s">
        <v>39</v>
      </c>
      <c r="I323" s="10">
        <v>1.0</v>
      </c>
      <c r="J323" s="10" t="s">
        <v>40</v>
      </c>
      <c r="K323" s="10" t="s">
        <v>57</v>
      </c>
      <c r="L323" s="10">
        <v>28.84</v>
      </c>
      <c r="M323" s="10">
        <v>40.0</v>
      </c>
      <c r="N323" s="10">
        <v>12.52</v>
      </c>
      <c r="O323" s="10">
        <v>17.0</v>
      </c>
      <c r="P323" s="10">
        <v>8.0</v>
      </c>
      <c r="Q323" s="10">
        <v>9.0</v>
      </c>
      <c r="R323" s="10">
        <v>0.6</v>
      </c>
      <c r="S323" s="10">
        <v>1.0</v>
      </c>
      <c r="T323" s="10">
        <v>0.27</v>
      </c>
      <c r="U323" s="10">
        <v>0.0</v>
      </c>
      <c r="V323" s="10">
        <v>0.0</v>
      </c>
      <c r="W323" s="10">
        <v>0.0</v>
      </c>
      <c r="X323" s="10">
        <v>1.0</v>
      </c>
      <c r="Y323" s="10">
        <v>1.0</v>
      </c>
      <c r="Z323" s="10">
        <v>0.0</v>
      </c>
      <c r="AA323" s="10">
        <v>1.0</v>
      </c>
      <c r="AB323" s="10">
        <v>0.0</v>
      </c>
      <c r="AC323" s="11" t="s">
        <v>118</v>
      </c>
      <c r="AD323" s="10" t="s">
        <v>464</v>
      </c>
      <c r="AE323" s="9" t="str">
        <f>IFERROR(__xludf.DUMMYFUNCTION("GOOGLETRANSLATE(AD323,""pt"",""en"")"),"unlikely")</f>
        <v>unlikely</v>
      </c>
      <c r="AF323" s="10"/>
      <c r="AG323" s="9"/>
      <c r="AH323" s="10"/>
      <c r="AI323" s="9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</row>
    <row r="324">
      <c r="A324" s="9">
        <v>126.0</v>
      </c>
      <c r="B324" s="10">
        <v>11.0</v>
      </c>
      <c r="C324" s="10">
        <v>22.0</v>
      </c>
      <c r="D324" s="9">
        <v>1.0</v>
      </c>
      <c r="E324" s="10" t="s">
        <v>314</v>
      </c>
      <c r="F324" s="10">
        <v>6.0</v>
      </c>
      <c r="G324" s="10">
        <v>1.0</v>
      </c>
      <c r="H324" s="10" t="s">
        <v>39</v>
      </c>
      <c r="I324" s="10">
        <v>1.0</v>
      </c>
      <c r="J324" s="10" t="s">
        <v>40</v>
      </c>
      <c r="K324" s="10" t="s">
        <v>41</v>
      </c>
      <c r="L324" s="10">
        <v>37.2</v>
      </c>
      <c r="M324" s="10">
        <v>53.0</v>
      </c>
      <c r="N324" s="10">
        <v>17.61</v>
      </c>
      <c r="O324" s="10">
        <v>21.0</v>
      </c>
      <c r="P324" s="10">
        <v>8.0</v>
      </c>
      <c r="Q324" s="10">
        <v>13.0</v>
      </c>
      <c r="R324" s="10">
        <v>6.01</v>
      </c>
      <c r="S324" s="10">
        <v>9.0</v>
      </c>
      <c r="T324" s="10">
        <v>4.68</v>
      </c>
      <c r="U324" s="10">
        <v>2.0</v>
      </c>
      <c r="V324" s="10">
        <v>2.0</v>
      </c>
      <c r="W324" s="10">
        <v>0.0</v>
      </c>
      <c r="X324" s="10">
        <v>4.0</v>
      </c>
      <c r="Y324" s="10">
        <v>4.0</v>
      </c>
      <c r="Z324" s="10">
        <v>0.0</v>
      </c>
      <c r="AA324" s="10">
        <v>4.0</v>
      </c>
      <c r="AB324" s="10">
        <v>0.0</v>
      </c>
      <c r="AC324" s="11" t="s">
        <v>86</v>
      </c>
      <c r="AD324" s="10" t="s">
        <v>464</v>
      </c>
      <c r="AE324" s="9" t="str">
        <f>IFERROR(__xludf.DUMMYFUNCTION("GOOGLETRANSLATE(AD324,""pt"",""en"")"),"unlikely")</f>
        <v>unlikely</v>
      </c>
      <c r="AF324" s="10"/>
      <c r="AG324" s="9"/>
      <c r="AH324" s="10"/>
      <c r="AI324" s="9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</row>
    <row r="325">
      <c r="A325" s="9">
        <v>138.0</v>
      </c>
      <c r="B325" s="10">
        <v>12.0</v>
      </c>
      <c r="C325" s="10">
        <v>24.0</v>
      </c>
      <c r="D325" s="9">
        <v>1.0</v>
      </c>
      <c r="E325" s="10" t="s">
        <v>314</v>
      </c>
      <c r="F325" s="10">
        <v>6.0</v>
      </c>
      <c r="G325" s="10">
        <v>1.0</v>
      </c>
      <c r="H325" s="10" t="s">
        <v>39</v>
      </c>
      <c r="I325" s="10">
        <v>1.0</v>
      </c>
      <c r="J325" s="10" t="s">
        <v>40</v>
      </c>
      <c r="K325" s="10" t="s">
        <v>50</v>
      </c>
      <c r="L325" s="10">
        <v>21.39</v>
      </c>
      <c r="M325" s="10">
        <v>13.0</v>
      </c>
      <c r="N325" s="10">
        <v>3.55</v>
      </c>
      <c r="O325" s="10">
        <v>4.0</v>
      </c>
      <c r="P325" s="10">
        <v>1.0</v>
      </c>
      <c r="Q325" s="10">
        <v>3.0</v>
      </c>
      <c r="R325" s="10">
        <v>2.54</v>
      </c>
      <c r="S325" s="10">
        <v>2.0</v>
      </c>
      <c r="T325" s="10">
        <v>0.61</v>
      </c>
      <c r="U325" s="10">
        <v>0.0</v>
      </c>
      <c r="V325" s="10">
        <v>0.0</v>
      </c>
      <c r="W325" s="10">
        <v>0.0</v>
      </c>
      <c r="X325" s="10">
        <v>1.0</v>
      </c>
      <c r="Y325" s="10">
        <v>1.0</v>
      </c>
      <c r="Z325" s="10">
        <v>0.0</v>
      </c>
      <c r="AA325" s="10">
        <v>1.0</v>
      </c>
      <c r="AB325" s="10">
        <v>0.0</v>
      </c>
      <c r="AC325" s="11" t="s">
        <v>212</v>
      </c>
      <c r="AD325" s="10" t="s">
        <v>375</v>
      </c>
      <c r="AE325" s="9" t="str">
        <f>IFERROR(__xludf.DUMMYFUNCTION("GOOGLETRANSLATE(AD325,""pt"",""en"")"),"quiet")</f>
        <v>quiet</v>
      </c>
      <c r="AF325" s="10" t="s">
        <v>629</v>
      </c>
      <c r="AG325" s="9" t="str">
        <f>IFERROR(__xludf.DUMMYFUNCTION("GOOGLETRANSLATE(AF325,""pt"",""en"")"),"checked limit and saw if I entered the if")</f>
        <v>checked limit and saw if I entered the if</v>
      </c>
      <c r="AH325" s="10"/>
      <c r="AI325" s="9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</row>
    <row r="326">
      <c r="A326" s="9">
        <v>150.0</v>
      </c>
      <c r="B326" s="10">
        <v>13.0</v>
      </c>
      <c r="C326" s="10">
        <v>26.0</v>
      </c>
      <c r="D326" s="9">
        <v>1.0</v>
      </c>
      <c r="E326" s="10" t="s">
        <v>314</v>
      </c>
      <c r="F326" s="10">
        <v>6.0</v>
      </c>
      <c r="G326" s="10">
        <v>1.0</v>
      </c>
      <c r="H326" s="10" t="s">
        <v>39</v>
      </c>
      <c r="I326" s="10">
        <v>1.0</v>
      </c>
      <c r="J326" s="10" t="s">
        <v>40</v>
      </c>
      <c r="K326" s="10" t="s">
        <v>41</v>
      </c>
      <c r="L326" s="10">
        <v>33.43</v>
      </c>
      <c r="M326" s="10">
        <v>63.0</v>
      </c>
      <c r="N326" s="10">
        <v>21.88</v>
      </c>
      <c r="O326" s="10">
        <v>24.0</v>
      </c>
      <c r="P326" s="10">
        <v>11.0</v>
      </c>
      <c r="Q326" s="10">
        <v>13.0</v>
      </c>
      <c r="R326" s="10">
        <v>4.69</v>
      </c>
      <c r="S326" s="10">
        <v>8.0</v>
      </c>
      <c r="T326" s="10">
        <v>3.54</v>
      </c>
      <c r="U326" s="10">
        <v>0.0</v>
      </c>
      <c r="V326" s="10">
        <v>0.0</v>
      </c>
      <c r="W326" s="10">
        <v>0.0</v>
      </c>
      <c r="X326" s="10">
        <v>4.0</v>
      </c>
      <c r="Y326" s="10">
        <v>4.0</v>
      </c>
      <c r="Z326" s="10">
        <v>0.0</v>
      </c>
      <c r="AA326" s="10">
        <v>3.0</v>
      </c>
      <c r="AB326" s="10">
        <v>1.0</v>
      </c>
      <c r="AC326" s="11" t="s">
        <v>141</v>
      </c>
      <c r="AD326" s="10" t="s">
        <v>464</v>
      </c>
      <c r="AE326" s="9" t="str">
        <f>IFERROR(__xludf.DUMMYFUNCTION("GOOGLETRANSLATE(AD326,""pt"",""en"")"),"unlikely")</f>
        <v>unlikely</v>
      </c>
      <c r="AF326" s="10" t="s">
        <v>630</v>
      </c>
      <c r="AG326" s="9" t="str">
        <f>IFERROR(__xludf.DUMMYFUNCTION("GOOGLETRANSLATE(AF326,""pt"",""en"")"),"verified the limit &lt;")</f>
        <v>verified the limit &lt;</v>
      </c>
      <c r="AH326" s="10"/>
      <c r="AI326" s="9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</row>
    <row r="327">
      <c r="A327" s="9">
        <v>162.0</v>
      </c>
      <c r="B327" s="10">
        <v>14.0</v>
      </c>
      <c r="C327" s="10">
        <v>28.0</v>
      </c>
      <c r="D327" s="9">
        <v>1.0</v>
      </c>
      <c r="E327" s="10" t="s">
        <v>314</v>
      </c>
      <c r="F327" s="10">
        <v>6.0</v>
      </c>
      <c r="G327" s="10">
        <v>1.0</v>
      </c>
      <c r="H327" s="10" t="s">
        <v>39</v>
      </c>
      <c r="I327" s="10">
        <v>1.0</v>
      </c>
      <c r="J327" s="10" t="s">
        <v>40</v>
      </c>
      <c r="K327" s="10" t="s">
        <v>50</v>
      </c>
      <c r="L327" s="10">
        <v>45.89</v>
      </c>
      <c r="M327" s="10">
        <v>59.0</v>
      </c>
      <c r="N327" s="10">
        <v>23.7</v>
      </c>
      <c r="O327" s="10">
        <v>24.0</v>
      </c>
      <c r="P327" s="10">
        <v>10.0</v>
      </c>
      <c r="Q327" s="10">
        <v>14.0</v>
      </c>
      <c r="R327" s="10">
        <v>9.13</v>
      </c>
      <c r="S327" s="10">
        <v>15.0</v>
      </c>
      <c r="T327" s="10">
        <v>5.42</v>
      </c>
      <c r="U327" s="10">
        <v>3.0</v>
      </c>
      <c r="V327" s="10">
        <v>3.0</v>
      </c>
      <c r="W327" s="10">
        <v>0.0</v>
      </c>
      <c r="X327" s="10">
        <v>8.0</v>
      </c>
      <c r="Y327" s="10">
        <v>6.0</v>
      </c>
      <c r="Z327" s="10">
        <v>2.0</v>
      </c>
      <c r="AA327" s="10">
        <v>7.0</v>
      </c>
      <c r="AB327" s="10">
        <v>1.0</v>
      </c>
      <c r="AC327" s="11" t="s">
        <v>72</v>
      </c>
      <c r="AD327" s="10" t="s">
        <v>464</v>
      </c>
      <c r="AE327" s="9" t="str">
        <f>IFERROR(__xludf.DUMMYFUNCTION("GOOGLETRANSLATE(AD327,""pt"",""en"")"),"unlikely")</f>
        <v>unlikely</v>
      </c>
      <c r="AF327" s="10" t="s">
        <v>631</v>
      </c>
      <c r="AG327" s="9" t="str">
        <f>IFERROR(__xludf.DUMMYFUNCTION("GOOGLETRANSLATE(AF327,""pt"",""en"")"),"evaluated the limit")</f>
        <v>evaluated the limit</v>
      </c>
      <c r="AH327" s="10"/>
      <c r="AI327" s="9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</row>
    <row r="328">
      <c r="A328" s="9">
        <v>174.0</v>
      </c>
      <c r="B328" s="10">
        <v>15.0</v>
      </c>
      <c r="C328" s="10">
        <v>30.0</v>
      </c>
      <c r="D328" s="9">
        <v>1.0</v>
      </c>
      <c r="E328" s="10" t="s">
        <v>314</v>
      </c>
      <c r="F328" s="10">
        <v>6.0</v>
      </c>
      <c r="G328" s="10">
        <v>1.0</v>
      </c>
      <c r="H328" s="10" t="s">
        <v>39</v>
      </c>
      <c r="I328" s="10">
        <v>1.0</v>
      </c>
      <c r="J328" s="10" t="s">
        <v>40</v>
      </c>
      <c r="K328" s="10" t="s">
        <v>50</v>
      </c>
      <c r="L328" s="10">
        <v>15.38</v>
      </c>
      <c r="M328" s="10">
        <v>19.0</v>
      </c>
      <c r="N328" s="10">
        <v>5.33</v>
      </c>
      <c r="O328" s="10">
        <v>7.0</v>
      </c>
      <c r="P328" s="10">
        <v>2.0</v>
      </c>
      <c r="Q328" s="10">
        <v>5.0</v>
      </c>
      <c r="R328" s="10">
        <v>1.47</v>
      </c>
      <c r="S328" s="10">
        <v>2.0</v>
      </c>
      <c r="T328" s="10">
        <v>0.43</v>
      </c>
      <c r="U328" s="10">
        <v>0.0</v>
      </c>
      <c r="V328" s="10">
        <v>0.0</v>
      </c>
      <c r="W328" s="10">
        <v>0.0</v>
      </c>
      <c r="X328" s="10">
        <v>1.0</v>
      </c>
      <c r="Y328" s="10">
        <v>1.0</v>
      </c>
      <c r="Z328" s="10">
        <v>0.0</v>
      </c>
      <c r="AA328" s="10">
        <v>1.0</v>
      </c>
      <c r="AB328" s="10">
        <v>0.0</v>
      </c>
      <c r="AC328" s="11" t="s">
        <v>245</v>
      </c>
      <c r="AD328" s="10" t="s">
        <v>632</v>
      </c>
      <c r="AE328" s="9" t="str">
        <f>IFERROR(__xludf.DUMMYFUNCTION("GOOGLETRANSLATE(AD328,""pt"",""en"")"),"Only 2 elements were less than 50")</f>
        <v>Only 2 elements were less than 50</v>
      </c>
      <c r="AF328" s="10" t="s">
        <v>633</v>
      </c>
      <c r="AG328" s="9" t="str">
        <f>IFERROR(__xludf.DUMMYFUNCTION("GOOGLETRANSLATE(AF328,""pt"",""en"")"),"He took total and increased 2x")</f>
        <v>He took total and increased 2x</v>
      </c>
      <c r="AH328" s="10"/>
      <c r="AI328" s="9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</row>
    <row r="329">
      <c r="A329" s="9">
        <v>222.0</v>
      </c>
      <c r="B329" s="10">
        <v>3.0</v>
      </c>
      <c r="C329" s="10">
        <v>5.0</v>
      </c>
      <c r="D329" s="9">
        <v>1.0</v>
      </c>
      <c r="E329" s="10" t="s">
        <v>291</v>
      </c>
      <c r="F329" s="10">
        <v>6.0</v>
      </c>
      <c r="G329" s="10">
        <v>1.0</v>
      </c>
      <c r="H329" s="10" t="s">
        <v>102</v>
      </c>
      <c r="I329" s="10">
        <v>1.0</v>
      </c>
      <c r="J329" s="10" t="s">
        <v>40</v>
      </c>
      <c r="K329" s="10" t="s">
        <v>41</v>
      </c>
      <c r="L329" s="10">
        <v>39.1</v>
      </c>
      <c r="M329" s="10">
        <v>54.0</v>
      </c>
      <c r="N329" s="10">
        <v>17.82</v>
      </c>
      <c r="O329" s="10">
        <v>17.0</v>
      </c>
      <c r="P329" s="10">
        <v>8.0</v>
      </c>
      <c r="Q329" s="10">
        <v>9.0</v>
      </c>
      <c r="R329" s="10">
        <v>9.04</v>
      </c>
      <c r="S329" s="10">
        <v>16.0</v>
      </c>
      <c r="T329" s="10">
        <v>5.39</v>
      </c>
      <c r="U329" s="10">
        <v>2.0</v>
      </c>
      <c r="V329" s="10">
        <v>2.0</v>
      </c>
      <c r="W329" s="10">
        <v>0.0</v>
      </c>
      <c r="X329" s="10">
        <v>7.0</v>
      </c>
      <c r="Y329" s="10">
        <v>6.0</v>
      </c>
      <c r="Z329" s="10">
        <v>1.0</v>
      </c>
      <c r="AA329" s="10">
        <v>5.0</v>
      </c>
      <c r="AB329" s="10">
        <v>2.0</v>
      </c>
      <c r="AC329" s="11" t="s">
        <v>249</v>
      </c>
      <c r="AD329" s="10" t="s">
        <v>375</v>
      </c>
      <c r="AE329" s="9" t="str">
        <f>IFERROR(__xludf.DUMMYFUNCTION("GOOGLETRANSLATE(AD329,""pt"",""en"")"),"quiet")</f>
        <v>quiet</v>
      </c>
      <c r="AF329" s="10"/>
      <c r="AG329" s="9"/>
      <c r="AH329" s="10"/>
      <c r="AI329" s="9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</row>
    <row r="330">
      <c r="A330" s="9">
        <v>204.0</v>
      </c>
      <c r="B330" s="10">
        <v>1.0</v>
      </c>
      <c r="C330" s="10">
        <v>1.0</v>
      </c>
      <c r="D330" s="9">
        <v>2.0</v>
      </c>
      <c r="E330" s="10" t="s">
        <v>157</v>
      </c>
      <c r="F330" s="10">
        <v>6.0</v>
      </c>
      <c r="G330" s="10">
        <v>2.0</v>
      </c>
      <c r="H330" s="10" t="s">
        <v>39</v>
      </c>
      <c r="I330" s="10">
        <v>1.0</v>
      </c>
      <c r="J330" s="10" t="s">
        <v>40</v>
      </c>
      <c r="K330" s="10" t="s">
        <v>41</v>
      </c>
      <c r="L330" s="10">
        <v>26.75</v>
      </c>
      <c r="M330" s="10">
        <v>41.0</v>
      </c>
      <c r="N330" s="10">
        <v>12.45</v>
      </c>
      <c r="O330" s="10">
        <v>17.0</v>
      </c>
      <c r="P330" s="10">
        <v>8.0</v>
      </c>
      <c r="Q330" s="10">
        <v>9.0</v>
      </c>
      <c r="R330" s="10">
        <v>3.53</v>
      </c>
      <c r="S330" s="10">
        <v>6.0</v>
      </c>
      <c r="T330" s="10">
        <v>2.16</v>
      </c>
      <c r="U330" s="10">
        <v>1.0</v>
      </c>
      <c r="V330" s="10">
        <v>1.0</v>
      </c>
      <c r="W330" s="10">
        <v>0.0</v>
      </c>
      <c r="X330" s="10">
        <v>4.0</v>
      </c>
      <c r="Y330" s="10">
        <v>4.0</v>
      </c>
      <c r="Z330" s="10">
        <v>0.0</v>
      </c>
      <c r="AA330" s="10">
        <v>3.0</v>
      </c>
      <c r="AB330" s="10">
        <v>1.0</v>
      </c>
      <c r="AC330" s="11" t="s">
        <v>51</v>
      </c>
      <c r="AD330" s="10" t="s">
        <v>52</v>
      </c>
      <c r="AE330" s="9" t="str">
        <f>IFERROR(__xludf.DUMMYFUNCTION("GOOGLETRANSLATE(AD330,""pt"",""en"")"),"no difficulty pointed out")</f>
        <v>no difficulty pointed out</v>
      </c>
      <c r="AF330" s="10" t="s">
        <v>634</v>
      </c>
      <c r="AG330" s="9" t="str">
        <f>IFERROR(__xludf.DUMMYFUNCTION("GOOGLETRANSLATE(AF330,""pt"",""en"")"),"verified the values ​​and increased")</f>
        <v>verified the values ​​and increased</v>
      </c>
      <c r="AH330" s="10"/>
      <c r="AI330" s="9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</row>
    <row r="331">
      <c r="A331" s="9">
        <v>252.0</v>
      </c>
      <c r="B331" s="10">
        <v>5.0</v>
      </c>
      <c r="C331" s="10">
        <v>9.0</v>
      </c>
      <c r="D331" s="9">
        <v>2.0</v>
      </c>
      <c r="E331" s="10" t="s">
        <v>157</v>
      </c>
      <c r="F331" s="10">
        <v>6.0</v>
      </c>
      <c r="G331" s="10">
        <v>2.0</v>
      </c>
      <c r="H331" s="10" t="s">
        <v>39</v>
      </c>
      <c r="I331" s="10">
        <v>1.0</v>
      </c>
      <c r="J331" s="10" t="s">
        <v>40</v>
      </c>
      <c r="K331" s="10" t="s">
        <v>41</v>
      </c>
      <c r="L331" s="10">
        <v>15.51</v>
      </c>
      <c r="M331" s="10">
        <v>19.0</v>
      </c>
      <c r="N331" s="10">
        <v>7.25</v>
      </c>
      <c r="O331" s="10">
        <v>8.0</v>
      </c>
      <c r="P331" s="10">
        <v>5.0</v>
      </c>
      <c r="Q331" s="10">
        <v>3.0</v>
      </c>
      <c r="R331" s="10">
        <v>6.74</v>
      </c>
      <c r="S331" s="10">
        <v>11.0</v>
      </c>
      <c r="T331" s="10">
        <v>4.25</v>
      </c>
      <c r="U331" s="10">
        <v>5.0</v>
      </c>
      <c r="V331" s="10">
        <v>5.0</v>
      </c>
      <c r="W331" s="10">
        <v>0.0</v>
      </c>
      <c r="X331" s="10">
        <v>2.0</v>
      </c>
      <c r="Y331" s="10">
        <v>1.0</v>
      </c>
      <c r="Z331" s="10">
        <v>1.0</v>
      </c>
      <c r="AA331" s="10">
        <v>1.0</v>
      </c>
      <c r="AB331" s="10">
        <v>0.0</v>
      </c>
      <c r="AC331" s="11" t="s">
        <v>65</v>
      </c>
      <c r="AD331" s="10" t="s">
        <v>615</v>
      </c>
      <c r="AE331" s="9" t="str">
        <f>IFERROR(__xludf.DUMMYFUNCTION("GOOGLETRANSLATE(AD331,""pt"",""en"")"),"No difficult passage")</f>
        <v>No difficult passage</v>
      </c>
      <c r="AF331" s="10"/>
      <c r="AG331" s="9"/>
      <c r="AH331" s="10"/>
      <c r="AI331" s="9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</row>
    <row r="332">
      <c r="A332" s="9">
        <v>288.0</v>
      </c>
      <c r="B332" s="10">
        <v>8.0</v>
      </c>
      <c r="C332" s="10">
        <v>15.0</v>
      </c>
      <c r="D332" s="9">
        <v>2.0</v>
      </c>
      <c r="E332" s="10" t="s">
        <v>157</v>
      </c>
      <c r="F332" s="10">
        <v>6.0</v>
      </c>
      <c r="G332" s="10">
        <v>2.0</v>
      </c>
      <c r="H332" s="10" t="s">
        <v>39</v>
      </c>
      <c r="I332" s="10">
        <v>1.0</v>
      </c>
      <c r="J332" s="10" t="s">
        <v>40</v>
      </c>
      <c r="K332" s="10" t="s">
        <v>41</v>
      </c>
      <c r="L332" s="10">
        <v>51.49</v>
      </c>
      <c r="M332" s="10">
        <v>73.0</v>
      </c>
      <c r="N332" s="10">
        <v>25.04</v>
      </c>
      <c r="O332" s="10">
        <v>32.0</v>
      </c>
      <c r="P332" s="10">
        <v>14.0</v>
      </c>
      <c r="Q332" s="10">
        <v>18.0</v>
      </c>
      <c r="R332" s="10">
        <v>13.9</v>
      </c>
      <c r="S332" s="10">
        <v>24.0</v>
      </c>
      <c r="T332" s="10">
        <v>9.76</v>
      </c>
      <c r="U332" s="10">
        <v>6.0</v>
      </c>
      <c r="V332" s="10">
        <v>6.0</v>
      </c>
      <c r="W332" s="10">
        <v>0.0</v>
      </c>
      <c r="X332" s="10">
        <v>8.0</v>
      </c>
      <c r="Y332" s="10">
        <v>6.0</v>
      </c>
      <c r="Z332" s="10">
        <v>2.0</v>
      </c>
      <c r="AA332" s="10">
        <v>6.0</v>
      </c>
      <c r="AB332" s="10">
        <v>1.0</v>
      </c>
      <c r="AC332" s="11" t="s">
        <v>220</v>
      </c>
      <c r="AD332" s="10" t="s">
        <v>464</v>
      </c>
      <c r="AE332" s="9" t="str">
        <f>IFERROR(__xludf.DUMMYFUNCTION("GOOGLETRANSLATE(AD332,""pt"",""en"")"),"unlikely")</f>
        <v>unlikely</v>
      </c>
      <c r="AF332" s="10"/>
      <c r="AG332" s="9"/>
      <c r="AH332" s="10"/>
      <c r="AI332" s="9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</row>
    <row r="333">
      <c r="A333" s="9">
        <v>312.0</v>
      </c>
      <c r="B333" s="10">
        <v>10.0</v>
      </c>
      <c r="C333" s="10">
        <v>19.0</v>
      </c>
      <c r="D333" s="9">
        <v>2.0</v>
      </c>
      <c r="E333" s="10" t="s">
        <v>157</v>
      </c>
      <c r="F333" s="10">
        <v>6.0</v>
      </c>
      <c r="G333" s="10">
        <v>2.0</v>
      </c>
      <c r="H333" s="10" t="s">
        <v>39</v>
      </c>
      <c r="I333" s="10">
        <v>1.0</v>
      </c>
      <c r="J333" s="10" t="s">
        <v>40</v>
      </c>
      <c r="K333" s="10" t="s">
        <v>41</v>
      </c>
      <c r="L333" s="10">
        <v>30.63</v>
      </c>
      <c r="M333" s="10">
        <v>12.0</v>
      </c>
      <c r="N333" s="10">
        <v>2.85</v>
      </c>
      <c r="O333" s="10">
        <v>3.0</v>
      </c>
      <c r="P333" s="10">
        <v>0.0</v>
      </c>
      <c r="Q333" s="10">
        <v>3.0</v>
      </c>
      <c r="R333" s="10">
        <v>5.64</v>
      </c>
      <c r="S333" s="10">
        <v>3.0</v>
      </c>
      <c r="T333" s="10">
        <v>0.76</v>
      </c>
      <c r="U333" s="10">
        <v>0.0</v>
      </c>
      <c r="V333" s="10">
        <v>0.0</v>
      </c>
      <c r="W333" s="10">
        <v>0.0</v>
      </c>
      <c r="X333" s="10">
        <v>3.0</v>
      </c>
      <c r="Y333" s="10">
        <v>3.0</v>
      </c>
      <c r="Z333" s="10">
        <v>0.0</v>
      </c>
      <c r="AA333" s="10">
        <v>1.0</v>
      </c>
      <c r="AB333" s="10">
        <v>1.0</v>
      </c>
      <c r="AC333" s="11" t="s">
        <v>181</v>
      </c>
      <c r="AD333" s="10" t="s">
        <v>464</v>
      </c>
      <c r="AE333" s="9" t="str">
        <f>IFERROR(__xludf.DUMMYFUNCTION("GOOGLETRANSLATE(AD333,""pt"",""en"")"),"unlikely")</f>
        <v>unlikely</v>
      </c>
      <c r="AF333" s="10"/>
      <c r="AG333" s="9"/>
      <c r="AH333" s="10"/>
      <c r="AI333" s="9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</row>
    <row r="334">
      <c r="A334" s="9">
        <v>324.0</v>
      </c>
      <c r="B334" s="10">
        <v>11.0</v>
      </c>
      <c r="C334" s="10">
        <v>21.0</v>
      </c>
      <c r="D334" s="9">
        <v>2.0</v>
      </c>
      <c r="E334" s="10" t="s">
        <v>157</v>
      </c>
      <c r="F334" s="10">
        <v>6.0</v>
      </c>
      <c r="G334" s="10">
        <v>2.0</v>
      </c>
      <c r="H334" s="10" t="s">
        <v>39</v>
      </c>
      <c r="I334" s="10">
        <v>2.0</v>
      </c>
      <c r="J334" s="10" t="s">
        <v>40</v>
      </c>
      <c r="K334" s="10" t="s">
        <v>41</v>
      </c>
      <c r="L334" s="10">
        <v>53.14</v>
      </c>
      <c r="M334" s="10">
        <v>59.0</v>
      </c>
      <c r="N334" s="10">
        <v>25.64</v>
      </c>
      <c r="O334" s="10">
        <v>28.0</v>
      </c>
      <c r="P334" s="10">
        <v>9.0</v>
      </c>
      <c r="Q334" s="10">
        <v>19.0</v>
      </c>
      <c r="R334" s="10">
        <v>9.01</v>
      </c>
      <c r="S334" s="10">
        <v>12.0</v>
      </c>
      <c r="T334" s="10">
        <v>5.6</v>
      </c>
      <c r="U334" s="10">
        <v>1.0</v>
      </c>
      <c r="V334" s="10">
        <v>1.0</v>
      </c>
      <c r="W334" s="10">
        <v>0.0</v>
      </c>
      <c r="X334" s="10">
        <v>9.0</v>
      </c>
      <c r="Y334" s="10">
        <v>9.0</v>
      </c>
      <c r="Z334" s="10">
        <v>0.0</v>
      </c>
      <c r="AA334" s="10">
        <v>8.0</v>
      </c>
      <c r="AB334" s="10">
        <v>0.0</v>
      </c>
      <c r="AC334" s="11" t="s">
        <v>78</v>
      </c>
      <c r="AD334" s="10" t="s">
        <v>464</v>
      </c>
      <c r="AE334" s="9" t="str">
        <f>IFERROR(__xludf.DUMMYFUNCTION("GOOGLETRANSLATE(AD334,""pt"",""en"")"),"unlikely")</f>
        <v>unlikely</v>
      </c>
      <c r="AF334" s="10"/>
      <c r="AG334" s="9"/>
      <c r="AH334" s="10"/>
      <c r="AI334" s="9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</row>
    <row r="335">
      <c r="A335" s="9">
        <v>384.0</v>
      </c>
      <c r="B335" s="9">
        <v>16.0</v>
      </c>
      <c r="C335" s="10">
        <v>31.0</v>
      </c>
      <c r="D335" s="9">
        <v>2.0</v>
      </c>
      <c r="E335" s="10" t="s">
        <v>157</v>
      </c>
      <c r="F335" s="10">
        <v>6.0</v>
      </c>
      <c r="G335" s="10">
        <v>2.0</v>
      </c>
      <c r="H335" s="10" t="s">
        <v>39</v>
      </c>
      <c r="I335" s="9">
        <v>1.0</v>
      </c>
      <c r="J335" s="9" t="s">
        <v>40</v>
      </c>
      <c r="K335" s="9" t="s">
        <v>50</v>
      </c>
      <c r="L335" s="10">
        <v>32.05</v>
      </c>
      <c r="M335" s="10">
        <v>45.0</v>
      </c>
      <c r="N335" s="10">
        <v>16.67</v>
      </c>
      <c r="O335" s="10">
        <v>18.0</v>
      </c>
      <c r="P335" s="10">
        <v>8.0</v>
      </c>
      <c r="Q335" s="10">
        <v>10.0</v>
      </c>
      <c r="R335" s="10">
        <v>7.21</v>
      </c>
      <c r="S335" s="10">
        <v>12.0</v>
      </c>
      <c r="T335" s="10">
        <v>6.04</v>
      </c>
      <c r="U335" s="10">
        <v>3.0</v>
      </c>
      <c r="V335" s="10">
        <v>3.0</v>
      </c>
      <c r="W335" s="10">
        <v>0.0</v>
      </c>
      <c r="X335" s="10">
        <v>5.0</v>
      </c>
      <c r="Y335" s="10">
        <v>5.0</v>
      </c>
      <c r="Z335" s="10">
        <v>0.0</v>
      </c>
      <c r="AA335" s="10">
        <v>5.0</v>
      </c>
      <c r="AB335" s="10">
        <v>0.0</v>
      </c>
      <c r="AC335" s="11" t="s">
        <v>144</v>
      </c>
      <c r="AD335" s="10" t="s">
        <v>464</v>
      </c>
      <c r="AE335" s="9" t="str">
        <f>IFERROR(__xludf.DUMMYFUNCTION("GOOGLETRANSLATE(AD335,""pt"",""en"")"),"unlikely")</f>
        <v>unlikely</v>
      </c>
      <c r="AF335" s="10"/>
      <c r="AG335" s="9"/>
      <c r="AH335" s="10"/>
      <c r="AI335" s="9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</row>
    <row r="336">
      <c r="A336" s="9">
        <v>12.0</v>
      </c>
      <c r="B336" s="10">
        <v>1.0</v>
      </c>
      <c r="C336" s="10">
        <v>2.0</v>
      </c>
      <c r="D336" s="9">
        <v>2.0</v>
      </c>
      <c r="E336" s="10" t="s">
        <v>303</v>
      </c>
      <c r="F336" s="10">
        <v>6.0</v>
      </c>
      <c r="G336" s="10">
        <v>2.0</v>
      </c>
      <c r="H336" s="10" t="s">
        <v>102</v>
      </c>
      <c r="I336" s="10">
        <v>1.0</v>
      </c>
      <c r="J336" s="10" t="s">
        <v>40</v>
      </c>
      <c r="K336" s="10" t="s">
        <v>50</v>
      </c>
      <c r="L336" s="10">
        <v>27.43</v>
      </c>
      <c r="M336" s="10">
        <v>33.0</v>
      </c>
      <c r="N336" s="10">
        <v>11.73</v>
      </c>
      <c r="O336" s="10">
        <v>13.0</v>
      </c>
      <c r="P336" s="10">
        <v>3.0</v>
      </c>
      <c r="Q336" s="10">
        <v>10.0</v>
      </c>
      <c r="R336" s="10">
        <v>3.25</v>
      </c>
      <c r="S336" s="10">
        <v>6.0</v>
      </c>
      <c r="T336" s="10">
        <v>2.22</v>
      </c>
      <c r="U336" s="10">
        <v>1.0</v>
      </c>
      <c r="V336" s="10">
        <v>1.0</v>
      </c>
      <c r="W336" s="10">
        <v>0.0</v>
      </c>
      <c r="X336" s="10">
        <v>4.0</v>
      </c>
      <c r="Y336" s="10">
        <v>4.0</v>
      </c>
      <c r="Z336" s="10">
        <v>0.0</v>
      </c>
      <c r="AA336" s="10">
        <v>3.0</v>
      </c>
      <c r="AB336" s="10">
        <v>1.0</v>
      </c>
      <c r="AC336" s="11" t="s">
        <v>81</v>
      </c>
      <c r="AD336" s="10" t="s">
        <v>52</v>
      </c>
      <c r="AE336" s="9" t="str">
        <f>IFERROR(__xludf.DUMMYFUNCTION("GOOGLETRANSLATE(AD336,""pt"",""en"")"),"no difficulty pointed out")</f>
        <v>no difficulty pointed out</v>
      </c>
      <c r="AF336" s="10" t="s">
        <v>634</v>
      </c>
      <c r="AG336" s="9" t="str">
        <f>IFERROR(__xludf.DUMMYFUNCTION("GOOGLETRANSLATE(AF336,""pt"",""en"")"),"verified the values ​​and increased")</f>
        <v>verified the values ​​and increased</v>
      </c>
      <c r="AH336" s="10"/>
      <c r="AI336" s="9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</row>
    <row r="337">
      <c r="A337" s="9">
        <v>24.0</v>
      </c>
      <c r="B337" s="10">
        <v>2.0</v>
      </c>
      <c r="C337" s="10">
        <v>4.0</v>
      </c>
      <c r="D337" s="9">
        <v>2.0</v>
      </c>
      <c r="E337" s="10" t="s">
        <v>303</v>
      </c>
      <c r="F337" s="10">
        <v>6.0</v>
      </c>
      <c r="G337" s="10">
        <v>2.0</v>
      </c>
      <c r="H337" s="10" t="s">
        <v>102</v>
      </c>
      <c r="I337" s="10">
        <v>1.0</v>
      </c>
      <c r="J337" s="10" t="s">
        <v>40</v>
      </c>
      <c r="K337" s="10" t="s">
        <v>41</v>
      </c>
      <c r="L337" s="10">
        <v>65.01</v>
      </c>
      <c r="M337" s="10">
        <v>110.0</v>
      </c>
      <c r="N337" s="10">
        <v>34.15</v>
      </c>
      <c r="O337" s="10">
        <v>49.0</v>
      </c>
      <c r="P337" s="10">
        <v>25.0</v>
      </c>
      <c r="Q337" s="10">
        <v>24.0</v>
      </c>
      <c r="R337" s="10">
        <v>11.06</v>
      </c>
      <c r="S337" s="10">
        <v>18.0</v>
      </c>
      <c r="T337" s="10">
        <v>5.41</v>
      </c>
      <c r="U337" s="10">
        <v>4.0</v>
      </c>
      <c r="V337" s="10">
        <v>4.0</v>
      </c>
      <c r="W337" s="10">
        <v>0.0</v>
      </c>
      <c r="X337" s="10">
        <v>10.0</v>
      </c>
      <c r="Y337" s="10">
        <v>9.0</v>
      </c>
      <c r="Z337" s="10">
        <v>1.0</v>
      </c>
      <c r="AA337" s="10">
        <v>7.0</v>
      </c>
      <c r="AB337" s="10">
        <v>3.0</v>
      </c>
      <c r="AC337" s="11" t="s">
        <v>58</v>
      </c>
      <c r="AD337" s="10" t="s">
        <v>635</v>
      </c>
      <c r="AE337" s="9" t="str">
        <f>IFERROR(__xludf.DUMMYFUNCTION("GOOGLETRANSLATE(AD337,""pt"",""en"")"),"found it easy")</f>
        <v>found it easy</v>
      </c>
      <c r="AF337" s="10"/>
      <c r="AG337" s="9"/>
      <c r="AH337" s="10"/>
      <c r="AI337" s="9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</row>
    <row r="338">
      <c r="A338" s="9">
        <v>36.0</v>
      </c>
      <c r="B338" s="10">
        <v>3.0</v>
      </c>
      <c r="C338" s="10">
        <v>6.0</v>
      </c>
      <c r="D338" s="9">
        <v>2.0</v>
      </c>
      <c r="E338" s="10" t="s">
        <v>303</v>
      </c>
      <c r="F338" s="10">
        <v>6.0</v>
      </c>
      <c r="G338" s="10">
        <v>2.0</v>
      </c>
      <c r="H338" s="10" t="s">
        <v>102</v>
      </c>
      <c r="I338" s="10">
        <v>1.0</v>
      </c>
      <c r="J338" s="10" t="s">
        <v>40</v>
      </c>
      <c r="K338" s="10" t="s">
        <v>41</v>
      </c>
      <c r="L338" s="10">
        <v>19.17</v>
      </c>
      <c r="M338" s="10">
        <v>23.0</v>
      </c>
      <c r="N338" s="10">
        <v>6.88</v>
      </c>
      <c r="O338" s="10">
        <v>9.0</v>
      </c>
      <c r="P338" s="10">
        <v>3.0</v>
      </c>
      <c r="Q338" s="10">
        <v>6.0</v>
      </c>
      <c r="R338" s="10">
        <v>5.66</v>
      </c>
      <c r="S338" s="10">
        <v>8.0</v>
      </c>
      <c r="T338" s="10">
        <v>2.75</v>
      </c>
      <c r="U338" s="10">
        <v>2.0</v>
      </c>
      <c r="V338" s="10">
        <v>2.0</v>
      </c>
      <c r="W338" s="10">
        <v>0.0</v>
      </c>
      <c r="X338" s="10">
        <v>3.0</v>
      </c>
      <c r="Y338" s="10">
        <v>3.0</v>
      </c>
      <c r="Z338" s="10">
        <v>0.0</v>
      </c>
      <c r="AA338" s="10">
        <v>2.0</v>
      </c>
      <c r="AB338" s="10">
        <v>0.0</v>
      </c>
      <c r="AC338" s="11" t="s">
        <v>160</v>
      </c>
      <c r="AD338" s="10" t="s">
        <v>464</v>
      </c>
      <c r="AE338" s="9" t="str">
        <f>IFERROR(__xludf.DUMMYFUNCTION("GOOGLETRANSLATE(AD338,""pt"",""en"")"),"unlikely")</f>
        <v>unlikely</v>
      </c>
      <c r="AF338" s="10"/>
      <c r="AG338" s="9"/>
      <c r="AH338" s="10"/>
      <c r="AI338" s="9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</row>
    <row r="339">
      <c r="A339" s="9">
        <v>48.0</v>
      </c>
      <c r="B339" s="10">
        <v>4.0</v>
      </c>
      <c r="C339" s="10">
        <v>8.0</v>
      </c>
      <c r="D339" s="9">
        <v>2.0</v>
      </c>
      <c r="E339" s="10" t="s">
        <v>303</v>
      </c>
      <c r="F339" s="10">
        <v>6.0</v>
      </c>
      <c r="G339" s="10">
        <v>2.0</v>
      </c>
      <c r="H339" s="10" t="s">
        <v>102</v>
      </c>
      <c r="I339" s="10">
        <v>1.0</v>
      </c>
      <c r="J339" s="10" t="s">
        <v>40</v>
      </c>
      <c r="K339" s="10" t="s">
        <v>41</v>
      </c>
      <c r="L339" s="10">
        <v>15.29</v>
      </c>
      <c r="M339" s="10">
        <v>20.0</v>
      </c>
      <c r="N339" s="10">
        <v>7.51</v>
      </c>
      <c r="O339" s="10">
        <v>9.0</v>
      </c>
      <c r="P339" s="10">
        <v>6.0</v>
      </c>
      <c r="Q339" s="10">
        <v>3.0</v>
      </c>
      <c r="R339" s="10">
        <v>3.85</v>
      </c>
      <c r="S339" s="10">
        <v>6.0</v>
      </c>
      <c r="T339" s="10">
        <v>2.85</v>
      </c>
      <c r="U339" s="10">
        <v>3.0</v>
      </c>
      <c r="V339" s="10">
        <v>3.0</v>
      </c>
      <c r="W339" s="10">
        <v>0.0</v>
      </c>
      <c r="X339" s="10">
        <v>1.0</v>
      </c>
      <c r="Y339" s="10">
        <v>1.0</v>
      </c>
      <c r="Z339" s="10">
        <v>0.0</v>
      </c>
      <c r="AA339" s="10">
        <v>1.0</v>
      </c>
      <c r="AB339" s="10">
        <v>0.0</v>
      </c>
      <c r="AC339" s="11" t="s">
        <v>153</v>
      </c>
      <c r="AD339" s="10" t="s">
        <v>464</v>
      </c>
      <c r="AE339" s="9" t="str">
        <f>IFERROR(__xludf.DUMMYFUNCTION("GOOGLETRANSLATE(AD339,""pt"",""en"")"),"unlikely")</f>
        <v>unlikely</v>
      </c>
      <c r="AF339" s="10"/>
      <c r="AG339" s="9"/>
      <c r="AH339" s="10"/>
      <c r="AI339" s="9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</row>
    <row r="340">
      <c r="A340" s="9">
        <v>60.0</v>
      </c>
      <c r="B340" s="10">
        <v>5.0</v>
      </c>
      <c r="C340" s="10">
        <v>10.0</v>
      </c>
      <c r="D340" s="9">
        <v>2.0</v>
      </c>
      <c r="E340" s="10" t="s">
        <v>303</v>
      </c>
      <c r="F340" s="10">
        <v>6.0</v>
      </c>
      <c r="G340" s="10">
        <v>2.0</v>
      </c>
      <c r="H340" s="10" t="s">
        <v>102</v>
      </c>
      <c r="I340" s="10">
        <v>1.0</v>
      </c>
      <c r="J340" s="10" t="s">
        <v>40</v>
      </c>
      <c r="K340" s="10" t="s">
        <v>50</v>
      </c>
      <c r="L340" s="10">
        <v>37.41</v>
      </c>
      <c r="M340" s="10">
        <v>56.0</v>
      </c>
      <c r="N340" s="10">
        <v>18.76</v>
      </c>
      <c r="O340" s="10">
        <v>18.0</v>
      </c>
      <c r="P340" s="10">
        <v>7.0</v>
      </c>
      <c r="Q340" s="10">
        <v>11.0</v>
      </c>
      <c r="R340" s="10">
        <v>6.64</v>
      </c>
      <c r="S340" s="10">
        <v>9.0</v>
      </c>
      <c r="T340" s="10">
        <v>3.15</v>
      </c>
      <c r="U340" s="10">
        <v>1.0</v>
      </c>
      <c r="V340" s="10">
        <v>1.0</v>
      </c>
      <c r="W340" s="10">
        <v>0.0</v>
      </c>
      <c r="X340" s="10">
        <v>6.0</v>
      </c>
      <c r="Y340" s="10">
        <v>6.0</v>
      </c>
      <c r="Z340" s="10">
        <v>0.0</v>
      </c>
      <c r="AA340" s="10">
        <v>3.0</v>
      </c>
      <c r="AB340" s="10">
        <v>2.0</v>
      </c>
      <c r="AC340" s="11" t="s">
        <v>90</v>
      </c>
      <c r="AD340" s="10" t="s">
        <v>636</v>
      </c>
      <c r="AE340" s="9" t="str">
        <f>IFERROR(__xludf.DUMMYFUNCTION("GOOGLETRANSLATE(AD340,""pt"",""en"")"),"quiet d+")</f>
        <v>quiet d+</v>
      </c>
      <c r="AF340" s="10"/>
      <c r="AG340" s="9"/>
      <c r="AH340" s="10"/>
      <c r="AI340" s="9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</row>
    <row r="341">
      <c r="A341" s="9">
        <v>72.0</v>
      </c>
      <c r="B341" s="10">
        <v>6.0</v>
      </c>
      <c r="C341" s="10">
        <v>12.0</v>
      </c>
      <c r="D341" s="9">
        <v>2.0</v>
      </c>
      <c r="E341" s="10" t="s">
        <v>303</v>
      </c>
      <c r="F341" s="10">
        <v>6.0</v>
      </c>
      <c r="G341" s="10">
        <v>2.0</v>
      </c>
      <c r="H341" s="10" t="s">
        <v>102</v>
      </c>
      <c r="I341" s="10">
        <v>1.0</v>
      </c>
      <c r="J341" s="10" t="s">
        <v>40</v>
      </c>
      <c r="K341" s="10" t="s">
        <v>41</v>
      </c>
      <c r="L341" s="10">
        <v>19.43</v>
      </c>
      <c r="M341" s="10">
        <v>24.0</v>
      </c>
      <c r="N341" s="10">
        <v>7.43</v>
      </c>
      <c r="O341" s="10">
        <v>10.0</v>
      </c>
      <c r="P341" s="10">
        <v>4.0</v>
      </c>
      <c r="Q341" s="10">
        <v>6.0</v>
      </c>
      <c r="R341" s="10">
        <v>4.2</v>
      </c>
      <c r="S341" s="10">
        <v>5.0</v>
      </c>
      <c r="T341" s="10">
        <v>1.48</v>
      </c>
      <c r="U341" s="10">
        <v>1.0</v>
      </c>
      <c r="V341" s="10">
        <v>1.0</v>
      </c>
      <c r="W341" s="10">
        <v>0.0</v>
      </c>
      <c r="X341" s="10">
        <v>2.0</v>
      </c>
      <c r="Y341" s="10">
        <v>2.0</v>
      </c>
      <c r="Z341" s="10">
        <v>0.0</v>
      </c>
      <c r="AA341" s="10">
        <v>1.0</v>
      </c>
      <c r="AB341" s="10">
        <v>1.0</v>
      </c>
      <c r="AC341" s="11" t="s">
        <v>194</v>
      </c>
      <c r="AD341" s="10" t="s">
        <v>464</v>
      </c>
      <c r="AE341" s="9" t="str">
        <f>IFERROR(__xludf.DUMMYFUNCTION("GOOGLETRANSLATE(AD341,""pt"",""en"")"),"unlikely")</f>
        <v>unlikely</v>
      </c>
      <c r="AF341" s="10"/>
      <c r="AG341" s="9"/>
      <c r="AH341" s="10"/>
      <c r="AI341" s="9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</row>
    <row r="342">
      <c r="A342" s="9">
        <v>57.0</v>
      </c>
      <c r="B342" s="10">
        <v>5.0</v>
      </c>
      <c r="C342" s="10">
        <v>10.0</v>
      </c>
      <c r="D342" s="9">
        <v>2.0</v>
      </c>
      <c r="E342" s="10" t="s">
        <v>101</v>
      </c>
      <c r="F342" s="10">
        <v>3.0</v>
      </c>
      <c r="G342" s="10">
        <v>2.0</v>
      </c>
      <c r="H342" s="10" t="s">
        <v>102</v>
      </c>
      <c r="I342" s="10">
        <v>1.0</v>
      </c>
      <c r="J342" s="10" t="s">
        <v>40</v>
      </c>
      <c r="K342" s="10" t="s">
        <v>41</v>
      </c>
      <c r="L342" s="10">
        <v>114.94</v>
      </c>
      <c r="M342" s="10">
        <v>186.0</v>
      </c>
      <c r="N342" s="10">
        <v>62.91</v>
      </c>
      <c r="O342" s="10">
        <v>74.0</v>
      </c>
      <c r="P342" s="10">
        <v>23.0</v>
      </c>
      <c r="Q342" s="10">
        <v>51.0</v>
      </c>
      <c r="R342" s="10">
        <v>49.24</v>
      </c>
      <c r="S342" s="10">
        <v>83.0</v>
      </c>
      <c r="T342" s="10">
        <v>28.63</v>
      </c>
      <c r="U342" s="10">
        <v>16.0</v>
      </c>
      <c r="V342" s="10">
        <v>10.0</v>
      </c>
      <c r="W342" s="10">
        <v>6.0</v>
      </c>
      <c r="X342" s="10">
        <v>33.0</v>
      </c>
      <c r="Y342" s="10">
        <v>18.0</v>
      </c>
      <c r="Z342" s="10">
        <v>15.0</v>
      </c>
      <c r="AA342" s="10">
        <v>18.0</v>
      </c>
      <c r="AB342" s="10">
        <v>14.0</v>
      </c>
      <c r="AC342" s="11" t="s">
        <v>90</v>
      </c>
      <c r="AD342" s="10" t="s">
        <v>637</v>
      </c>
      <c r="AE342" s="9" t="str">
        <f>IFERROR(__xludf.DUMMYFUNCTION("GOOGLETRANSLATE(AD342,""pt"",""en"")"),"quiet, organized")</f>
        <v>quiet, organized</v>
      </c>
      <c r="AF342" s="10"/>
      <c r="AG342" s="9"/>
      <c r="AH342" s="10"/>
      <c r="AI342" s="9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</row>
    <row r="343">
      <c r="A343" s="9">
        <v>84.0</v>
      </c>
      <c r="B343" s="10">
        <v>7.0</v>
      </c>
      <c r="C343" s="10">
        <v>14.0</v>
      </c>
      <c r="D343" s="9">
        <v>2.0</v>
      </c>
      <c r="E343" s="10" t="s">
        <v>303</v>
      </c>
      <c r="F343" s="10">
        <v>6.0</v>
      </c>
      <c r="G343" s="10">
        <v>2.0</v>
      </c>
      <c r="H343" s="10" t="s">
        <v>102</v>
      </c>
      <c r="I343" s="10">
        <v>1.0</v>
      </c>
      <c r="J343" s="10" t="s">
        <v>40</v>
      </c>
      <c r="K343" s="10" t="s">
        <v>41</v>
      </c>
      <c r="L343" s="10">
        <v>16.49</v>
      </c>
      <c r="M343" s="10">
        <v>18.0</v>
      </c>
      <c r="N343" s="10">
        <v>6.59</v>
      </c>
      <c r="O343" s="10">
        <v>6.0</v>
      </c>
      <c r="P343" s="10">
        <v>1.0</v>
      </c>
      <c r="Q343" s="10">
        <v>5.0</v>
      </c>
      <c r="R343" s="10">
        <v>0.33</v>
      </c>
      <c r="S343" s="10">
        <v>1.0</v>
      </c>
      <c r="T343" s="10">
        <v>0.21</v>
      </c>
      <c r="U343" s="10">
        <v>0.0</v>
      </c>
      <c r="V343" s="10">
        <v>0.0</v>
      </c>
      <c r="W343" s="10">
        <v>0.0</v>
      </c>
      <c r="X343" s="10">
        <v>1.0</v>
      </c>
      <c r="Y343" s="10">
        <v>1.0</v>
      </c>
      <c r="Z343" s="10">
        <v>0.0</v>
      </c>
      <c r="AA343" s="10">
        <v>1.0</v>
      </c>
      <c r="AB343" s="10">
        <v>0.0</v>
      </c>
      <c r="AC343" s="11" t="s">
        <v>118</v>
      </c>
      <c r="AD343" s="10" t="s">
        <v>638</v>
      </c>
      <c r="AE343" s="9" t="str">
        <f>IFERROR(__xludf.DUMMYFUNCTION("GOOGLETRANSLATE(AD343,""pt"",""en"")"),"clear!")</f>
        <v>clear!</v>
      </c>
      <c r="AF343" s="10"/>
      <c r="AG343" s="9"/>
      <c r="AH343" s="10"/>
      <c r="AI343" s="9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</row>
    <row r="344">
      <c r="A344" s="9">
        <v>141.0</v>
      </c>
      <c r="B344" s="10">
        <v>12.0</v>
      </c>
      <c r="C344" s="10">
        <v>24.0</v>
      </c>
      <c r="D344" s="9">
        <v>2.0</v>
      </c>
      <c r="E344" s="10" t="s">
        <v>101</v>
      </c>
      <c r="F344" s="10">
        <v>3.0</v>
      </c>
      <c r="G344" s="10">
        <v>2.0</v>
      </c>
      <c r="H344" s="10" t="s">
        <v>102</v>
      </c>
      <c r="I344" s="10">
        <v>1.0</v>
      </c>
      <c r="J344" s="10" t="s">
        <v>40</v>
      </c>
      <c r="K344" s="10" t="s">
        <v>41</v>
      </c>
      <c r="L344" s="10">
        <v>24.86</v>
      </c>
      <c r="M344" s="10">
        <v>24.0</v>
      </c>
      <c r="N344" s="10">
        <v>8.01</v>
      </c>
      <c r="O344" s="10">
        <v>8.0</v>
      </c>
      <c r="P344" s="10">
        <v>4.0</v>
      </c>
      <c r="Q344" s="10">
        <v>4.0</v>
      </c>
      <c r="R344" s="10">
        <v>10.7</v>
      </c>
      <c r="S344" s="10">
        <v>9.0</v>
      </c>
      <c r="T344" s="10">
        <v>3.28</v>
      </c>
      <c r="U344" s="10">
        <v>0.0</v>
      </c>
      <c r="V344" s="10">
        <v>0.0</v>
      </c>
      <c r="W344" s="10">
        <v>0.0</v>
      </c>
      <c r="X344" s="10">
        <v>5.0</v>
      </c>
      <c r="Y344" s="10">
        <v>2.0</v>
      </c>
      <c r="Z344" s="10">
        <v>3.0</v>
      </c>
      <c r="AA344" s="10">
        <v>1.0</v>
      </c>
      <c r="AB344" s="10">
        <v>3.0</v>
      </c>
      <c r="AC344" s="11" t="s">
        <v>212</v>
      </c>
      <c r="AD344" s="26" t="s">
        <v>609</v>
      </c>
      <c r="AE344" s="9" t="str">
        <f>IFERROR(__xludf.DUMMYFUNCTION("GOOGLETRANSLATE(AD344,""pt"",""en"")"),"no difficulty")</f>
        <v>no difficulty</v>
      </c>
      <c r="AF344" s="10"/>
      <c r="AG344" s="9"/>
      <c r="AH344" s="10"/>
      <c r="AI344" s="9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</row>
    <row r="345">
      <c r="A345" s="9">
        <v>96.0</v>
      </c>
      <c r="B345" s="10">
        <v>8.0</v>
      </c>
      <c r="C345" s="10">
        <v>16.0</v>
      </c>
      <c r="D345" s="9">
        <v>2.0</v>
      </c>
      <c r="E345" s="10" t="s">
        <v>303</v>
      </c>
      <c r="F345" s="10">
        <v>6.0</v>
      </c>
      <c r="G345" s="10">
        <v>2.0</v>
      </c>
      <c r="H345" s="10" t="s">
        <v>102</v>
      </c>
      <c r="I345" s="10">
        <v>1.0</v>
      </c>
      <c r="J345" s="10" t="s">
        <v>40</v>
      </c>
      <c r="K345" s="10" t="s">
        <v>41</v>
      </c>
      <c r="L345" s="10">
        <v>28.21</v>
      </c>
      <c r="M345" s="10">
        <v>46.0</v>
      </c>
      <c r="N345" s="10">
        <v>15.63</v>
      </c>
      <c r="O345" s="10">
        <v>18.0</v>
      </c>
      <c r="P345" s="10">
        <v>5.0</v>
      </c>
      <c r="Q345" s="10">
        <v>13.0</v>
      </c>
      <c r="R345" s="10">
        <v>3.98</v>
      </c>
      <c r="S345" s="10">
        <v>7.0</v>
      </c>
      <c r="T345" s="10">
        <v>1.93</v>
      </c>
      <c r="U345" s="10">
        <v>1.0</v>
      </c>
      <c r="V345" s="10">
        <v>1.0</v>
      </c>
      <c r="W345" s="10">
        <v>0.0</v>
      </c>
      <c r="X345" s="10">
        <v>4.0</v>
      </c>
      <c r="Y345" s="10">
        <v>4.0</v>
      </c>
      <c r="Z345" s="10">
        <v>0.0</v>
      </c>
      <c r="AA345" s="10">
        <v>4.0</v>
      </c>
      <c r="AB345" s="10">
        <v>0.0</v>
      </c>
      <c r="AC345" s="11" t="s">
        <v>62</v>
      </c>
      <c r="AD345" s="10" t="s">
        <v>464</v>
      </c>
      <c r="AE345" s="9" t="str">
        <f>IFERROR(__xludf.DUMMYFUNCTION("GOOGLETRANSLATE(AD345,""pt"",""en"")"),"unlikely")</f>
        <v>unlikely</v>
      </c>
      <c r="AF345" s="10"/>
      <c r="AG345" s="9"/>
      <c r="AH345" s="10"/>
      <c r="AI345" s="9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</row>
    <row r="346">
      <c r="A346" s="9">
        <v>219.0</v>
      </c>
      <c r="B346" s="10">
        <v>3.0</v>
      </c>
      <c r="C346" s="10">
        <v>5.0</v>
      </c>
      <c r="D346" s="9">
        <v>1.0</v>
      </c>
      <c r="E346" s="10" t="s">
        <v>204</v>
      </c>
      <c r="F346" s="10">
        <v>3.0</v>
      </c>
      <c r="G346" s="10">
        <v>1.0</v>
      </c>
      <c r="H346" s="10" t="s">
        <v>102</v>
      </c>
      <c r="I346" s="10">
        <v>1.0</v>
      </c>
      <c r="J346" s="10" t="s">
        <v>40</v>
      </c>
      <c r="K346" s="10" t="s">
        <v>41</v>
      </c>
      <c r="L346" s="10">
        <v>93.91</v>
      </c>
      <c r="M346" s="10">
        <v>122.0</v>
      </c>
      <c r="N346" s="10">
        <v>38.75</v>
      </c>
      <c r="O346" s="10">
        <v>60.0</v>
      </c>
      <c r="P346" s="10">
        <v>28.0</v>
      </c>
      <c r="Q346" s="10">
        <v>32.0</v>
      </c>
      <c r="R346" s="10">
        <v>52.34</v>
      </c>
      <c r="S346" s="10">
        <v>65.0</v>
      </c>
      <c r="T346" s="10">
        <v>19.32</v>
      </c>
      <c r="U346" s="10">
        <v>22.0</v>
      </c>
      <c r="V346" s="10">
        <v>15.0</v>
      </c>
      <c r="W346" s="10">
        <v>7.0</v>
      </c>
      <c r="X346" s="10">
        <v>20.0</v>
      </c>
      <c r="Y346" s="10">
        <v>19.0</v>
      </c>
      <c r="Z346" s="10">
        <v>1.0</v>
      </c>
      <c r="AA346" s="10">
        <v>17.0</v>
      </c>
      <c r="AB346" s="10">
        <v>2.0</v>
      </c>
      <c r="AC346" s="11" t="s">
        <v>249</v>
      </c>
      <c r="AD346" s="10" t="s">
        <v>639</v>
      </c>
      <c r="AE346" s="9" t="str">
        <f>IFERROR(__xludf.DUMMYFUNCTION("GOOGLETRANSLATE(AD346,""pt"",""en"")"),"easy structure")</f>
        <v>easy structure</v>
      </c>
      <c r="AF346" s="10"/>
      <c r="AG346" s="9"/>
      <c r="AH346" s="10"/>
      <c r="AI346" s="9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</row>
    <row r="347">
      <c r="A347" s="9">
        <v>108.0</v>
      </c>
      <c r="B347" s="10">
        <v>9.0</v>
      </c>
      <c r="C347" s="10">
        <v>18.0</v>
      </c>
      <c r="D347" s="9">
        <v>2.0</v>
      </c>
      <c r="E347" s="10" t="s">
        <v>303</v>
      </c>
      <c r="F347" s="10">
        <v>6.0</v>
      </c>
      <c r="G347" s="10">
        <v>2.0</v>
      </c>
      <c r="H347" s="10" t="s">
        <v>102</v>
      </c>
      <c r="I347" s="10">
        <v>1.0</v>
      </c>
      <c r="J347" s="10" t="s">
        <v>40</v>
      </c>
      <c r="K347" s="10" t="s">
        <v>41</v>
      </c>
      <c r="L347" s="10">
        <v>21.55</v>
      </c>
      <c r="M347" s="10">
        <v>31.0</v>
      </c>
      <c r="N347" s="10">
        <v>9.1</v>
      </c>
      <c r="O347" s="10">
        <v>13.0</v>
      </c>
      <c r="P347" s="10">
        <v>6.0</v>
      </c>
      <c r="Q347" s="10">
        <v>7.0</v>
      </c>
      <c r="R347" s="10">
        <v>4.59</v>
      </c>
      <c r="S347" s="10">
        <v>8.0</v>
      </c>
      <c r="T347" s="10">
        <v>2.27</v>
      </c>
      <c r="U347" s="10">
        <v>1.0</v>
      </c>
      <c r="V347" s="10">
        <v>1.0</v>
      </c>
      <c r="W347" s="10">
        <v>0.0</v>
      </c>
      <c r="X347" s="10">
        <v>4.0</v>
      </c>
      <c r="Y347" s="10">
        <v>4.0</v>
      </c>
      <c r="Z347" s="10">
        <v>0.0</v>
      </c>
      <c r="AA347" s="10">
        <v>3.0</v>
      </c>
      <c r="AB347" s="10">
        <v>1.0</v>
      </c>
      <c r="AC347" s="11" t="s">
        <v>42</v>
      </c>
      <c r="AD347" s="10" t="s">
        <v>464</v>
      </c>
      <c r="AE347" s="9" t="str">
        <f>IFERROR(__xludf.DUMMYFUNCTION("GOOGLETRANSLATE(AD347,""pt"",""en"")"),"unlikely")</f>
        <v>unlikely</v>
      </c>
      <c r="AF347" s="10"/>
      <c r="AG347" s="9"/>
      <c r="AH347" s="10"/>
      <c r="AI347" s="9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</row>
    <row r="348">
      <c r="A348" s="9">
        <v>259.0</v>
      </c>
      <c r="B348" s="10">
        <v>6.0</v>
      </c>
      <c r="C348" s="10">
        <v>11.0</v>
      </c>
      <c r="D348" s="9">
        <v>2.0</v>
      </c>
      <c r="E348" s="10" t="s">
        <v>49</v>
      </c>
      <c r="F348" s="10">
        <v>1.0</v>
      </c>
      <c r="G348" s="10">
        <v>2.0</v>
      </c>
      <c r="H348" s="10" t="s">
        <v>39</v>
      </c>
      <c r="I348" s="10">
        <v>1.0</v>
      </c>
      <c r="J348" s="10" t="s">
        <v>40</v>
      </c>
      <c r="K348" s="10" t="s">
        <v>41</v>
      </c>
      <c r="L348" s="10">
        <v>23.97</v>
      </c>
      <c r="M348" s="10">
        <v>39.0</v>
      </c>
      <c r="N348" s="10">
        <v>12.02</v>
      </c>
      <c r="O348" s="10">
        <v>17.0</v>
      </c>
      <c r="P348" s="10">
        <v>8.0</v>
      </c>
      <c r="Q348" s="10">
        <v>9.0</v>
      </c>
      <c r="R348" s="10">
        <v>7.19</v>
      </c>
      <c r="S348" s="10">
        <v>13.0</v>
      </c>
      <c r="T348" s="10">
        <v>4.19</v>
      </c>
      <c r="U348" s="10">
        <v>3.0</v>
      </c>
      <c r="V348" s="10">
        <v>3.0</v>
      </c>
      <c r="W348" s="10">
        <v>0.0</v>
      </c>
      <c r="X348" s="10">
        <v>4.0</v>
      </c>
      <c r="Y348" s="10">
        <v>0.0</v>
      </c>
      <c r="Z348" s="10">
        <v>4.0</v>
      </c>
      <c r="AA348" s="10">
        <v>0.0</v>
      </c>
      <c r="AB348" s="10">
        <v>4.0</v>
      </c>
      <c r="AC348" s="11" t="s">
        <v>202</v>
      </c>
      <c r="AD348" s="10" t="s">
        <v>640</v>
      </c>
      <c r="AE348" s="9" t="str">
        <f>IFERROR(__xludf.DUMMYFUNCTION("GOOGLETRANSLATE(AD348,""pt"",""en"")"),"clear code")</f>
        <v>clear code</v>
      </c>
      <c r="AF348" s="10"/>
      <c r="AG348" s="9"/>
      <c r="AH348" s="10"/>
      <c r="AI348" s="9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</row>
    <row r="349">
      <c r="A349" s="9">
        <v>61.0</v>
      </c>
      <c r="B349" s="10">
        <v>6.0</v>
      </c>
      <c r="C349" s="10">
        <v>12.0</v>
      </c>
      <c r="D349" s="9">
        <v>1.0</v>
      </c>
      <c r="E349" s="10" t="s">
        <v>38</v>
      </c>
      <c r="F349" s="10">
        <v>1.0</v>
      </c>
      <c r="G349" s="10">
        <v>1.0</v>
      </c>
      <c r="H349" s="10" t="s">
        <v>39</v>
      </c>
      <c r="I349" s="10">
        <v>1.0</v>
      </c>
      <c r="J349" s="10" t="s">
        <v>40</v>
      </c>
      <c r="K349" s="10" t="s">
        <v>50</v>
      </c>
      <c r="L349" s="10">
        <v>53.09</v>
      </c>
      <c r="M349" s="10">
        <v>73.0</v>
      </c>
      <c r="N349" s="10">
        <v>21.88</v>
      </c>
      <c r="O349" s="10">
        <v>28.0</v>
      </c>
      <c r="P349" s="10">
        <v>12.0</v>
      </c>
      <c r="Q349" s="10">
        <v>16.0</v>
      </c>
      <c r="R349" s="10">
        <v>8.34</v>
      </c>
      <c r="S349" s="10">
        <v>16.0</v>
      </c>
      <c r="T349" s="10">
        <v>4.29</v>
      </c>
      <c r="U349" s="10">
        <v>3.0</v>
      </c>
      <c r="V349" s="10">
        <v>3.0</v>
      </c>
      <c r="W349" s="10">
        <v>0.0</v>
      </c>
      <c r="X349" s="10">
        <v>7.0</v>
      </c>
      <c r="Y349" s="10">
        <v>1.0</v>
      </c>
      <c r="Z349" s="10">
        <v>6.0</v>
      </c>
      <c r="AA349" s="10">
        <v>0.0</v>
      </c>
      <c r="AB349" s="10">
        <v>7.0</v>
      </c>
      <c r="AC349" s="11" t="s">
        <v>194</v>
      </c>
      <c r="AD349" s="9" t="s">
        <v>440</v>
      </c>
      <c r="AE349" s="9" t="str">
        <f>IFERROR(__xludf.DUMMYFUNCTION("GOOGLETRANSLATE(AD349,""pt"",""en"")"),"No excerpt from the code was difficult")</f>
        <v>No excerpt from the code was difficult</v>
      </c>
      <c r="AF349" s="10"/>
      <c r="AG349" s="9"/>
      <c r="AH349" s="10"/>
      <c r="AI349" s="9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</row>
    <row r="350">
      <c r="A350" s="9">
        <v>145.0</v>
      </c>
      <c r="B350" s="10">
        <v>13.0</v>
      </c>
      <c r="C350" s="10">
        <v>26.0</v>
      </c>
      <c r="D350" s="9">
        <v>1.0</v>
      </c>
      <c r="E350" s="10" t="s">
        <v>38</v>
      </c>
      <c r="F350" s="10">
        <v>1.0</v>
      </c>
      <c r="G350" s="10">
        <v>1.0</v>
      </c>
      <c r="H350" s="10" t="s">
        <v>39</v>
      </c>
      <c r="I350" s="10">
        <v>1.0</v>
      </c>
      <c r="J350" s="10" t="s">
        <v>40</v>
      </c>
      <c r="K350" s="10" t="s">
        <v>41</v>
      </c>
      <c r="L350" s="10">
        <v>30.43</v>
      </c>
      <c r="M350" s="10">
        <v>59.0</v>
      </c>
      <c r="N350" s="10">
        <v>17.55</v>
      </c>
      <c r="O350" s="10">
        <v>22.0</v>
      </c>
      <c r="P350" s="10">
        <v>9.0</v>
      </c>
      <c r="Q350" s="10">
        <v>13.0</v>
      </c>
      <c r="R350" s="10">
        <v>4.39</v>
      </c>
      <c r="S350" s="10">
        <v>7.0</v>
      </c>
      <c r="T350" s="10">
        <v>2.22</v>
      </c>
      <c r="U350" s="10">
        <v>0.0</v>
      </c>
      <c r="V350" s="10">
        <v>0.0</v>
      </c>
      <c r="W350" s="10">
        <v>0.0</v>
      </c>
      <c r="X350" s="10">
        <v>5.0</v>
      </c>
      <c r="Y350" s="10">
        <v>0.0</v>
      </c>
      <c r="Z350" s="10">
        <v>5.0</v>
      </c>
      <c r="AA350" s="10">
        <v>0.0</v>
      </c>
      <c r="AB350" s="10">
        <v>5.0</v>
      </c>
      <c r="AC350" s="11" t="s">
        <v>141</v>
      </c>
      <c r="AD350" s="10" t="s">
        <v>641</v>
      </c>
      <c r="AE350" s="9" t="str">
        <f>IFERROR(__xludf.DUMMYFUNCTION("GOOGLETRANSLATE(AD350,""pt"",""en"")"),"clear")</f>
        <v>clear</v>
      </c>
      <c r="AF350" s="10"/>
      <c r="AG350" s="9"/>
      <c r="AH350" s="9" t="s">
        <v>642</v>
      </c>
      <c r="AI350" s="9" t="str">
        <f>IFERROR(__xludf.DUMMYFUNCTION("GOOGLETRANSLATE(AH350,""pt"",""en"")"),"easy")</f>
        <v>easy</v>
      </c>
      <c r="AP350" s="15"/>
    </row>
    <row r="351">
      <c r="A351" s="9">
        <v>229.0</v>
      </c>
      <c r="B351" s="10">
        <v>4.0</v>
      </c>
      <c r="C351" s="10">
        <v>7.0</v>
      </c>
      <c r="D351" s="9">
        <v>1.0</v>
      </c>
      <c r="E351" s="10" t="s">
        <v>367</v>
      </c>
      <c r="F351" s="10">
        <v>1.0</v>
      </c>
      <c r="G351" s="10">
        <v>1.0</v>
      </c>
      <c r="H351" s="10" t="s">
        <v>102</v>
      </c>
      <c r="I351" s="10">
        <v>1.0</v>
      </c>
      <c r="J351" s="10" t="s">
        <v>40</v>
      </c>
      <c r="K351" s="10" t="s">
        <v>41</v>
      </c>
      <c r="L351" s="10">
        <v>51.0</v>
      </c>
      <c r="M351" s="10">
        <v>64.0</v>
      </c>
      <c r="N351" s="10">
        <v>18.11</v>
      </c>
      <c r="O351" s="10">
        <v>28.0</v>
      </c>
      <c r="P351" s="10">
        <v>8.0</v>
      </c>
      <c r="Q351" s="10">
        <v>20.0</v>
      </c>
      <c r="R351" s="10">
        <v>14.97</v>
      </c>
      <c r="S351" s="10">
        <v>23.0</v>
      </c>
      <c r="T351" s="10">
        <v>6.25</v>
      </c>
      <c r="U351" s="10">
        <v>4.0</v>
      </c>
      <c r="V351" s="10">
        <v>3.0</v>
      </c>
      <c r="W351" s="10">
        <v>1.0</v>
      </c>
      <c r="X351" s="10">
        <v>11.0</v>
      </c>
      <c r="Y351" s="10">
        <v>0.0</v>
      </c>
      <c r="Z351" s="10">
        <v>11.0</v>
      </c>
      <c r="AA351" s="10">
        <v>0.0</v>
      </c>
      <c r="AB351" s="10">
        <v>12.0</v>
      </c>
      <c r="AC351" s="11" t="s">
        <v>167</v>
      </c>
      <c r="AD351" s="10" t="s">
        <v>643</v>
      </c>
      <c r="AE351" s="9" t="str">
        <f>IFERROR(__xludf.DUMMYFUNCTION("GOOGLETRANSLATE(AD351,""pt"",""en"")"),"Easy concepts")</f>
        <v>Easy concepts</v>
      </c>
      <c r="AF351" s="10"/>
      <c r="AG351" s="9"/>
      <c r="AH351" s="9"/>
      <c r="AI351" s="9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</row>
    <row r="352">
      <c r="A352" s="9">
        <v>253.0</v>
      </c>
      <c r="B352" s="10">
        <v>6.0</v>
      </c>
      <c r="C352" s="10">
        <v>11.0</v>
      </c>
      <c r="D352" s="9">
        <v>1.0</v>
      </c>
      <c r="E352" s="10" t="s">
        <v>367</v>
      </c>
      <c r="F352" s="10">
        <v>1.0</v>
      </c>
      <c r="G352" s="10">
        <v>1.0</v>
      </c>
      <c r="H352" s="10" t="s">
        <v>102</v>
      </c>
      <c r="I352" s="10">
        <v>1.0</v>
      </c>
      <c r="J352" s="10" t="s">
        <v>40</v>
      </c>
      <c r="K352" s="10" t="s">
        <v>41</v>
      </c>
      <c r="L352" s="10">
        <v>54.34</v>
      </c>
      <c r="M352" s="10">
        <v>89.0</v>
      </c>
      <c r="N352" s="10">
        <v>26.82</v>
      </c>
      <c r="O352" s="10">
        <v>41.0</v>
      </c>
      <c r="P352" s="10">
        <v>11.0</v>
      </c>
      <c r="Q352" s="10">
        <v>30.0</v>
      </c>
      <c r="R352" s="10">
        <v>13.82</v>
      </c>
      <c r="S352" s="10">
        <v>28.0</v>
      </c>
      <c r="T352" s="10">
        <v>8.07</v>
      </c>
      <c r="U352" s="10">
        <v>7.0</v>
      </c>
      <c r="V352" s="10">
        <v>1.0</v>
      </c>
      <c r="W352" s="10">
        <v>6.0</v>
      </c>
      <c r="X352" s="10">
        <v>12.0</v>
      </c>
      <c r="Y352" s="10">
        <v>0.0</v>
      </c>
      <c r="Z352" s="10">
        <v>12.0</v>
      </c>
      <c r="AA352" s="10">
        <v>0.0</v>
      </c>
      <c r="AB352" s="10">
        <v>13.0</v>
      </c>
      <c r="AC352" s="11" t="s">
        <v>202</v>
      </c>
      <c r="AD352" s="10" t="s">
        <v>375</v>
      </c>
      <c r="AE352" s="9" t="str">
        <f>IFERROR(__xludf.DUMMYFUNCTION("GOOGLETRANSLATE(AD352,""pt"",""en"")"),"quiet")</f>
        <v>quiet</v>
      </c>
      <c r="AF352" s="10"/>
      <c r="AG352" s="9"/>
      <c r="AH352" s="9" t="s">
        <v>422</v>
      </c>
      <c r="AI352" s="9" t="str">
        <f>IFERROR(__xludf.DUMMYFUNCTION("GOOGLETRANSLATE(AH352,""pt"",""en"")"),"made more regressions in AOI")</f>
        <v>made more regressions in AOI</v>
      </c>
    </row>
    <row r="353">
      <c r="A353" s="9">
        <v>313.0</v>
      </c>
      <c r="B353" s="10">
        <v>11.0</v>
      </c>
      <c r="C353" s="10">
        <v>21.0</v>
      </c>
      <c r="D353" s="9">
        <v>1.0</v>
      </c>
      <c r="E353" s="10" t="s">
        <v>367</v>
      </c>
      <c r="F353" s="10">
        <v>1.0</v>
      </c>
      <c r="G353" s="10">
        <v>1.0</v>
      </c>
      <c r="H353" s="10" t="s">
        <v>102</v>
      </c>
      <c r="I353" s="10">
        <v>1.0</v>
      </c>
      <c r="J353" s="10" t="s">
        <v>40</v>
      </c>
      <c r="K353" s="10" t="s">
        <v>57</v>
      </c>
      <c r="L353" s="10">
        <v>29.19</v>
      </c>
      <c r="M353" s="10">
        <v>36.0</v>
      </c>
      <c r="N353" s="10">
        <v>12.24</v>
      </c>
      <c r="O353" s="10">
        <v>11.0</v>
      </c>
      <c r="P353" s="10">
        <v>3.0</v>
      </c>
      <c r="Q353" s="10">
        <v>8.0</v>
      </c>
      <c r="R353" s="10">
        <v>6.9</v>
      </c>
      <c r="S353" s="10">
        <v>6.0</v>
      </c>
      <c r="T353" s="10">
        <v>2.66</v>
      </c>
      <c r="U353" s="10">
        <v>0.0</v>
      </c>
      <c r="V353" s="10">
        <v>0.0</v>
      </c>
      <c r="W353" s="10">
        <v>0.0</v>
      </c>
      <c r="X353" s="10">
        <v>3.0</v>
      </c>
      <c r="Y353" s="10">
        <v>1.0</v>
      </c>
      <c r="Z353" s="10">
        <v>2.0</v>
      </c>
      <c r="AA353" s="10">
        <v>1.0</v>
      </c>
      <c r="AB353" s="10">
        <v>3.0</v>
      </c>
      <c r="AC353" s="11" t="s">
        <v>78</v>
      </c>
      <c r="AD353" s="10" t="s">
        <v>644</v>
      </c>
      <c r="AE353" s="9" t="str">
        <f>IFERROR(__xludf.DUMMYFUNCTION("GOOGLETRANSLATE(AD353,""pt"",""en"")"),"can confuse a little")</f>
        <v>can confuse a little</v>
      </c>
      <c r="AF353" s="10"/>
      <c r="AG353" s="9"/>
      <c r="AH353" s="10"/>
      <c r="AI353" s="9"/>
    </row>
    <row r="354">
      <c r="A354" s="9">
        <v>337.0</v>
      </c>
      <c r="B354" s="10">
        <v>13.0</v>
      </c>
      <c r="C354" s="10">
        <v>25.0</v>
      </c>
      <c r="D354" s="9">
        <v>1.0</v>
      </c>
      <c r="E354" s="10" t="s">
        <v>367</v>
      </c>
      <c r="F354" s="10">
        <v>1.0</v>
      </c>
      <c r="G354" s="10">
        <v>1.0</v>
      </c>
      <c r="H354" s="10" t="s">
        <v>102</v>
      </c>
      <c r="I354" s="10">
        <v>1.0</v>
      </c>
      <c r="J354" s="10" t="s">
        <v>40</v>
      </c>
      <c r="K354" s="10" t="s">
        <v>41</v>
      </c>
      <c r="L354" s="10">
        <v>51.43</v>
      </c>
      <c r="M354" s="10">
        <v>77.0</v>
      </c>
      <c r="N354" s="10">
        <v>22.36</v>
      </c>
      <c r="O354" s="10">
        <v>35.0</v>
      </c>
      <c r="P354" s="10">
        <v>13.0</v>
      </c>
      <c r="Q354" s="10">
        <v>22.0</v>
      </c>
      <c r="R354" s="10">
        <v>13.97</v>
      </c>
      <c r="S354" s="10">
        <v>25.0</v>
      </c>
      <c r="T354" s="10">
        <v>7.94</v>
      </c>
      <c r="U354" s="10">
        <v>9.0</v>
      </c>
      <c r="V354" s="10">
        <v>4.0</v>
      </c>
      <c r="W354" s="10">
        <v>5.0</v>
      </c>
      <c r="X354" s="10">
        <v>8.0</v>
      </c>
      <c r="Y354" s="10">
        <v>0.0</v>
      </c>
      <c r="Z354" s="10">
        <v>8.0</v>
      </c>
      <c r="AA354" s="10">
        <v>0.0</v>
      </c>
      <c r="AB354" s="10">
        <v>8.0</v>
      </c>
      <c r="AC354" s="11" t="s">
        <v>125</v>
      </c>
      <c r="AD354" s="10" t="s">
        <v>645</v>
      </c>
      <c r="AE354" s="9" t="str">
        <f>IFERROR(__xludf.DUMMYFUNCTION("GOOGLETRANSLATE(AD354,""pt"",""en"")"),"simple, without verification")</f>
        <v>simple, without verification</v>
      </c>
      <c r="AF354" s="10"/>
      <c r="AG354" s="9"/>
      <c r="AH354" s="10"/>
      <c r="AI354" s="9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</row>
    <row r="355">
      <c r="A355" s="9">
        <v>211.0</v>
      </c>
      <c r="B355" s="10">
        <v>2.0</v>
      </c>
      <c r="C355" s="10">
        <v>3.0</v>
      </c>
      <c r="D355" s="9">
        <v>2.0</v>
      </c>
      <c r="E355" s="10" t="s">
        <v>49</v>
      </c>
      <c r="F355" s="10">
        <v>1.0</v>
      </c>
      <c r="G355" s="10">
        <v>2.0</v>
      </c>
      <c r="H355" s="10" t="s">
        <v>39</v>
      </c>
      <c r="I355" s="10">
        <v>1.0</v>
      </c>
      <c r="J355" s="10" t="s">
        <v>40</v>
      </c>
      <c r="K355" s="10" t="s">
        <v>50</v>
      </c>
      <c r="L355" s="10">
        <v>47.23</v>
      </c>
      <c r="M355" s="10">
        <v>87.0</v>
      </c>
      <c r="N355" s="10">
        <v>28.73</v>
      </c>
      <c r="O355" s="10">
        <v>34.0</v>
      </c>
      <c r="P355" s="10">
        <v>15.0</v>
      </c>
      <c r="Q355" s="10">
        <v>19.0</v>
      </c>
      <c r="R355" s="10">
        <v>13.89</v>
      </c>
      <c r="S355" s="10">
        <v>28.0</v>
      </c>
      <c r="T355" s="10">
        <v>8.88</v>
      </c>
      <c r="U355" s="10">
        <v>9.0</v>
      </c>
      <c r="V355" s="10">
        <v>9.0</v>
      </c>
      <c r="W355" s="10">
        <v>0.0</v>
      </c>
      <c r="X355" s="10">
        <v>12.0</v>
      </c>
      <c r="Y355" s="10">
        <v>3.0</v>
      </c>
      <c r="Z355" s="10">
        <v>9.0</v>
      </c>
      <c r="AA355" s="10">
        <v>2.0</v>
      </c>
      <c r="AB355" s="10">
        <v>10.0</v>
      </c>
      <c r="AC355" s="11" t="s">
        <v>97</v>
      </c>
      <c r="AD355" s="10" t="s">
        <v>464</v>
      </c>
      <c r="AE355" s="9" t="str">
        <f>IFERROR(__xludf.DUMMYFUNCTION("GOOGLETRANSLATE(AD355,""pt"",""en"")"),"unlikely")</f>
        <v>unlikely</v>
      </c>
      <c r="AF355" s="10"/>
      <c r="AG355" s="9"/>
      <c r="AH355" s="10"/>
      <c r="AI355" s="9"/>
    </row>
    <row r="356">
      <c r="A356" s="9">
        <v>307.0</v>
      </c>
      <c r="B356" s="10">
        <v>10.0</v>
      </c>
      <c r="C356" s="10">
        <v>19.0</v>
      </c>
      <c r="D356" s="9">
        <v>2.0</v>
      </c>
      <c r="E356" s="10" t="s">
        <v>49</v>
      </c>
      <c r="F356" s="10">
        <v>1.0</v>
      </c>
      <c r="G356" s="10">
        <v>2.0</v>
      </c>
      <c r="H356" s="10" t="s">
        <v>39</v>
      </c>
      <c r="I356" s="10">
        <v>1.0</v>
      </c>
      <c r="J356" s="10" t="s">
        <v>40</v>
      </c>
      <c r="K356" s="10" t="s">
        <v>50</v>
      </c>
      <c r="L356" s="10">
        <v>17.41</v>
      </c>
      <c r="M356" s="10">
        <v>7.0</v>
      </c>
      <c r="N356" s="10">
        <v>1.85</v>
      </c>
      <c r="O356" s="10">
        <v>4.0</v>
      </c>
      <c r="P356" s="10">
        <v>2.0</v>
      </c>
      <c r="Q356" s="10">
        <v>2.0</v>
      </c>
      <c r="R356" s="10">
        <v>4.12</v>
      </c>
      <c r="S356" s="10">
        <v>2.0</v>
      </c>
      <c r="T356" s="10">
        <v>0.41</v>
      </c>
      <c r="U356" s="10">
        <v>1.0</v>
      </c>
      <c r="V356" s="10">
        <v>1.0</v>
      </c>
      <c r="W356" s="10">
        <v>0.0</v>
      </c>
      <c r="X356" s="10">
        <v>0.0</v>
      </c>
      <c r="Y356" s="10">
        <v>0.0</v>
      </c>
      <c r="Z356" s="10">
        <v>0.0</v>
      </c>
      <c r="AA356" s="10">
        <v>0.0</v>
      </c>
      <c r="AB356" s="10">
        <v>1.0</v>
      </c>
      <c r="AC356" s="11" t="s">
        <v>181</v>
      </c>
      <c r="AD356" s="10" t="s">
        <v>464</v>
      </c>
      <c r="AE356" s="9" t="str">
        <f>IFERROR(__xludf.DUMMYFUNCTION("GOOGLETRANSLATE(AD356,""pt"",""en"")"),"unlikely")</f>
        <v>unlikely</v>
      </c>
      <c r="AF356" s="10"/>
      <c r="AG356" s="9"/>
      <c r="AH356" s="10"/>
      <c r="AI356" s="9"/>
    </row>
    <row r="357">
      <c r="A357" s="9">
        <v>343.0</v>
      </c>
      <c r="B357" s="10">
        <v>13.0</v>
      </c>
      <c r="C357" s="10">
        <v>25.0</v>
      </c>
      <c r="D357" s="9">
        <v>2.0</v>
      </c>
      <c r="E357" s="10" t="s">
        <v>49</v>
      </c>
      <c r="F357" s="10">
        <v>1.0</v>
      </c>
      <c r="G357" s="10">
        <v>2.0</v>
      </c>
      <c r="H357" s="10" t="s">
        <v>39</v>
      </c>
      <c r="I357" s="10">
        <v>1.0</v>
      </c>
      <c r="J357" s="10" t="s">
        <v>40</v>
      </c>
      <c r="K357" s="10" t="s">
        <v>41</v>
      </c>
      <c r="L357" s="10">
        <v>37.3</v>
      </c>
      <c r="M357" s="10">
        <v>59.0</v>
      </c>
      <c r="N357" s="10">
        <v>18.13</v>
      </c>
      <c r="O357" s="10">
        <v>27.0</v>
      </c>
      <c r="P357" s="10">
        <v>15.0</v>
      </c>
      <c r="Q357" s="10">
        <v>12.0</v>
      </c>
      <c r="R357" s="10">
        <v>8.14</v>
      </c>
      <c r="S357" s="10">
        <v>16.0</v>
      </c>
      <c r="T357" s="10">
        <v>4.55</v>
      </c>
      <c r="U357" s="10">
        <v>4.0</v>
      </c>
      <c r="V357" s="10">
        <v>4.0</v>
      </c>
      <c r="W357" s="10">
        <v>0.0</v>
      </c>
      <c r="X357" s="10">
        <v>8.0</v>
      </c>
      <c r="Y357" s="10">
        <v>1.0</v>
      </c>
      <c r="Z357" s="10">
        <v>7.0</v>
      </c>
      <c r="AA357" s="10">
        <v>1.0</v>
      </c>
      <c r="AB357" s="10">
        <v>8.0</v>
      </c>
      <c r="AC357" s="11" t="s">
        <v>125</v>
      </c>
      <c r="AD357" s="10" t="s">
        <v>646</v>
      </c>
      <c r="AE357" s="9" t="str">
        <f>IFERROR(__xludf.DUMMYFUNCTION("GOOGLETRANSLATE(AD357,""pt"",""en"")"),"Simple lines")</f>
        <v>Simple lines</v>
      </c>
      <c r="AF357" s="10"/>
      <c r="AG357" s="9"/>
      <c r="AH357" s="10"/>
      <c r="AI357" s="9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</row>
    <row r="358">
      <c r="A358" s="9">
        <v>367.0</v>
      </c>
      <c r="B358" s="10">
        <v>15.0</v>
      </c>
      <c r="C358" s="10">
        <v>29.0</v>
      </c>
      <c r="D358" s="9">
        <v>2.0</v>
      </c>
      <c r="E358" s="10" t="s">
        <v>49</v>
      </c>
      <c r="F358" s="10">
        <v>1.0</v>
      </c>
      <c r="G358" s="10">
        <v>2.0</v>
      </c>
      <c r="H358" s="10" t="s">
        <v>39</v>
      </c>
      <c r="I358" s="10">
        <v>1.0</v>
      </c>
      <c r="J358" s="10" t="s">
        <v>40</v>
      </c>
      <c r="K358" s="10" t="s">
        <v>41</v>
      </c>
      <c r="L358" s="10">
        <v>28.22</v>
      </c>
      <c r="M358" s="10">
        <v>21.0</v>
      </c>
      <c r="N358" s="10">
        <v>5.2</v>
      </c>
      <c r="O358" s="10">
        <v>7.0</v>
      </c>
      <c r="P358" s="10">
        <v>3.0</v>
      </c>
      <c r="Q358" s="10">
        <v>4.0</v>
      </c>
      <c r="R358" s="10">
        <v>2.79</v>
      </c>
      <c r="S358" s="10">
        <v>5.0</v>
      </c>
      <c r="T358" s="10">
        <v>1.18</v>
      </c>
      <c r="U358" s="10">
        <v>1.0</v>
      </c>
      <c r="V358" s="10">
        <v>1.0</v>
      </c>
      <c r="W358" s="10">
        <v>0.0</v>
      </c>
      <c r="X358" s="10">
        <v>2.0</v>
      </c>
      <c r="Y358" s="10">
        <v>0.0</v>
      </c>
      <c r="Z358" s="10">
        <v>2.0</v>
      </c>
      <c r="AA358" s="10">
        <v>0.0</v>
      </c>
      <c r="AB358" s="10">
        <v>3.0</v>
      </c>
      <c r="AC358" s="11" t="s">
        <v>189</v>
      </c>
      <c r="AD358" s="10"/>
      <c r="AE358" s="9" t="str">
        <f>IFERROR(__xludf.DUMMYFUNCTION("GOOGLETRANSLATE(AD358,""pt"",""en"")"),"#VALUE!")</f>
        <v>#VALUE!</v>
      </c>
      <c r="AF358" s="9" t="s">
        <v>647</v>
      </c>
      <c r="AG358" s="9" t="str">
        <f>IFERROR(__xludf.DUMMYFUNCTION("GOOGLETRANSLATE(AF358,""pt"",""en"")"),"verified if a bigger final than note")</f>
        <v>verified if a bigger final than note</v>
      </c>
      <c r="AH358" s="10"/>
      <c r="AI358" s="9"/>
    </row>
    <row r="359">
      <c r="A359" s="9">
        <v>379.0</v>
      </c>
      <c r="B359" s="9">
        <v>16.0</v>
      </c>
      <c r="C359" s="10">
        <v>31.0</v>
      </c>
      <c r="D359" s="9">
        <v>2.0</v>
      </c>
      <c r="E359" s="10" t="s">
        <v>49</v>
      </c>
      <c r="F359" s="10">
        <v>1.0</v>
      </c>
      <c r="G359" s="10">
        <v>2.0</v>
      </c>
      <c r="H359" s="10" t="s">
        <v>39</v>
      </c>
      <c r="I359" s="9">
        <v>1.0</v>
      </c>
      <c r="J359" s="9" t="s">
        <v>40</v>
      </c>
      <c r="K359" s="9" t="s">
        <v>50</v>
      </c>
      <c r="L359" s="10">
        <v>17.48</v>
      </c>
      <c r="M359" s="10">
        <v>23.0</v>
      </c>
      <c r="N359" s="10">
        <v>7.67</v>
      </c>
      <c r="O359" s="10">
        <v>7.0</v>
      </c>
      <c r="P359" s="10">
        <v>3.0</v>
      </c>
      <c r="Q359" s="10">
        <v>4.0</v>
      </c>
      <c r="R359" s="10">
        <v>2.95</v>
      </c>
      <c r="S359" s="10">
        <v>3.0</v>
      </c>
      <c r="T359" s="10">
        <v>0.91</v>
      </c>
      <c r="U359" s="10">
        <v>0.0</v>
      </c>
      <c r="V359" s="10">
        <v>0.0</v>
      </c>
      <c r="W359" s="10">
        <v>0.0</v>
      </c>
      <c r="X359" s="10">
        <v>1.0</v>
      </c>
      <c r="Y359" s="10">
        <v>0.0</v>
      </c>
      <c r="Z359" s="10">
        <v>1.0</v>
      </c>
      <c r="AA359" s="10">
        <v>0.0</v>
      </c>
      <c r="AB359" s="10">
        <v>2.0</v>
      </c>
      <c r="AC359" s="11" t="s">
        <v>144</v>
      </c>
      <c r="AD359" s="9" t="s">
        <v>648</v>
      </c>
      <c r="AE359" s="9" t="str">
        <f>IFERROR(__xludf.DUMMYFUNCTION("GOOGLETRANSLATE(AD359,""pt"",""en"")"),"The code already has fixed values")</f>
        <v>The code already has fixed values</v>
      </c>
      <c r="AF359" s="10"/>
      <c r="AG359" s="9"/>
      <c r="AH359" s="10"/>
      <c r="AI359" s="9"/>
    </row>
    <row r="360">
      <c r="A360" s="9">
        <v>103.0</v>
      </c>
      <c r="B360" s="10">
        <v>9.0</v>
      </c>
      <c r="C360" s="10">
        <v>18.0</v>
      </c>
      <c r="D360" s="9">
        <v>2.0</v>
      </c>
      <c r="E360" s="10" t="s">
        <v>374</v>
      </c>
      <c r="F360" s="10">
        <v>1.0</v>
      </c>
      <c r="G360" s="10">
        <v>2.0</v>
      </c>
      <c r="H360" s="10" t="s">
        <v>102</v>
      </c>
      <c r="I360" s="10">
        <v>1.0</v>
      </c>
      <c r="J360" s="10" t="s">
        <v>40</v>
      </c>
      <c r="K360" s="10" t="s">
        <v>41</v>
      </c>
      <c r="L360" s="10">
        <v>19.39</v>
      </c>
      <c r="M360" s="10">
        <v>34.0</v>
      </c>
      <c r="N360" s="10">
        <v>11.22</v>
      </c>
      <c r="O360" s="10">
        <v>12.0</v>
      </c>
      <c r="P360" s="10">
        <v>5.0</v>
      </c>
      <c r="Q360" s="10">
        <v>7.0</v>
      </c>
      <c r="R360" s="10">
        <v>5.33</v>
      </c>
      <c r="S360" s="10">
        <v>10.0</v>
      </c>
      <c r="T360" s="10">
        <v>3.77</v>
      </c>
      <c r="U360" s="10">
        <v>3.0</v>
      </c>
      <c r="V360" s="10">
        <v>1.0</v>
      </c>
      <c r="W360" s="10">
        <v>2.0</v>
      </c>
      <c r="X360" s="10">
        <v>2.0</v>
      </c>
      <c r="Y360" s="10">
        <v>0.0</v>
      </c>
      <c r="Z360" s="10">
        <v>2.0</v>
      </c>
      <c r="AA360" s="10">
        <v>0.0</v>
      </c>
      <c r="AB360" s="10">
        <v>3.0</v>
      </c>
      <c r="AC360" s="11" t="s">
        <v>42</v>
      </c>
      <c r="AD360" s="10"/>
      <c r="AE360" s="9" t="str">
        <f>IFERROR(__xludf.DUMMYFUNCTION("GOOGLETRANSLATE(AD360,""pt"",""en"")"),"#VALUE!")</f>
        <v>#VALUE!</v>
      </c>
      <c r="AF360" s="10" t="s">
        <v>649</v>
      </c>
      <c r="AG360" s="9" t="str">
        <f>IFERROR(__xludf.DUMMYFUNCTION("GOOGLETRANSLATE(AF360,""pt"",""en"")"),"only looked at the average value")</f>
        <v>only looked at the average value</v>
      </c>
      <c r="AH360" s="10"/>
      <c r="AI360" s="9"/>
    </row>
    <row r="361">
      <c r="A361" s="9">
        <v>74.0</v>
      </c>
      <c r="B361" s="10">
        <v>7.0</v>
      </c>
      <c r="C361" s="10">
        <v>14.0</v>
      </c>
      <c r="D361" s="9">
        <v>1.0</v>
      </c>
      <c r="E361" s="10" t="s">
        <v>139</v>
      </c>
      <c r="F361" s="10">
        <v>2.0</v>
      </c>
      <c r="G361" s="10">
        <v>1.0</v>
      </c>
      <c r="H361" s="10" t="s">
        <v>39</v>
      </c>
      <c r="I361" s="10">
        <v>1.0</v>
      </c>
      <c r="J361" s="10" t="s">
        <v>40</v>
      </c>
      <c r="K361" s="10" t="s">
        <v>41</v>
      </c>
      <c r="L361" s="10">
        <v>60.34</v>
      </c>
      <c r="M361" s="10">
        <v>70.0</v>
      </c>
      <c r="N361" s="10">
        <v>25.6</v>
      </c>
      <c r="O361" s="10">
        <v>33.0</v>
      </c>
      <c r="P361" s="10">
        <v>18.0</v>
      </c>
      <c r="Q361" s="10">
        <v>15.0</v>
      </c>
      <c r="R361" s="10">
        <v>21.46</v>
      </c>
      <c r="S361" s="10">
        <v>27.0</v>
      </c>
      <c r="T361" s="10">
        <v>10.41</v>
      </c>
      <c r="U361" s="10">
        <v>10.0</v>
      </c>
      <c r="V361" s="10">
        <v>10.0</v>
      </c>
      <c r="W361" s="10">
        <v>0.0</v>
      </c>
      <c r="X361" s="10">
        <v>12.0</v>
      </c>
      <c r="Y361" s="10">
        <v>8.0</v>
      </c>
      <c r="Z361" s="10">
        <v>4.0</v>
      </c>
      <c r="AA361" s="10">
        <v>8.0</v>
      </c>
      <c r="AB361" s="10">
        <v>4.0</v>
      </c>
      <c r="AC361" s="11" t="s">
        <v>118</v>
      </c>
      <c r="AD361" s="10"/>
      <c r="AE361" s="9" t="str">
        <f>IFERROR(__xludf.DUMMYFUNCTION("GOOGLETRANSLATE(AD361,""pt"",""en"")"),"#VALUE!")</f>
        <v>#VALUE!</v>
      </c>
      <c r="AF361" s="10" t="s">
        <v>650</v>
      </c>
      <c r="AG361" s="9" t="str">
        <f>IFERROR(__xludf.DUMMYFUNCTION("GOOGLETRANSLATE(AF361,""pt"",""en"")"),"observed for and i")</f>
        <v>observed for and i</v>
      </c>
      <c r="AH361" s="10"/>
      <c r="AI361" s="9"/>
    </row>
    <row r="362">
      <c r="A362" s="9">
        <v>122.0</v>
      </c>
      <c r="B362" s="10">
        <v>11.0</v>
      </c>
      <c r="C362" s="10">
        <v>22.0</v>
      </c>
      <c r="D362" s="9">
        <v>1.0</v>
      </c>
      <c r="E362" s="10" t="s">
        <v>139</v>
      </c>
      <c r="F362" s="10">
        <v>2.0</v>
      </c>
      <c r="G362" s="10">
        <v>1.0</v>
      </c>
      <c r="H362" s="10" t="s">
        <v>39</v>
      </c>
      <c r="I362" s="10">
        <v>2.0</v>
      </c>
      <c r="J362" s="10" t="s">
        <v>40</v>
      </c>
      <c r="K362" s="10" t="s">
        <v>57</v>
      </c>
      <c r="L362" s="10">
        <v>69.41</v>
      </c>
      <c r="M362" s="10">
        <v>103.0</v>
      </c>
      <c r="N362" s="10">
        <v>37.42</v>
      </c>
      <c r="O362" s="10">
        <v>47.0</v>
      </c>
      <c r="P362" s="10">
        <v>24.0</v>
      </c>
      <c r="Q362" s="10">
        <v>23.0</v>
      </c>
      <c r="R362" s="10">
        <v>23.1</v>
      </c>
      <c r="S362" s="10">
        <v>37.0</v>
      </c>
      <c r="T362" s="10">
        <v>14.03</v>
      </c>
      <c r="U362" s="10">
        <v>10.0</v>
      </c>
      <c r="V362" s="10">
        <v>10.0</v>
      </c>
      <c r="W362" s="10">
        <v>0.0</v>
      </c>
      <c r="X362" s="10">
        <v>14.0</v>
      </c>
      <c r="Y362" s="10">
        <v>4.0</v>
      </c>
      <c r="Z362" s="10">
        <v>10.0</v>
      </c>
      <c r="AA362" s="10">
        <v>6.0</v>
      </c>
      <c r="AB362" s="10">
        <v>8.0</v>
      </c>
      <c r="AC362" s="11" t="s">
        <v>86</v>
      </c>
      <c r="AD362" s="10" t="s">
        <v>616</v>
      </c>
      <c r="AE362" s="9" t="str">
        <f>IFERROR(__xludf.DUMMYFUNCTION("GOOGLETRANSLATE(AD362,""pt"",""en"")"),"no difficulty")</f>
        <v>no difficulty</v>
      </c>
      <c r="AF362" s="10"/>
      <c r="AG362" s="9"/>
      <c r="AH362" s="10"/>
      <c r="AI362" s="9"/>
    </row>
    <row r="363">
      <c r="A363" s="9">
        <v>230.0</v>
      </c>
      <c r="B363" s="10">
        <v>4.0</v>
      </c>
      <c r="C363" s="10">
        <v>7.0</v>
      </c>
      <c r="D363" s="9">
        <v>1.0</v>
      </c>
      <c r="E363" s="10" t="s">
        <v>124</v>
      </c>
      <c r="F363" s="10">
        <v>2.0</v>
      </c>
      <c r="G363" s="10">
        <v>1.0</v>
      </c>
      <c r="H363" s="10" t="s">
        <v>102</v>
      </c>
      <c r="I363" s="10">
        <v>1.0</v>
      </c>
      <c r="J363" s="10" t="s">
        <v>40</v>
      </c>
      <c r="K363" s="10" t="s">
        <v>57</v>
      </c>
      <c r="L363" s="10">
        <v>70.16</v>
      </c>
      <c r="M363" s="10">
        <v>79.0</v>
      </c>
      <c r="N363" s="10">
        <v>27.01</v>
      </c>
      <c r="O363" s="10">
        <v>35.0</v>
      </c>
      <c r="P363" s="10">
        <v>11.0</v>
      </c>
      <c r="Q363" s="10">
        <v>24.0</v>
      </c>
      <c r="R363" s="10">
        <v>19.15</v>
      </c>
      <c r="S363" s="10">
        <v>26.0</v>
      </c>
      <c r="T363" s="10">
        <v>10.67</v>
      </c>
      <c r="U363" s="10">
        <v>4.0</v>
      </c>
      <c r="V363" s="10">
        <v>4.0</v>
      </c>
      <c r="W363" s="10">
        <v>0.0</v>
      </c>
      <c r="X363" s="10">
        <v>17.0</v>
      </c>
      <c r="Y363" s="10">
        <v>10.0</v>
      </c>
      <c r="Z363" s="10">
        <v>7.0</v>
      </c>
      <c r="AA363" s="10">
        <v>9.0</v>
      </c>
      <c r="AB363" s="10">
        <v>8.0</v>
      </c>
      <c r="AC363" s="11" t="s">
        <v>167</v>
      </c>
      <c r="AD363" s="10" t="s">
        <v>651</v>
      </c>
      <c r="AE363" s="9" t="str">
        <f>IFERROR(__xludf.DUMMYFUNCTION("GOOGLETRANSLATE(AD363,""pt"",""en"")"),"People may not know Range")</f>
        <v>People may not know Range</v>
      </c>
      <c r="AF363" s="10"/>
      <c r="AG363" s="9"/>
      <c r="AH363" s="10"/>
      <c r="AI363" s="9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</row>
    <row r="364">
      <c r="A364" s="9">
        <v>314.0</v>
      </c>
      <c r="B364" s="10">
        <v>11.0</v>
      </c>
      <c r="C364" s="10">
        <v>21.0</v>
      </c>
      <c r="D364" s="9">
        <v>1.0</v>
      </c>
      <c r="E364" s="10" t="s">
        <v>124</v>
      </c>
      <c r="F364" s="10">
        <v>2.0</v>
      </c>
      <c r="G364" s="10">
        <v>1.0</v>
      </c>
      <c r="H364" s="10" t="s">
        <v>102</v>
      </c>
      <c r="I364" s="10">
        <v>2.0</v>
      </c>
      <c r="J364" s="10" t="s">
        <v>40</v>
      </c>
      <c r="K364" s="10" t="s">
        <v>41</v>
      </c>
      <c r="L364" s="10">
        <v>71.09</v>
      </c>
      <c r="M364" s="10">
        <v>91.0</v>
      </c>
      <c r="N364" s="10">
        <v>40.02</v>
      </c>
      <c r="O364" s="10">
        <v>46.0</v>
      </c>
      <c r="P364" s="10">
        <v>25.0</v>
      </c>
      <c r="Q364" s="10">
        <v>21.0</v>
      </c>
      <c r="R364" s="10">
        <v>18.83</v>
      </c>
      <c r="S364" s="10">
        <v>28.0</v>
      </c>
      <c r="T364" s="10">
        <v>11.9</v>
      </c>
      <c r="U364" s="10">
        <v>5.0</v>
      </c>
      <c r="V364" s="10">
        <v>5.0</v>
      </c>
      <c r="W364" s="10">
        <v>0.0</v>
      </c>
      <c r="X364" s="10">
        <v>17.0</v>
      </c>
      <c r="Y364" s="10">
        <v>12.0</v>
      </c>
      <c r="Z364" s="10">
        <v>5.0</v>
      </c>
      <c r="AA364" s="10">
        <v>10.0</v>
      </c>
      <c r="AB364" s="10">
        <v>7.0</v>
      </c>
      <c r="AC364" s="11" t="s">
        <v>78</v>
      </c>
      <c r="AD364" s="10" t="s">
        <v>652</v>
      </c>
      <c r="AE364" s="9" t="str">
        <f>IFERROR(__xludf.DUMMYFUNCTION("GOOGLETRANSLATE(AD364,""pt"",""en"")"),"normal loop")</f>
        <v>normal loop</v>
      </c>
      <c r="AF364" s="10"/>
      <c r="AG364" s="9"/>
      <c r="AH364" s="10"/>
      <c r="AI364" s="9"/>
    </row>
    <row r="365">
      <c r="A365" s="9">
        <v>380.0</v>
      </c>
      <c r="B365" s="9">
        <v>16.0</v>
      </c>
      <c r="C365" s="10">
        <v>31.0</v>
      </c>
      <c r="D365" s="9">
        <v>2.0</v>
      </c>
      <c r="E365" s="10" t="s">
        <v>96</v>
      </c>
      <c r="F365" s="10">
        <v>2.0</v>
      </c>
      <c r="G365" s="10">
        <v>2.0</v>
      </c>
      <c r="H365" s="10" t="s">
        <v>39</v>
      </c>
      <c r="I365" s="9">
        <v>1.0</v>
      </c>
      <c r="J365" s="9" t="s">
        <v>40</v>
      </c>
      <c r="K365" s="9" t="s">
        <v>41</v>
      </c>
      <c r="L365" s="10">
        <v>38.64</v>
      </c>
      <c r="M365" s="10">
        <v>53.0</v>
      </c>
      <c r="N365" s="10">
        <v>23.16</v>
      </c>
      <c r="O365" s="10">
        <v>18.0</v>
      </c>
      <c r="P365" s="10">
        <v>9.0</v>
      </c>
      <c r="Q365" s="10">
        <v>9.0</v>
      </c>
      <c r="R365" s="10">
        <v>15.72</v>
      </c>
      <c r="S365" s="10">
        <v>26.0</v>
      </c>
      <c r="T365" s="10">
        <v>12.02</v>
      </c>
      <c r="U365" s="10">
        <v>4.0</v>
      </c>
      <c r="V365" s="10">
        <v>4.0</v>
      </c>
      <c r="W365" s="10">
        <v>0.0</v>
      </c>
      <c r="X365" s="10">
        <v>5.0</v>
      </c>
      <c r="Y365" s="10">
        <v>2.0</v>
      </c>
      <c r="Z365" s="10">
        <v>3.0</v>
      </c>
      <c r="AA365" s="10">
        <v>1.0</v>
      </c>
      <c r="AB365" s="10">
        <v>4.0</v>
      </c>
      <c r="AC365" s="11" t="s">
        <v>144</v>
      </c>
      <c r="AD365" s="10" t="s">
        <v>653</v>
      </c>
      <c r="AE365" s="9" t="str">
        <f>IFERROR(__xludf.DUMMYFUNCTION("GOOGLETRANSLATE(AD365,""pt"",""en"")"),"fixed values")</f>
        <v>fixed values</v>
      </c>
      <c r="AF365" s="10" t="s">
        <v>654</v>
      </c>
      <c r="AG365" s="9" t="str">
        <f>IFERROR(__xludf.DUMMYFUNCTION("GOOGLETRANSLATE(AF365,""pt"",""en"")"),"verified the if, and when it entered increased")</f>
        <v>verified the if, and when it entered increased</v>
      </c>
      <c r="AH365" s="10"/>
      <c r="AI365" s="9"/>
    </row>
    <row r="366">
      <c r="A366" s="9">
        <v>153.0</v>
      </c>
      <c r="B366" s="10">
        <v>13.0</v>
      </c>
      <c r="C366" s="10">
        <v>26.0</v>
      </c>
      <c r="D366" s="9">
        <v>2.0</v>
      </c>
      <c r="E366" s="10" t="s">
        <v>101</v>
      </c>
      <c r="F366" s="10">
        <v>3.0</v>
      </c>
      <c r="G366" s="10">
        <v>2.0</v>
      </c>
      <c r="H366" s="10" t="s">
        <v>102</v>
      </c>
      <c r="I366" s="10">
        <v>1.0</v>
      </c>
      <c r="J366" s="10" t="s">
        <v>40</v>
      </c>
      <c r="K366" s="10" t="s">
        <v>41</v>
      </c>
      <c r="L366" s="10">
        <v>62.77</v>
      </c>
      <c r="M366" s="10">
        <v>110.0</v>
      </c>
      <c r="N366" s="10">
        <v>33.63</v>
      </c>
      <c r="O366" s="10">
        <v>51.0</v>
      </c>
      <c r="P366" s="10">
        <v>17.0</v>
      </c>
      <c r="Q366" s="10">
        <v>34.0</v>
      </c>
      <c r="R366" s="10">
        <v>32.67</v>
      </c>
      <c r="S366" s="10">
        <v>61.0</v>
      </c>
      <c r="T366" s="10">
        <v>18.95</v>
      </c>
      <c r="U366" s="10">
        <v>15.0</v>
      </c>
      <c r="V366" s="10">
        <v>9.0</v>
      </c>
      <c r="W366" s="10">
        <v>6.0</v>
      </c>
      <c r="X366" s="10">
        <v>20.0</v>
      </c>
      <c r="Y366" s="10">
        <v>9.0</v>
      </c>
      <c r="Z366" s="10">
        <v>11.0</v>
      </c>
      <c r="AA366" s="10">
        <v>12.0</v>
      </c>
      <c r="AB366" s="10">
        <v>9.0</v>
      </c>
      <c r="AC366" s="11" t="s">
        <v>141</v>
      </c>
      <c r="AD366" s="10" t="s">
        <v>655</v>
      </c>
      <c r="AE366" s="9" t="str">
        <f>IFERROR(__xludf.DUMMYFUNCTION("GOOGLETRANSLATE(AD366,""pt"",""en"")"),"presents more clear elements")</f>
        <v>presents more clear elements</v>
      </c>
      <c r="AF366" s="10"/>
      <c r="AG366" s="9"/>
      <c r="AH366" s="10"/>
      <c r="AI366" s="9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</row>
    <row r="367">
      <c r="A367" s="9">
        <v>304.0</v>
      </c>
      <c r="B367" s="10">
        <v>10.0</v>
      </c>
      <c r="C367" s="10">
        <v>19.0</v>
      </c>
      <c r="D367" s="9">
        <v>1.0</v>
      </c>
      <c r="E367" s="10" t="s">
        <v>186</v>
      </c>
      <c r="F367" s="10">
        <v>4.0</v>
      </c>
      <c r="G367" s="10">
        <v>1.0</v>
      </c>
      <c r="H367" s="10" t="s">
        <v>102</v>
      </c>
      <c r="I367" s="10">
        <v>1.0</v>
      </c>
      <c r="J367" s="10" t="s">
        <v>40</v>
      </c>
      <c r="K367" s="10" t="s">
        <v>50</v>
      </c>
      <c r="L367" s="10">
        <v>27.79</v>
      </c>
      <c r="M367" s="10">
        <v>18.0</v>
      </c>
      <c r="N367" s="10">
        <v>5.53</v>
      </c>
      <c r="O367" s="10">
        <v>8.0</v>
      </c>
      <c r="P367" s="10">
        <v>4.0</v>
      </c>
      <c r="Q367" s="10">
        <v>4.0</v>
      </c>
      <c r="R367" s="10">
        <v>10.45</v>
      </c>
      <c r="S367" s="10">
        <v>11.0</v>
      </c>
      <c r="T367" s="10">
        <v>3.79</v>
      </c>
      <c r="U367" s="10">
        <v>3.0</v>
      </c>
      <c r="V367" s="10">
        <v>3.0</v>
      </c>
      <c r="W367" s="10">
        <v>0.0</v>
      </c>
      <c r="X367" s="10">
        <v>2.0</v>
      </c>
      <c r="Y367" s="10">
        <v>1.0</v>
      </c>
      <c r="Z367" s="10">
        <v>1.0</v>
      </c>
      <c r="AA367" s="10">
        <v>1.0</v>
      </c>
      <c r="AB367" s="10">
        <v>1.0</v>
      </c>
      <c r="AC367" s="11" t="s">
        <v>181</v>
      </c>
      <c r="AD367" s="9" t="s">
        <v>656</v>
      </c>
      <c r="AE367" s="9" t="str">
        <f>IFERROR(__xludf.DUMMYFUNCTION("GOOGLETRANSLATE(AD367,""pt"",""en"")"),"easy logic")</f>
        <v>easy logic</v>
      </c>
      <c r="AF367" s="10"/>
      <c r="AG367" s="9"/>
      <c r="AH367" s="10"/>
      <c r="AI367" s="9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</row>
    <row r="368">
      <c r="A368" s="9">
        <v>340.0</v>
      </c>
      <c r="B368" s="10">
        <v>13.0</v>
      </c>
      <c r="C368" s="10">
        <v>25.0</v>
      </c>
      <c r="D368" s="9">
        <v>1.0</v>
      </c>
      <c r="E368" s="10" t="s">
        <v>186</v>
      </c>
      <c r="F368" s="10">
        <v>4.0</v>
      </c>
      <c r="G368" s="10">
        <v>1.0</v>
      </c>
      <c r="H368" s="10" t="s">
        <v>102</v>
      </c>
      <c r="I368" s="10">
        <v>1.0</v>
      </c>
      <c r="J368" s="10" t="s">
        <v>40</v>
      </c>
      <c r="K368" s="10" t="s">
        <v>41</v>
      </c>
      <c r="L368" s="10">
        <v>51.84</v>
      </c>
      <c r="M368" s="10">
        <v>78.0</v>
      </c>
      <c r="N368" s="10">
        <v>26.35</v>
      </c>
      <c r="O368" s="10">
        <v>29.0</v>
      </c>
      <c r="P368" s="10">
        <v>10.0</v>
      </c>
      <c r="Q368" s="10">
        <v>19.0</v>
      </c>
      <c r="R368" s="10">
        <v>13.98</v>
      </c>
      <c r="S368" s="10">
        <v>23.0</v>
      </c>
      <c r="T368" s="10">
        <v>7.53</v>
      </c>
      <c r="U368" s="10">
        <v>4.0</v>
      </c>
      <c r="V368" s="10">
        <v>4.0</v>
      </c>
      <c r="W368" s="10">
        <v>0.0</v>
      </c>
      <c r="X368" s="10">
        <v>8.0</v>
      </c>
      <c r="Y368" s="10">
        <v>2.0</v>
      </c>
      <c r="Z368" s="10">
        <v>6.0</v>
      </c>
      <c r="AA368" s="10">
        <v>4.0</v>
      </c>
      <c r="AB368" s="10">
        <v>5.0</v>
      </c>
      <c r="AC368" s="11" t="s">
        <v>125</v>
      </c>
      <c r="AD368" s="10" t="s">
        <v>615</v>
      </c>
      <c r="AE368" s="9" t="str">
        <f>IFERROR(__xludf.DUMMYFUNCTION("GOOGLETRANSLATE(AD368,""pt"",""en"")"),"No difficult passage")</f>
        <v>No difficult passage</v>
      </c>
      <c r="AF368" s="10"/>
      <c r="AG368" s="9"/>
      <c r="AH368" s="10"/>
      <c r="AI368" s="9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</row>
    <row r="369">
      <c r="A369" s="9">
        <v>352.0</v>
      </c>
      <c r="B369" s="10">
        <v>14.0</v>
      </c>
      <c r="C369" s="10">
        <v>27.0</v>
      </c>
      <c r="D369" s="9">
        <v>1.0</v>
      </c>
      <c r="E369" s="10" t="s">
        <v>186</v>
      </c>
      <c r="F369" s="10">
        <v>4.0</v>
      </c>
      <c r="G369" s="10">
        <v>1.0</v>
      </c>
      <c r="H369" s="10" t="s">
        <v>102</v>
      </c>
      <c r="I369" s="10">
        <v>2.0</v>
      </c>
      <c r="J369" s="10" t="s">
        <v>40</v>
      </c>
      <c r="K369" s="10" t="s">
        <v>41</v>
      </c>
      <c r="L369" s="10">
        <v>48.55</v>
      </c>
      <c r="M369" s="10">
        <v>59.0</v>
      </c>
      <c r="N369" s="10">
        <v>23.72</v>
      </c>
      <c r="O369" s="10">
        <v>26.0</v>
      </c>
      <c r="P369" s="10">
        <v>14.0</v>
      </c>
      <c r="Q369" s="10">
        <v>12.0</v>
      </c>
      <c r="R369" s="10">
        <v>5.12</v>
      </c>
      <c r="S369" s="10">
        <v>6.0</v>
      </c>
      <c r="T369" s="10">
        <v>1.42</v>
      </c>
      <c r="U369" s="10">
        <v>1.0</v>
      </c>
      <c r="V369" s="10">
        <v>1.0</v>
      </c>
      <c r="W369" s="10">
        <v>0.0</v>
      </c>
      <c r="X369" s="10">
        <v>2.0</v>
      </c>
      <c r="Y369" s="10">
        <v>1.0</v>
      </c>
      <c r="Z369" s="10">
        <v>1.0</v>
      </c>
      <c r="AA369" s="10">
        <v>1.0</v>
      </c>
      <c r="AB369" s="10">
        <v>2.0</v>
      </c>
      <c r="AC369" s="11" t="s">
        <v>69</v>
      </c>
      <c r="AD369" s="10" t="s">
        <v>641</v>
      </c>
      <c r="AE369" s="9" t="str">
        <f>IFERROR(__xludf.DUMMYFUNCTION("GOOGLETRANSLATE(AD369,""pt"",""en"")"),"clear")</f>
        <v>clear</v>
      </c>
      <c r="AF369" s="10"/>
      <c r="AG369" s="9"/>
      <c r="AH369" s="10"/>
      <c r="AI369" s="9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</row>
    <row r="370">
      <c r="A370" s="9">
        <v>46.0</v>
      </c>
      <c r="B370" s="10">
        <v>4.0</v>
      </c>
      <c r="C370" s="10">
        <v>8.0</v>
      </c>
      <c r="D370" s="9">
        <v>2.0</v>
      </c>
      <c r="E370" s="10" t="s">
        <v>178</v>
      </c>
      <c r="F370" s="10">
        <v>4.0</v>
      </c>
      <c r="G370" s="10">
        <v>2.0</v>
      </c>
      <c r="H370" s="10" t="s">
        <v>102</v>
      </c>
      <c r="I370" s="10">
        <v>1.0</v>
      </c>
      <c r="J370" s="10" t="s">
        <v>40</v>
      </c>
      <c r="K370" s="10" t="s">
        <v>50</v>
      </c>
      <c r="L370" s="10">
        <v>11.96</v>
      </c>
      <c r="M370" s="10">
        <v>16.0</v>
      </c>
      <c r="N370" s="10">
        <v>4.8</v>
      </c>
      <c r="O370" s="10">
        <v>8.0</v>
      </c>
      <c r="P370" s="10">
        <v>3.0</v>
      </c>
      <c r="Q370" s="10">
        <v>5.0</v>
      </c>
      <c r="R370" s="10">
        <v>2.63</v>
      </c>
      <c r="S370" s="10">
        <v>3.0</v>
      </c>
      <c r="T370" s="10">
        <v>0.94</v>
      </c>
      <c r="U370" s="10">
        <v>0.0</v>
      </c>
      <c r="V370" s="10">
        <v>0.0</v>
      </c>
      <c r="W370" s="10">
        <v>0.0</v>
      </c>
      <c r="X370" s="10">
        <v>3.0</v>
      </c>
      <c r="Y370" s="10">
        <v>1.0</v>
      </c>
      <c r="Z370" s="10">
        <v>2.0</v>
      </c>
      <c r="AA370" s="10">
        <v>1.0</v>
      </c>
      <c r="AB370" s="10">
        <v>2.0</v>
      </c>
      <c r="AC370" s="11" t="s">
        <v>153</v>
      </c>
      <c r="AD370" s="10" t="s">
        <v>657</v>
      </c>
      <c r="AE370" s="9" t="str">
        <f>IFERROR(__xludf.DUMMYFUNCTION("GOOGLETRANSLATE(AD370,""pt"",""en"")"),"easy to understand")</f>
        <v>easy to understand</v>
      </c>
      <c r="AF370" s="10"/>
      <c r="AG370" s="9"/>
      <c r="AH370" s="10"/>
      <c r="AI370" s="9"/>
    </row>
    <row r="371">
      <c r="A371" s="9">
        <v>118.0</v>
      </c>
      <c r="B371" s="10">
        <v>10.0</v>
      </c>
      <c r="C371" s="10">
        <v>20.0</v>
      </c>
      <c r="D371" s="9">
        <v>2.0</v>
      </c>
      <c r="E371" s="10" t="s">
        <v>178</v>
      </c>
      <c r="F371" s="10">
        <v>4.0</v>
      </c>
      <c r="G371" s="10">
        <v>2.0</v>
      </c>
      <c r="H371" s="10" t="s">
        <v>102</v>
      </c>
      <c r="I371" s="10">
        <v>1.0</v>
      </c>
      <c r="J371" s="10" t="s">
        <v>40</v>
      </c>
      <c r="K371" s="10" t="s">
        <v>50</v>
      </c>
      <c r="L371" s="10">
        <v>26.26</v>
      </c>
      <c r="M371" s="10">
        <v>26.0</v>
      </c>
      <c r="N371" s="10">
        <v>9.77</v>
      </c>
      <c r="O371" s="10">
        <v>10.0</v>
      </c>
      <c r="P371" s="10">
        <v>5.0</v>
      </c>
      <c r="Q371" s="10">
        <v>5.0</v>
      </c>
      <c r="R371" s="10">
        <v>4.47</v>
      </c>
      <c r="S371" s="10">
        <v>5.0</v>
      </c>
      <c r="T371" s="10">
        <v>1.95</v>
      </c>
      <c r="U371" s="10">
        <v>1.0</v>
      </c>
      <c r="V371" s="10">
        <v>1.0</v>
      </c>
      <c r="W371" s="10">
        <v>0.0</v>
      </c>
      <c r="X371" s="10">
        <v>2.0</v>
      </c>
      <c r="Y371" s="10">
        <v>1.0</v>
      </c>
      <c r="Z371" s="10">
        <v>1.0</v>
      </c>
      <c r="AA371" s="10">
        <v>0.0</v>
      </c>
      <c r="AB371" s="10">
        <v>2.0</v>
      </c>
      <c r="AC371" s="11" t="s">
        <v>197</v>
      </c>
      <c r="AD371" s="10" t="s">
        <v>658</v>
      </c>
      <c r="AE371" s="9" t="str">
        <f>IFERROR(__xludf.DUMMYFUNCTION("GOOGLETRANSLATE(AD371,""pt"",""en"")"),"found if easier")</f>
        <v>found if easier</v>
      </c>
      <c r="AF371" s="10"/>
      <c r="AG371" s="9"/>
      <c r="AH371" s="10"/>
      <c r="AI371" s="9"/>
    </row>
    <row r="372">
      <c r="A372" s="9">
        <v>287.0</v>
      </c>
      <c r="B372" s="10">
        <v>8.0</v>
      </c>
      <c r="C372" s="10">
        <v>15.0</v>
      </c>
      <c r="D372" s="9">
        <v>2.0</v>
      </c>
      <c r="E372" s="10" t="s">
        <v>129</v>
      </c>
      <c r="F372" s="10">
        <v>5.0</v>
      </c>
      <c r="G372" s="10">
        <v>2.0</v>
      </c>
      <c r="H372" s="10" t="s">
        <v>39</v>
      </c>
      <c r="I372" s="10">
        <v>1.0</v>
      </c>
      <c r="J372" s="10" t="s">
        <v>40</v>
      </c>
      <c r="K372" s="10" t="s">
        <v>41</v>
      </c>
      <c r="L372" s="10">
        <v>61.75</v>
      </c>
      <c r="M372" s="10">
        <v>86.0</v>
      </c>
      <c r="N372" s="10">
        <v>30.68</v>
      </c>
      <c r="O372" s="10">
        <v>40.0</v>
      </c>
      <c r="P372" s="10">
        <v>19.0</v>
      </c>
      <c r="Q372" s="10">
        <v>21.0</v>
      </c>
      <c r="R372" s="10">
        <v>21.71</v>
      </c>
      <c r="S372" s="10">
        <v>39.0</v>
      </c>
      <c r="T372" s="10">
        <v>14.97</v>
      </c>
      <c r="U372" s="10">
        <v>11.0</v>
      </c>
      <c r="V372" s="10">
        <v>11.0</v>
      </c>
      <c r="W372" s="10">
        <v>0.0</v>
      </c>
      <c r="X372" s="10">
        <v>14.0</v>
      </c>
      <c r="Y372" s="10">
        <v>5.0</v>
      </c>
      <c r="Z372" s="10">
        <v>9.0</v>
      </c>
      <c r="AA372" s="10">
        <v>5.0</v>
      </c>
      <c r="AB372" s="10">
        <v>8.0</v>
      </c>
      <c r="AC372" s="11" t="s">
        <v>220</v>
      </c>
      <c r="AD372" s="10" t="s">
        <v>464</v>
      </c>
      <c r="AE372" s="9" t="str">
        <f>IFERROR(__xludf.DUMMYFUNCTION("GOOGLETRANSLATE(AD372,""pt"",""en"")"),"unlikely")</f>
        <v>unlikely</v>
      </c>
      <c r="AF372" s="10"/>
      <c r="AG372" s="9"/>
      <c r="AH372" s="10"/>
      <c r="AI372" s="9"/>
    </row>
    <row r="373">
      <c r="A373" s="9">
        <v>71.0</v>
      </c>
      <c r="B373" s="10">
        <v>6.0</v>
      </c>
      <c r="C373" s="10">
        <v>12.0</v>
      </c>
      <c r="D373" s="9">
        <v>2.0</v>
      </c>
      <c r="E373" s="10" t="s">
        <v>152</v>
      </c>
      <c r="F373" s="10">
        <v>5.0</v>
      </c>
      <c r="G373" s="10">
        <v>2.0</v>
      </c>
      <c r="H373" s="10" t="s">
        <v>102</v>
      </c>
      <c r="I373" s="10">
        <v>1.0</v>
      </c>
      <c r="J373" s="10" t="s">
        <v>40</v>
      </c>
      <c r="K373" s="10" t="s">
        <v>41</v>
      </c>
      <c r="L373" s="10">
        <v>39.75</v>
      </c>
      <c r="M373" s="10">
        <v>57.0</v>
      </c>
      <c r="N373" s="10">
        <v>18.56</v>
      </c>
      <c r="O373" s="10">
        <v>21.0</v>
      </c>
      <c r="P373" s="10">
        <v>7.0</v>
      </c>
      <c r="Q373" s="10">
        <v>14.0</v>
      </c>
      <c r="R373" s="10">
        <v>16.42</v>
      </c>
      <c r="S373" s="10">
        <v>25.0</v>
      </c>
      <c r="T373" s="10">
        <v>9.05</v>
      </c>
      <c r="U373" s="10">
        <v>5.0</v>
      </c>
      <c r="V373" s="10">
        <v>5.0</v>
      </c>
      <c r="W373" s="10">
        <v>0.0</v>
      </c>
      <c r="X373" s="10">
        <v>12.0</v>
      </c>
      <c r="Y373" s="10">
        <v>9.0</v>
      </c>
      <c r="Z373" s="10">
        <v>3.0</v>
      </c>
      <c r="AA373" s="10">
        <v>5.0</v>
      </c>
      <c r="AB373" s="10">
        <v>7.0</v>
      </c>
      <c r="AC373" s="11" t="s">
        <v>194</v>
      </c>
      <c r="AD373" s="10"/>
      <c r="AE373" s="9" t="str">
        <f>IFERROR(__xludf.DUMMYFUNCTION("GOOGLETRANSLATE(AD373,""pt"",""en"")"),"#VALUE!")</f>
        <v>#VALUE!</v>
      </c>
      <c r="AF373" s="10" t="s">
        <v>659</v>
      </c>
      <c r="AG373" s="9" t="str">
        <f>IFERROR(__xludf.DUMMYFUNCTION("GOOGLETRANSLATE(AF373,""pt"",""en"")"),"saw that it was not divisible")</f>
        <v>saw that it was not divisible</v>
      </c>
      <c r="AH373" s="10"/>
      <c r="AI373" s="9"/>
    </row>
    <row r="374">
      <c r="A374" s="9">
        <v>155.0</v>
      </c>
      <c r="B374" s="10">
        <v>13.0</v>
      </c>
      <c r="C374" s="10">
        <v>26.0</v>
      </c>
      <c r="D374" s="9">
        <v>2.0</v>
      </c>
      <c r="E374" s="10" t="s">
        <v>152</v>
      </c>
      <c r="F374" s="10">
        <v>5.0</v>
      </c>
      <c r="G374" s="10">
        <v>2.0</v>
      </c>
      <c r="H374" s="10" t="s">
        <v>102</v>
      </c>
      <c r="I374" s="10">
        <v>1.0</v>
      </c>
      <c r="J374" s="10" t="s">
        <v>40</v>
      </c>
      <c r="K374" s="10" t="s">
        <v>57</v>
      </c>
      <c r="L374" s="10">
        <v>35.17</v>
      </c>
      <c r="M374" s="10">
        <v>59.0</v>
      </c>
      <c r="N374" s="10">
        <v>20.08</v>
      </c>
      <c r="O374" s="10">
        <v>26.0</v>
      </c>
      <c r="P374" s="10">
        <v>17.0</v>
      </c>
      <c r="Q374" s="10">
        <v>9.0</v>
      </c>
      <c r="R374" s="10">
        <v>12.45</v>
      </c>
      <c r="S374" s="10">
        <v>25.0</v>
      </c>
      <c r="T374" s="10">
        <v>10.02</v>
      </c>
      <c r="U374" s="10">
        <v>7.0</v>
      </c>
      <c r="V374" s="10">
        <v>7.0</v>
      </c>
      <c r="W374" s="10">
        <v>0.0</v>
      </c>
      <c r="X374" s="10">
        <v>7.0</v>
      </c>
      <c r="Y374" s="10">
        <v>6.0</v>
      </c>
      <c r="Z374" s="10">
        <v>1.0</v>
      </c>
      <c r="AA374" s="10">
        <v>5.0</v>
      </c>
      <c r="AB374" s="10">
        <v>2.0</v>
      </c>
      <c r="AC374" s="11" t="s">
        <v>141</v>
      </c>
      <c r="AD374" s="10" t="s">
        <v>464</v>
      </c>
      <c r="AE374" s="9" t="str">
        <f>IFERROR(__xludf.DUMMYFUNCTION("GOOGLETRANSLATE(AD374,""pt"",""en"")"),"unlikely")</f>
        <v>unlikely</v>
      </c>
      <c r="AF374" s="10"/>
      <c r="AG374" s="9"/>
      <c r="AH374" s="10"/>
      <c r="AI374" s="9"/>
    </row>
    <row r="375">
      <c r="A375" s="9">
        <v>246.0</v>
      </c>
      <c r="B375" s="10">
        <v>5.0</v>
      </c>
      <c r="C375" s="10">
        <v>9.0</v>
      </c>
      <c r="D375" s="9">
        <v>1.0</v>
      </c>
      <c r="E375" s="10" t="s">
        <v>291</v>
      </c>
      <c r="F375" s="10">
        <v>6.0</v>
      </c>
      <c r="G375" s="10">
        <v>1.0</v>
      </c>
      <c r="H375" s="10" t="s">
        <v>102</v>
      </c>
      <c r="I375" s="10">
        <v>1.0</v>
      </c>
      <c r="J375" s="10" t="s">
        <v>40</v>
      </c>
      <c r="K375" s="10" t="s">
        <v>41</v>
      </c>
      <c r="L375" s="10">
        <v>33.58</v>
      </c>
      <c r="M375" s="10">
        <v>44.0</v>
      </c>
      <c r="N375" s="10">
        <v>13.88</v>
      </c>
      <c r="O375" s="10">
        <v>16.0</v>
      </c>
      <c r="P375" s="10">
        <v>3.0</v>
      </c>
      <c r="Q375" s="10">
        <v>13.0</v>
      </c>
      <c r="R375" s="10">
        <v>5.58</v>
      </c>
      <c r="S375" s="10">
        <v>8.0</v>
      </c>
      <c r="T375" s="10">
        <v>2.41</v>
      </c>
      <c r="U375" s="10">
        <v>1.0</v>
      </c>
      <c r="V375" s="10">
        <v>1.0</v>
      </c>
      <c r="W375" s="10">
        <v>0.0</v>
      </c>
      <c r="X375" s="10">
        <v>4.0</v>
      </c>
      <c r="Y375" s="10">
        <v>3.0</v>
      </c>
      <c r="Z375" s="10">
        <v>1.0</v>
      </c>
      <c r="AA375" s="10">
        <v>3.0</v>
      </c>
      <c r="AB375" s="10">
        <v>1.0</v>
      </c>
      <c r="AC375" s="11" t="s">
        <v>65</v>
      </c>
      <c r="AD375" s="10" t="s">
        <v>464</v>
      </c>
      <c r="AE375" s="9" t="str">
        <f>IFERROR(__xludf.DUMMYFUNCTION("GOOGLETRANSLATE(AD375,""pt"",""en"")"),"unlikely")</f>
        <v>unlikely</v>
      </c>
      <c r="AF375" s="10"/>
      <c r="AG375" s="9"/>
      <c r="AH375" s="10"/>
      <c r="AI375" s="9"/>
    </row>
    <row r="376">
      <c r="A376" s="9">
        <v>270.0</v>
      </c>
      <c r="B376" s="10">
        <v>7.0</v>
      </c>
      <c r="C376" s="10">
        <v>13.0</v>
      </c>
      <c r="D376" s="9">
        <v>1.0</v>
      </c>
      <c r="E376" s="10" t="s">
        <v>291</v>
      </c>
      <c r="F376" s="10">
        <v>6.0</v>
      </c>
      <c r="G376" s="10">
        <v>1.0</v>
      </c>
      <c r="H376" s="10" t="s">
        <v>102</v>
      </c>
      <c r="I376" s="10">
        <v>1.0</v>
      </c>
      <c r="J376" s="10" t="s">
        <v>40</v>
      </c>
      <c r="K376" s="10" t="s">
        <v>41</v>
      </c>
      <c r="L376" s="10">
        <v>92.89</v>
      </c>
      <c r="M376" s="10">
        <v>180.0</v>
      </c>
      <c r="N376" s="10">
        <v>60.84</v>
      </c>
      <c r="O376" s="10">
        <v>80.0</v>
      </c>
      <c r="P376" s="10">
        <v>37.0</v>
      </c>
      <c r="Q376" s="10">
        <v>43.0</v>
      </c>
      <c r="R376" s="10">
        <v>8.59</v>
      </c>
      <c r="S376" s="10">
        <v>18.0</v>
      </c>
      <c r="T376" s="10">
        <v>6.68</v>
      </c>
      <c r="U376" s="10">
        <v>3.0</v>
      </c>
      <c r="V376" s="10">
        <v>3.0</v>
      </c>
      <c r="W376" s="10">
        <v>0.0</v>
      </c>
      <c r="X376" s="10">
        <v>8.0</v>
      </c>
      <c r="Y376" s="10">
        <v>7.0</v>
      </c>
      <c r="Z376" s="10">
        <v>1.0</v>
      </c>
      <c r="AA376" s="10">
        <v>7.0</v>
      </c>
      <c r="AB376" s="10">
        <v>0.0</v>
      </c>
      <c r="AC376" s="11" t="s">
        <v>109</v>
      </c>
      <c r="AD376" s="10" t="s">
        <v>642</v>
      </c>
      <c r="AE376" s="9" t="str">
        <f>IFERROR(__xludf.DUMMYFUNCTION("GOOGLETRANSLATE(AD376,""pt"",""en"")"),"easy")</f>
        <v>easy</v>
      </c>
      <c r="AF376" s="10"/>
      <c r="AG376" s="9"/>
      <c r="AH376" s="10"/>
      <c r="AI376" s="9"/>
    </row>
    <row r="377">
      <c r="A377" s="9">
        <v>282.0</v>
      </c>
      <c r="B377" s="10">
        <v>8.0</v>
      </c>
      <c r="C377" s="10">
        <v>15.0</v>
      </c>
      <c r="D377" s="9">
        <v>1.0</v>
      </c>
      <c r="E377" s="10" t="s">
        <v>291</v>
      </c>
      <c r="F377" s="10">
        <v>6.0</v>
      </c>
      <c r="G377" s="10">
        <v>1.0</v>
      </c>
      <c r="H377" s="10" t="s">
        <v>102</v>
      </c>
      <c r="I377" s="10">
        <v>1.0</v>
      </c>
      <c r="J377" s="10" t="s">
        <v>40</v>
      </c>
      <c r="K377" s="10" t="s">
        <v>41</v>
      </c>
      <c r="L377" s="10">
        <v>43.5</v>
      </c>
      <c r="M377" s="10">
        <v>54.0</v>
      </c>
      <c r="N377" s="10">
        <v>18.06</v>
      </c>
      <c r="O377" s="10">
        <v>24.0</v>
      </c>
      <c r="P377" s="10">
        <v>3.0</v>
      </c>
      <c r="Q377" s="10">
        <v>21.0</v>
      </c>
      <c r="R377" s="10">
        <v>5.22</v>
      </c>
      <c r="S377" s="10">
        <v>8.0</v>
      </c>
      <c r="T377" s="10">
        <v>3.99</v>
      </c>
      <c r="U377" s="10">
        <v>1.0</v>
      </c>
      <c r="V377" s="10">
        <v>1.0</v>
      </c>
      <c r="W377" s="10">
        <v>0.0</v>
      </c>
      <c r="X377" s="10">
        <v>5.0</v>
      </c>
      <c r="Y377" s="10">
        <v>5.0</v>
      </c>
      <c r="Z377" s="10">
        <v>0.0</v>
      </c>
      <c r="AA377" s="10">
        <v>5.0</v>
      </c>
      <c r="AB377" s="10">
        <v>0.0</v>
      </c>
      <c r="AC377" s="11" t="s">
        <v>220</v>
      </c>
      <c r="AD377" s="10" t="s">
        <v>660</v>
      </c>
      <c r="AE377" s="9" t="str">
        <f>IFERROR(__xludf.DUMMYFUNCTION("GOOGLETRANSLATE(AD377,""pt"",""en"")"),"only increment")</f>
        <v>only increment</v>
      </c>
      <c r="AF377" s="10"/>
      <c r="AG377" s="9"/>
      <c r="AH377" s="10"/>
      <c r="AI377" s="9"/>
    </row>
    <row r="378">
      <c r="A378" s="9">
        <v>306.0</v>
      </c>
      <c r="B378" s="10">
        <v>10.0</v>
      </c>
      <c r="C378" s="10">
        <v>19.0</v>
      </c>
      <c r="D378" s="9">
        <v>1.0</v>
      </c>
      <c r="E378" s="10" t="s">
        <v>291</v>
      </c>
      <c r="F378" s="10">
        <v>6.0</v>
      </c>
      <c r="G378" s="10">
        <v>1.0</v>
      </c>
      <c r="H378" s="10" t="s">
        <v>102</v>
      </c>
      <c r="I378" s="10">
        <v>2.0</v>
      </c>
      <c r="J378" s="10" t="s">
        <v>40</v>
      </c>
      <c r="K378" s="10" t="s">
        <v>50</v>
      </c>
      <c r="L378" s="10">
        <v>49.48</v>
      </c>
      <c r="M378" s="10">
        <v>27.0</v>
      </c>
      <c r="N378" s="10">
        <v>6.41</v>
      </c>
      <c r="O378" s="10">
        <v>11.0</v>
      </c>
      <c r="P378" s="10">
        <v>3.0</v>
      </c>
      <c r="Q378" s="10">
        <v>8.0</v>
      </c>
      <c r="R378" s="10">
        <v>6.36</v>
      </c>
      <c r="S378" s="10">
        <v>3.0</v>
      </c>
      <c r="T378" s="10">
        <v>0.68</v>
      </c>
      <c r="U378" s="10">
        <v>0.0</v>
      </c>
      <c r="V378" s="10">
        <v>0.0</v>
      </c>
      <c r="W378" s="10">
        <v>0.0</v>
      </c>
      <c r="X378" s="10">
        <v>3.0</v>
      </c>
      <c r="Y378" s="10">
        <v>3.0</v>
      </c>
      <c r="Z378" s="10">
        <v>0.0</v>
      </c>
      <c r="AA378" s="10">
        <v>2.0</v>
      </c>
      <c r="AB378" s="10">
        <v>1.0</v>
      </c>
      <c r="AC378" s="11" t="s">
        <v>181</v>
      </c>
      <c r="AD378" s="10" t="s">
        <v>661</v>
      </c>
      <c r="AE378" s="9" t="str">
        <f>IFERROR(__xludf.DUMMYFUNCTION("GOOGLETRANSLATE(AD378,""pt"",""en"")"),"resolved in the face")</f>
        <v>resolved in the face</v>
      </c>
      <c r="AF378" s="10"/>
      <c r="AG378" s="9"/>
      <c r="AH378" s="10"/>
      <c r="AI378" s="9"/>
    </row>
    <row r="379">
      <c r="A379" s="9">
        <v>318.0</v>
      </c>
      <c r="B379" s="10">
        <v>11.0</v>
      </c>
      <c r="C379" s="10">
        <v>21.0</v>
      </c>
      <c r="D379" s="9">
        <v>1.0</v>
      </c>
      <c r="E379" s="10" t="s">
        <v>291</v>
      </c>
      <c r="F379" s="10">
        <v>6.0</v>
      </c>
      <c r="G379" s="10">
        <v>1.0</v>
      </c>
      <c r="H379" s="10" t="s">
        <v>102</v>
      </c>
      <c r="I379" s="10">
        <v>1.0</v>
      </c>
      <c r="J379" s="10" t="s">
        <v>40</v>
      </c>
      <c r="K379" s="10" t="s">
        <v>41</v>
      </c>
      <c r="L379" s="28">
        <v>35.66</v>
      </c>
      <c r="M379" s="10">
        <v>47.0</v>
      </c>
      <c r="N379" s="10">
        <v>18.7</v>
      </c>
      <c r="O379" s="10">
        <v>16.0</v>
      </c>
      <c r="P379" s="10">
        <v>5.0</v>
      </c>
      <c r="Q379" s="10">
        <v>11.0</v>
      </c>
      <c r="R379" s="10">
        <v>2.37</v>
      </c>
      <c r="S379" s="10">
        <v>3.0</v>
      </c>
      <c r="T379" s="10">
        <v>1.27</v>
      </c>
      <c r="U379" s="10">
        <v>0.0</v>
      </c>
      <c r="V379" s="10">
        <v>0.0</v>
      </c>
      <c r="W379" s="10">
        <v>0.0</v>
      </c>
      <c r="X379" s="10">
        <v>2.0</v>
      </c>
      <c r="Y379" s="10">
        <v>2.0</v>
      </c>
      <c r="Z379" s="10">
        <v>0.0</v>
      </c>
      <c r="AA379" s="10">
        <v>2.0</v>
      </c>
      <c r="AB379" s="10">
        <v>0.0</v>
      </c>
      <c r="AC379" s="11" t="s">
        <v>78</v>
      </c>
      <c r="AD379" s="10" t="s">
        <v>662</v>
      </c>
      <c r="AE379" s="9" t="str">
        <f>IFERROR(__xludf.DUMMYFUNCTION("GOOGLETRANSLATE(AD379,""pt"",""en"")"),"Nothing brought difficulties")</f>
        <v>Nothing brought difficulties</v>
      </c>
      <c r="AF379" s="10"/>
      <c r="AG379" s="9"/>
      <c r="AH379" s="10"/>
      <c r="AI379" s="9"/>
    </row>
    <row r="380">
      <c r="A380" s="9">
        <v>240.0</v>
      </c>
      <c r="B380" s="10">
        <v>4.0</v>
      </c>
      <c r="C380" s="10">
        <v>7.0</v>
      </c>
      <c r="D380" s="9">
        <v>2.0</v>
      </c>
      <c r="E380" s="10" t="s">
        <v>157</v>
      </c>
      <c r="F380" s="10">
        <v>6.0</v>
      </c>
      <c r="G380" s="10">
        <v>2.0</v>
      </c>
      <c r="H380" s="10" t="s">
        <v>39</v>
      </c>
      <c r="I380" s="10">
        <v>1.0</v>
      </c>
      <c r="J380" s="10" t="s">
        <v>40</v>
      </c>
      <c r="K380" s="10" t="s">
        <v>41</v>
      </c>
      <c r="L380" s="10">
        <v>71.3</v>
      </c>
      <c r="M380" s="10">
        <v>80.0</v>
      </c>
      <c r="N380" s="10">
        <v>24.37</v>
      </c>
      <c r="O380" s="10">
        <v>37.0</v>
      </c>
      <c r="P380" s="10">
        <v>15.0</v>
      </c>
      <c r="Q380" s="10">
        <v>22.0</v>
      </c>
      <c r="R380" s="10">
        <v>8.1</v>
      </c>
      <c r="S380" s="10">
        <v>10.0</v>
      </c>
      <c r="T380" s="10">
        <v>4.0</v>
      </c>
      <c r="U380" s="10">
        <v>2.0</v>
      </c>
      <c r="V380" s="10">
        <v>2.0</v>
      </c>
      <c r="W380" s="10">
        <v>0.0</v>
      </c>
      <c r="X380" s="10">
        <v>7.0</v>
      </c>
      <c r="Y380" s="10">
        <v>6.0</v>
      </c>
      <c r="Z380" s="10">
        <v>1.0</v>
      </c>
      <c r="AA380" s="10">
        <v>5.0</v>
      </c>
      <c r="AB380" s="10">
        <v>1.0</v>
      </c>
      <c r="AC380" s="11" t="s">
        <v>167</v>
      </c>
      <c r="AD380" s="10" t="s">
        <v>663</v>
      </c>
      <c r="AE380" s="9" t="str">
        <f>IFERROR(__xludf.DUMMYFUNCTION("GOOGLETRANSLATE(AD380,""pt"",""en"")"),"Uses a lot of value *= 1")</f>
        <v>Uses a lot of value *= 1</v>
      </c>
      <c r="AF380" s="10"/>
      <c r="AG380" s="9"/>
      <c r="AH380" s="10"/>
      <c r="AI380" s="9"/>
    </row>
    <row r="381">
      <c r="A381" s="9">
        <v>144.0</v>
      </c>
      <c r="B381" s="10">
        <v>12.0</v>
      </c>
      <c r="C381" s="10">
        <v>24.0</v>
      </c>
      <c r="D381" s="9">
        <v>2.0</v>
      </c>
      <c r="E381" s="10" t="s">
        <v>303</v>
      </c>
      <c r="F381" s="10">
        <v>6.0</v>
      </c>
      <c r="G381" s="10">
        <v>2.0</v>
      </c>
      <c r="H381" s="10" t="s">
        <v>102</v>
      </c>
      <c r="I381" s="10">
        <v>1.0</v>
      </c>
      <c r="J381" s="10" t="s">
        <v>40</v>
      </c>
      <c r="K381" s="10" t="s">
        <v>50</v>
      </c>
      <c r="L381" s="10">
        <v>12.82</v>
      </c>
      <c r="M381" s="10">
        <v>8.0</v>
      </c>
      <c r="N381" s="10">
        <v>2.48</v>
      </c>
      <c r="O381" s="10">
        <v>2.0</v>
      </c>
      <c r="P381" s="10">
        <v>0.0</v>
      </c>
      <c r="Q381" s="10">
        <v>2.0</v>
      </c>
      <c r="R381" s="10">
        <v>1.45</v>
      </c>
      <c r="S381" s="10">
        <v>0.0</v>
      </c>
      <c r="T381" s="10">
        <v>0.0</v>
      </c>
      <c r="U381" s="10">
        <v>0.0</v>
      </c>
      <c r="V381" s="10">
        <v>0.0</v>
      </c>
      <c r="W381" s="10">
        <v>0.0</v>
      </c>
      <c r="X381" s="10">
        <v>0.0</v>
      </c>
      <c r="Y381" s="10">
        <v>0.0</v>
      </c>
      <c r="Z381" s="10">
        <v>0.0</v>
      </c>
      <c r="AA381" s="10">
        <v>0.0</v>
      </c>
      <c r="AB381" s="10">
        <v>0.0</v>
      </c>
      <c r="AC381" s="11" t="s">
        <v>212</v>
      </c>
      <c r="AD381" s="10" t="s">
        <v>641</v>
      </c>
      <c r="AE381" s="9" t="str">
        <f>IFERROR(__xludf.DUMMYFUNCTION("GOOGLETRANSLATE(AD381,""pt"",""en"")"),"clear")</f>
        <v>clear</v>
      </c>
      <c r="AF381" s="10"/>
      <c r="AG381" s="9"/>
      <c r="AH381" s="10"/>
      <c r="AI381" s="9"/>
    </row>
    <row r="382">
      <c r="A382" s="9">
        <v>168.0</v>
      </c>
      <c r="B382" s="10">
        <v>14.0</v>
      </c>
      <c r="C382" s="10">
        <v>28.0</v>
      </c>
      <c r="D382" s="9">
        <v>2.0</v>
      </c>
      <c r="E382" s="10" t="s">
        <v>303</v>
      </c>
      <c r="F382" s="10">
        <v>6.0</v>
      </c>
      <c r="G382" s="10">
        <v>2.0</v>
      </c>
      <c r="H382" s="10" t="s">
        <v>102</v>
      </c>
      <c r="I382" s="10">
        <v>1.0</v>
      </c>
      <c r="J382" s="10" t="s">
        <v>40</v>
      </c>
      <c r="K382" s="10" t="s">
        <v>41</v>
      </c>
      <c r="L382" s="10">
        <v>30.59</v>
      </c>
      <c r="M382" s="10">
        <v>35.0</v>
      </c>
      <c r="N382" s="10">
        <v>11.77</v>
      </c>
      <c r="O382" s="10">
        <v>16.0</v>
      </c>
      <c r="P382" s="10">
        <v>5.0</v>
      </c>
      <c r="Q382" s="10">
        <v>11.0</v>
      </c>
      <c r="R382" s="10">
        <v>7.39</v>
      </c>
      <c r="S382" s="10">
        <v>12.0</v>
      </c>
      <c r="T382" s="10">
        <v>4.23</v>
      </c>
      <c r="U382" s="10">
        <v>3.0</v>
      </c>
      <c r="V382" s="10">
        <v>3.0</v>
      </c>
      <c r="W382" s="10">
        <v>0.0</v>
      </c>
      <c r="X382" s="10">
        <v>6.0</v>
      </c>
      <c r="Y382" s="10">
        <v>6.0</v>
      </c>
      <c r="Z382" s="10">
        <v>0.0</v>
      </c>
      <c r="AA382" s="10">
        <v>4.0</v>
      </c>
      <c r="AB382" s="10">
        <v>2.0</v>
      </c>
      <c r="AC382" s="11" t="s">
        <v>72</v>
      </c>
      <c r="AD382" s="10" t="s">
        <v>464</v>
      </c>
      <c r="AE382" s="9" t="str">
        <f>IFERROR(__xludf.DUMMYFUNCTION("GOOGLETRANSLATE(AD382,""pt"",""en"")"),"unlikely")</f>
        <v>unlikely</v>
      </c>
      <c r="AF382" s="10"/>
      <c r="AG382" s="9"/>
      <c r="AH382" s="10"/>
      <c r="AI382" s="9"/>
    </row>
    <row r="383">
      <c r="A383" s="9">
        <v>180.0</v>
      </c>
      <c r="B383" s="10">
        <v>15.0</v>
      </c>
      <c r="C383" s="10">
        <v>30.0</v>
      </c>
      <c r="D383" s="9">
        <v>2.0</v>
      </c>
      <c r="E383" s="10" t="s">
        <v>303</v>
      </c>
      <c r="F383" s="10">
        <v>6.0</v>
      </c>
      <c r="G383" s="10">
        <v>2.0</v>
      </c>
      <c r="H383" s="10" t="s">
        <v>102</v>
      </c>
      <c r="I383" s="10">
        <v>1.0</v>
      </c>
      <c r="J383" s="10" t="s">
        <v>40</v>
      </c>
      <c r="K383" s="10" t="s">
        <v>50</v>
      </c>
      <c r="L383" s="10">
        <v>11.79</v>
      </c>
      <c r="M383" s="10">
        <v>13.0</v>
      </c>
      <c r="N383" s="10">
        <v>3.42</v>
      </c>
      <c r="O383" s="10">
        <v>6.0</v>
      </c>
      <c r="P383" s="10">
        <v>2.0</v>
      </c>
      <c r="Q383" s="10">
        <v>4.0</v>
      </c>
      <c r="R383" s="10">
        <v>2.86</v>
      </c>
      <c r="S383" s="10">
        <v>3.0</v>
      </c>
      <c r="T383" s="10">
        <v>0.72</v>
      </c>
      <c r="U383" s="10">
        <v>1.0</v>
      </c>
      <c r="V383" s="10">
        <v>1.0</v>
      </c>
      <c r="W383" s="10">
        <v>0.0</v>
      </c>
      <c r="X383" s="10">
        <v>2.0</v>
      </c>
      <c r="Y383" s="10">
        <v>2.0</v>
      </c>
      <c r="Z383" s="10">
        <v>0.0</v>
      </c>
      <c r="AA383" s="10">
        <v>2.0</v>
      </c>
      <c r="AB383" s="10">
        <v>0.0</v>
      </c>
      <c r="AC383" s="11" t="s">
        <v>245</v>
      </c>
      <c r="AD383" s="10" t="s">
        <v>664</v>
      </c>
      <c r="AE383" s="9" t="str">
        <f>IFERROR(__xludf.DUMMYFUNCTION("GOOGLETRANSLATE(AD383,""pt"",""en"")"),"Only 1 elem&gt; 30")</f>
        <v>Only 1 elem&gt; 30</v>
      </c>
      <c r="AF383" s="10" t="s">
        <v>665</v>
      </c>
      <c r="AG383" s="9" t="str">
        <f>IFERROR(__xludf.DUMMYFUNCTION("GOOGLETRANSLATE(AF383,""pt"",""en"")"),"only increased 1x")</f>
        <v>only increased 1x</v>
      </c>
      <c r="AH383" s="10"/>
      <c r="AI383" s="9"/>
    </row>
    <row r="384">
      <c r="A384" s="9">
        <v>192.0</v>
      </c>
      <c r="B384" s="9">
        <v>16.0</v>
      </c>
      <c r="C384" s="10">
        <v>32.0</v>
      </c>
      <c r="D384" s="9">
        <v>2.0</v>
      </c>
      <c r="E384" s="10" t="s">
        <v>303</v>
      </c>
      <c r="F384" s="10">
        <v>6.0</v>
      </c>
      <c r="G384" s="10">
        <v>2.0</v>
      </c>
      <c r="H384" s="10" t="s">
        <v>39</v>
      </c>
      <c r="I384" s="9">
        <v>1.0</v>
      </c>
      <c r="J384" s="10" t="s">
        <v>40</v>
      </c>
      <c r="K384" s="10"/>
      <c r="L384" s="10">
        <v>15.12</v>
      </c>
      <c r="M384" s="10">
        <v>20.0</v>
      </c>
      <c r="N384" s="10">
        <v>6.11</v>
      </c>
      <c r="O384" s="10">
        <v>7.0</v>
      </c>
      <c r="P384" s="10">
        <v>2.0</v>
      </c>
      <c r="Q384" s="10">
        <v>5.0</v>
      </c>
      <c r="R384" s="10">
        <v>3.28</v>
      </c>
      <c r="S384" s="10">
        <v>5.0</v>
      </c>
      <c r="T384" s="10">
        <v>1.75</v>
      </c>
      <c r="U384" s="10">
        <v>1.0</v>
      </c>
      <c r="V384" s="10">
        <v>1.0</v>
      </c>
      <c r="W384" s="10">
        <v>0.0</v>
      </c>
      <c r="X384" s="10">
        <v>2.0</v>
      </c>
      <c r="Y384" s="10">
        <v>2.0</v>
      </c>
      <c r="Z384" s="10">
        <v>0.0</v>
      </c>
      <c r="AA384" s="10">
        <v>1.0</v>
      </c>
      <c r="AB384" s="10">
        <v>1.0</v>
      </c>
      <c r="AC384" s="11" t="s">
        <v>146</v>
      </c>
      <c r="AD384" s="10" t="s">
        <v>464</v>
      </c>
      <c r="AE384" s="9" t="str">
        <f>IFERROR(__xludf.DUMMYFUNCTION("GOOGLETRANSLATE(AD384,""pt"",""en"")"),"unlikely")</f>
        <v>unlikely</v>
      </c>
      <c r="AF384" s="10" t="s">
        <v>666</v>
      </c>
      <c r="AG384" s="9" t="str">
        <f>IFERROR(__xludf.DUMMYFUNCTION("GOOGLETRANSLATE(AF384,""pt"",""en"")"),"observed the increase")</f>
        <v>observed the increase</v>
      </c>
      <c r="AH384" s="10"/>
      <c r="AI384" s="9"/>
    </row>
    <row r="385">
      <c r="A385" s="9">
        <v>349.0</v>
      </c>
      <c r="B385" s="10">
        <v>14.0</v>
      </c>
      <c r="C385" s="10">
        <v>27.0</v>
      </c>
      <c r="D385" s="9">
        <v>1.0</v>
      </c>
      <c r="E385" s="10" t="s">
        <v>367</v>
      </c>
      <c r="F385" s="10">
        <v>1.0</v>
      </c>
      <c r="G385" s="10">
        <v>1.0</v>
      </c>
      <c r="H385" s="10" t="s">
        <v>102</v>
      </c>
      <c r="I385" s="10">
        <v>2.0</v>
      </c>
      <c r="J385" s="10" t="s">
        <v>105</v>
      </c>
      <c r="K385" s="10" t="s">
        <v>41</v>
      </c>
      <c r="L385" s="10">
        <v>128.86</v>
      </c>
      <c r="M385" s="10">
        <v>170.0</v>
      </c>
      <c r="N385" s="10">
        <v>53.59</v>
      </c>
      <c r="O385" s="10">
        <v>70.0</v>
      </c>
      <c r="P385" s="10">
        <v>17.0</v>
      </c>
      <c r="Q385" s="10">
        <v>53.0</v>
      </c>
      <c r="R385" s="10">
        <v>41.21</v>
      </c>
      <c r="S385" s="10">
        <v>59.0</v>
      </c>
      <c r="T385" s="10">
        <v>18.57</v>
      </c>
      <c r="U385" s="10">
        <v>10.0</v>
      </c>
      <c r="V385" s="10">
        <v>4.0</v>
      </c>
      <c r="W385" s="10">
        <v>6.0</v>
      </c>
      <c r="X385" s="10">
        <v>26.0</v>
      </c>
      <c r="Y385" s="10">
        <v>0.0</v>
      </c>
      <c r="Z385" s="10">
        <v>26.0</v>
      </c>
      <c r="AA385" s="10">
        <v>0.0</v>
      </c>
      <c r="AB385" s="10">
        <v>27.0</v>
      </c>
      <c r="AC385" s="11" t="s">
        <v>69</v>
      </c>
      <c r="AD385" s="10" t="s">
        <v>464</v>
      </c>
      <c r="AE385" s="9" t="str">
        <f>IFERROR(__xludf.DUMMYFUNCTION("GOOGLETRANSLATE(AD385,""pt"",""en"")"),"unlikely")</f>
        <v>unlikely</v>
      </c>
      <c r="AF385" s="10"/>
      <c r="AG385" s="9"/>
      <c r="AH385" s="10"/>
      <c r="AI385" s="9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29">
        <f>COUNTA(AJ2:AJ385)</f>
        <v>142</v>
      </c>
      <c r="AK386" s="29"/>
      <c r="AL386" s="10">
        <f>COUNTA(AL2:AL385)</f>
        <v>22</v>
      </c>
      <c r="AM386" s="10"/>
      <c r="AN386" s="10">
        <f>COUNTA(AN2:AN385)</f>
        <v>7</v>
      </c>
      <c r="AO386" s="10"/>
    </row>
    <row r="387">
      <c r="A387" s="15"/>
      <c r="D387" s="15"/>
      <c r="AC387" s="17"/>
      <c r="AJ387" s="30"/>
      <c r="AK387" s="30"/>
      <c r="AL387" s="31"/>
      <c r="AM387" s="31"/>
      <c r="AN387" s="31"/>
      <c r="AO387" s="31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</row>
    <row r="388">
      <c r="A388" s="15"/>
      <c r="D388" s="15"/>
      <c r="AC388" s="17"/>
      <c r="AJ388" s="30"/>
      <c r="AK388" s="30"/>
      <c r="AL388" s="31"/>
      <c r="AM388" s="31"/>
      <c r="AN388" s="31"/>
      <c r="AO388" s="31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</row>
    <row r="389">
      <c r="A389" s="15"/>
      <c r="B389" s="15"/>
      <c r="D389" s="15"/>
      <c r="I389" s="15"/>
      <c r="J389" s="15"/>
      <c r="K389" s="15"/>
      <c r="AC389" s="17"/>
      <c r="AJ389" s="30"/>
      <c r="AK389" s="30"/>
      <c r="AL389" s="31"/>
      <c r="AM389" s="31"/>
      <c r="AN389" s="31"/>
      <c r="AO389" s="31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</row>
    <row r="390">
      <c r="A390" s="15"/>
      <c r="D390" s="15"/>
      <c r="AC390" s="17"/>
      <c r="AD390" s="15"/>
      <c r="AE390" s="15"/>
      <c r="AF390" s="15"/>
      <c r="AG390" s="15"/>
      <c r="AJ390" s="30"/>
      <c r="AK390" s="30"/>
      <c r="AL390" s="32"/>
      <c r="AM390" s="32"/>
      <c r="AN390" s="31"/>
      <c r="AO390" s="31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</row>
    <row r="391">
      <c r="A391" s="15"/>
      <c r="D391" s="15"/>
      <c r="AC391" s="17"/>
      <c r="AJ391" s="33"/>
      <c r="AK391" s="33"/>
      <c r="AL391" s="32"/>
      <c r="AM391" s="32"/>
      <c r="AN391" s="31"/>
      <c r="AO391" s="31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</row>
    <row r="392">
      <c r="A392" s="15"/>
      <c r="D392" s="15"/>
      <c r="AC392" s="17"/>
      <c r="AJ392" s="30"/>
      <c r="AK392" s="30"/>
      <c r="AL392" s="32"/>
      <c r="AM392" s="32"/>
      <c r="AN392" s="31"/>
      <c r="AO392" s="31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</row>
    <row r="393">
      <c r="A393" s="15"/>
      <c r="D393" s="15"/>
      <c r="AC393" s="17"/>
      <c r="AJ393" s="33"/>
      <c r="AK393" s="33"/>
      <c r="AL393" s="32"/>
      <c r="AM393" s="32"/>
      <c r="AN393" s="31"/>
      <c r="AO393" s="31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</row>
    <row r="394">
      <c r="A394" s="15"/>
      <c r="D394" s="15"/>
      <c r="AC394" s="17"/>
      <c r="AJ394" s="30"/>
      <c r="AK394" s="30"/>
      <c r="AL394" s="32"/>
      <c r="AM394" s="32"/>
      <c r="AN394" s="31"/>
      <c r="AO394" s="31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</row>
    <row r="395">
      <c r="A395" s="15"/>
      <c r="D395" s="15"/>
      <c r="AC395" s="17"/>
      <c r="AD395" s="15"/>
      <c r="AE395" s="15"/>
      <c r="AJ395" s="30"/>
      <c r="AK395" s="30"/>
      <c r="AL395" s="32"/>
      <c r="AM395" s="32"/>
      <c r="AN395" s="31"/>
      <c r="AO395" s="31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</row>
    <row r="396">
      <c r="A396" s="15"/>
      <c r="B396" s="15"/>
      <c r="D396" s="15"/>
      <c r="AC396" s="17"/>
      <c r="AD396" s="15"/>
      <c r="AE396" s="15"/>
      <c r="AJ396" s="30"/>
      <c r="AK396" s="30"/>
      <c r="AL396" s="32"/>
      <c r="AM396" s="32"/>
      <c r="AN396" s="31"/>
      <c r="AO396" s="31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</row>
    <row r="397">
      <c r="A397" s="15"/>
      <c r="D397" s="15"/>
      <c r="AC397" s="17"/>
      <c r="AJ397" s="30"/>
      <c r="AK397" s="30"/>
      <c r="AL397" s="32"/>
      <c r="AM397" s="32"/>
      <c r="AN397" s="31"/>
      <c r="AO397" s="31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</row>
    <row r="398">
      <c r="A398" s="15"/>
      <c r="D398" s="15"/>
      <c r="AC398" s="17"/>
      <c r="AJ398" s="30"/>
      <c r="AK398" s="30"/>
      <c r="AL398" s="32"/>
      <c r="AM398" s="32"/>
      <c r="AN398" s="31"/>
      <c r="AO398" s="31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</row>
    <row r="399">
      <c r="A399" s="15"/>
      <c r="D399" s="15"/>
      <c r="AC399" s="17"/>
      <c r="AJ399" s="30"/>
      <c r="AK399" s="30"/>
      <c r="AL399" s="32"/>
      <c r="AM399" s="32"/>
      <c r="AN399" s="31"/>
      <c r="AO399" s="31"/>
    </row>
    <row r="400">
      <c r="A400" s="15"/>
      <c r="D400" s="15"/>
      <c r="AC400" s="17"/>
      <c r="AD400" s="15"/>
      <c r="AE400" s="15"/>
      <c r="AJ400" s="30"/>
      <c r="AK400" s="30"/>
      <c r="AL400" s="32"/>
      <c r="AM400" s="32"/>
      <c r="AN400" s="31"/>
      <c r="AO400" s="31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</row>
    <row r="401">
      <c r="A401" s="15"/>
      <c r="D401" s="15"/>
      <c r="AC401" s="17"/>
      <c r="AJ401" s="30"/>
      <c r="AK401" s="30"/>
      <c r="AL401" s="32"/>
      <c r="AM401" s="32"/>
      <c r="AN401" s="31"/>
      <c r="AO401" s="31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</row>
    <row r="402">
      <c r="A402" s="15"/>
      <c r="D402" s="15"/>
      <c r="AC402" s="17"/>
      <c r="AD402" s="15"/>
      <c r="AE402" s="15"/>
      <c r="AJ402" s="30"/>
      <c r="AK402" s="30"/>
      <c r="AL402" s="32"/>
      <c r="AM402" s="32"/>
      <c r="AN402" s="31"/>
      <c r="AO402" s="31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</row>
    <row r="403">
      <c r="A403" s="15"/>
      <c r="D403" s="15"/>
      <c r="AC403" s="17"/>
      <c r="AJ403" s="30"/>
      <c r="AK403" s="30"/>
      <c r="AL403" s="31"/>
      <c r="AM403" s="31"/>
      <c r="AN403" s="31"/>
      <c r="AO403" s="31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</row>
    <row r="404">
      <c r="A404" s="15"/>
      <c r="D404" s="15"/>
      <c r="AC404" s="17"/>
      <c r="AJ404" s="30"/>
      <c r="AK404" s="30"/>
      <c r="AL404" s="31"/>
      <c r="AM404" s="31"/>
      <c r="AN404" s="31"/>
      <c r="AO404" s="31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</row>
    <row r="405">
      <c r="A405" s="15"/>
      <c r="D405" s="15"/>
      <c r="AC405" s="17"/>
      <c r="AJ405" s="30"/>
      <c r="AK405" s="30"/>
      <c r="AL405" s="32"/>
      <c r="AM405" s="32"/>
      <c r="AN405" s="31"/>
      <c r="AO405" s="31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</row>
    <row r="406">
      <c r="A406" s="15"/>
      <c r="D406" s="15"/>
      <c r="AC406" s="17"/>
      <c r="AJ406" s="30"/>
      <c r="AK406" s="30"/>
      <c r="AL406" s="31"/>
      <c r="AM406" s="31"/>
      <c r="AN406" s="31"/>
      <c r="AO406" s="31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</row>
    <row r="407">
      <c r="A407" s="15"/>
      <c r="D407" s="15"/>
      <c r="AC407" s="17"/>
      <c r="AJ407" s="33"/>
      <c r="AK407" s="33"/>
      <c r="AL407" s="31"/>
      <c r="AM407" s="31"/>
      <c r="AN407" s="31"/>
      <c r="AO407" s="31"/>
    </row>
    <row r="408">
      <c r="A408" s="15"/>
      <c r="D408" s="15"/>
      <c r="AC408" s="17"/>
      <c r="AJ408" s="30"/>
      <c r="AK408" s="30"/>
      <c r="AL408" s="31"/>
      <c r="AM408" s="31"/>
      <c r="AN408" s="31"/>
      <c r="AO408" s="31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</row>
    <row r="409">
      <c r="A409" s="15"/>
      <c r="D409" s="15"/>
      <c r="AC409" s="17"/>
      <c r="AJ409" s="30"/>
      <c r="AK409" s="30"/>
      <c r="AL409" s="31"/>
      <c r="AM409" s="31"/>
      <c r="AN409" s="31"/>
      <c r="AO409" s="31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</row>
    <row r="410">
      <c r="A410" s="15"/>
      <c r="D410" s="15"/>
      <c r="AC410" s="17"/>
      <c r="AJ410" s="30"/>
      <c r="AK410" s="30"/>
      <c r="AL410" s="31"/>
      <c r="AM410" s="31"/>
      <c r="AN410" s="31"/>
      <c r="AO410" s="31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</row>
    <row r="411">
      <c r="A411" s="15"/>
      <c r="D411" s="15"/>
      <c r="AC411" s="17"/>
      <c r="AJ411" s="30"/>
      <c r="AK411" s="30"/>
      <c r="AL411" s="31"/>
      <c r="AM411" s="31"/>
      <c r="AN411" s="31"/>
      <c r="AO411" s="31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</row>
    <row r="412">
      <c r="A412" s="15"/>
      <c r="D412" s="15"/>
      <c r="AC412" s="17"/>
      <c r="AJ412" s="30"/>
      <c r="AK412" s="30"/>
      <c r="AL412" s="31"/>
      <c r="AM412" s="31"/>
      <c r="AN412" s="31"/>
      <c r="AO412" s="31"/>
    </row>
    <row r="413">
      <c r="A413" s="15"/>
      <c r="D413" s="15"/>
      <c r="AC413" s="17"/>
      <c r="AJ413" s="30"/>
      <c r="AK413" s="30"/>
      <c r="AL413" s="31"/>
      <c r="AM413" s="31"/>
      <c r="AN413" s="31"/>
      <c r="AO413" s="31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</row>
    <row r="414">
      <c r="A414" s="15"/>
      <c r="D414" s="15"/>
      <c r="AC414" s="17"/>
      <c r="AJ414" s="30"/>
      <c r="AK414" s="30"/>
      <c r="AL414" s="31"/>
      <c r="AM414" s="31"/>
      <c r="AN414" s="31"/>
      <c r="AO414" s="31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</row>
    <row r="415">
      <c r="A415" s="15"/>
      <c r="D415" s="15"/>
      <c r="AC415" s="17"/>
      <c r="AJ415" s="30"/>
      <c r="AK415" s="30"/>
      <c r="AL415" s="31"/>
      <c r="AM415" s="31"/>
      <c r="AN415" s="31"/>
      <c r="AO415" s="31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</row>
    <row r="416">
      <c r="A416" s="15"/>
      <c r="D416" s="15"/>
      <c r="AC416" s="17"/>
      <c r="AJ416" s="30"/>
      <c r="AK416" s="30"/>
      <c r="AL416" s="31"/>
      <c r="AM416" s="31"/>
      <c r="AN416" s="31"/>
      <c r="AO416" s="31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</row>
    <row r="417">
      <c r="A417" s="15"/>
      <c r="D417" s="15"/>
      <c r="AC417" s="17"/>
      <c r="AJ417" s="30"/>
      <c r="AK417" s="30"/>
      <c r="AL417" s="31"/>
      <c r="AM417" s="31"/>
      <c r="AN417" s="31"/>
      <c r="AO417" s="31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</row>
    <row r="418">
      <c r="A418" s="15"/>
      <c r="D418" s="15"/>
      <c r="AC418" s="17"/>
      <c r="AJ418" s="30"/>
      <c r="AK418" s="30"/>
      <c r="AL418" s="31"/>
      <c r="AM418" s="31"/>
      <c r="AN418" s="31"/>
      <c r="AO418" s="31"/>
    </row>
    <row r="419">
      <c r="A419" s="15"/>
      <c r="D419" s="15"/>
      <c r="AC419" s="17"/>
      <c r="AJ419" s="30"/>
      <c r="AK419" s="30"/>
      <c r="AL419" s="31"/>
      <c r="AM419" s="31"/>
      <c r="AN419" s="31"/>
      <c r="AO419" s="31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</row>
    <row r="420">
      <c r="A420" s="15"/>
      <c r="D420" s="15"/>
      <c r="AC420" s="17"/>
      <c r="AJ420" s="30"/>
      <c r="AK420" s="30"/>
      <c r="AL420" s="31"/>
      <c r="AM420" s="31"/>
      <c r="AN420" s="31"/>
      <c r="AO420" s="31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</row>
    <row r="421">
      <c r="A421" s="15"/>
      <c r="D421" s="15"/>
      <c r="AC421" s="17"/>
      <c r="AJ421" s="30"/>
      <c r="AK421" s="30"/>
      <c r="AL421" s="31"/>
      <c r="AM421" s="31"/>
      <c r="AN421" s="31"/>
      <c r="AO421" s="31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</row>
    <row r="422">
      <c r="A422" s="15"/>
      <c r="D422" s="15"/>
      <c r="AC422" s="17"/>
      <c r="AJ422" s="30"/>
      <c r="AK422" s="30"/>
      <c r="AL422" s="31"/>
      <c r="AM422" s="31"/>
      <c r="AN422" s="31"/>
      <c r="AO422" s="31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</row>
    <row r="423">
      <c r="A423" s="15"/>
      <c r="D423" s="15"/>
      <c r="AC423" s="17"/>
      <c r="AJ423" s="30"/>
      <c r="AK423" s="30"/>
      <c r="AL423" s="31"/>
      <c r="AM423" s="31"/>
      <c r="AN423" s="31"/>
      <c r="AO423" s="31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</row>
    <row r="424">
      <c r="A424" s="15"/>
      <c r="D424" s="15"/>
      <c r="AC424" s="17"/>
      <c r="AJ424" s="30"/>
      <c r="AK424" s="30"/>
      <c r="AL424" s="31"/>
      <c r="AM424" s="31"/>
      <c r="AN424" s="31"/>
      <c r="AO424" s="31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</row>
    <row r="425">
      <c r="A425" s="15"/>
      <c r="D425" s="15"/>
      <c r="AC425" s="17"/>
      <c r="AJ425" s="30"/>
      <c r="AK425" s="30"/>
      <c r="AL425" s="31"/>
      <c r="AM425" s="31"/>
      <c r="AN425" s="31"/>
      <c r="AO425" s="31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</row>
    <row r="426">
      <c r="A426" s="15"/>
      <c r="D426" s="15"/>
      <c r="AC426" s="17"/>
      <c r="AJ426" s="30"/>
      <c r="AK426" s="30"/>
      <c r="AL426" s="31"/>
      <c r="AM426" s="31"/>
      <c r="AN426" s="31"/>
      <c r="AO426" s="31"/>
    </row>
    <row r="427">
      <c r="A427" s="15"/>
      <c r="D427" s="15"/>
      <c r="AC427" s="17"/>
      <c r="AJ427" s="30"/>
      <c r="AK427" s="30"/>
      <c r="AL427" s="31"/>
      <c r="AM427" s="31"/>
      <c r="AN427" s="31"/>
      <c r="AO427" s="31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</row>
    <row r="428">
      <c r="A428" s="15"/>
      <c r="D428" s="15"/>
      <c r="AC428" s="17"/>
      <c r="AJ428" s="30"/>
      <c r="AK428" s="30"/>
      <c r="AL428" s="31"/>
      <c r="AM428" s="31"/>
      <c r="AN428" s="31"/>
      <c r="AO428" s="31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</row>
    <row r="429">
      <c r="A429" s="15"/>
      <c r="D429" s="15"/>
      <c r="AC429" s="17"/>
      <c r="AJ429" s="30"/>
      <c r="AK429" s="30"/>
      <c r="AL429" s="31"/>
      <c r="AM429" s="31"/>
      <c r="AN429" s="31"/>
      <c r="AO429" s="31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</row>
    <row r="430">
      <c r="A430" s="15"/>
      <c r="D430" s="15"/>
      <c r="AC430" s="17"/>
      <c r="AJ430" s="30"/>
      <c r="AK430" s="30"/>
      <c r="AL430" s="31"/>
      <c r="AM430" s="31"/>
      <c r="AN430" s="31"/>
      <c r="AO430" s="31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</row>
    <row r="431">
      <c r="A431" s="15"/>
      <c r="D431" s="15"/>
      <c r="AC431" s="17"/>
      <c r="AJ431" s="30"/>
      <c r="AK431" s="30"/>
      <c r="AL431" s="31"/>
      <c r="AM431" s="31"/>
      <c r="AN431" s="31"/>
      <c r="AO431" s="31"/>
    </row>
    <row r="432">
      <c r="A432" s="15"/>
      <c r="D432" s="15"/>
      <c r="AC432" s="17"/>
      <c r="AJ432" s="30"/>
      <c r="AK432" s="30"/>
      <c r="AL432" s="31"/>
      <c r="AM432" s="31"/>
      <c r="AN432" s="31"/>
      <c r="AO432" s="31"/>
    </row>
    <row r="433">
      <c r="A433" s="15"/>
      <c r="D433" s="15"/>
      <c r="AC433" s="17"/>
      <c r="AJ433" s="30"/>
      <c r="AK433" s="30"/>
      <c r="AL433" s="31"/>
      <c r="AM433" s="31"/>
      <c r="AN433" s="31"/>
      <c r="AO433" s="31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</row>
    <row r="434">
      <c r="A434" s="15"/>
      <c r="D434" s="15"/>
      <c r="AC434" s="17"/>
      <c r="AJ434" s="30"/>
      <c r="AK434" s="30"/>
      <c r="AL434" s="31"/>
      <c r="AM434" s="31"/>
      <c r="AN434" s="31"/>
      <c r="AO434" s="31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</row>
    <row r="435">
      <c r="A435" s="15"/>
      <c r="B435" s="15"/>
      <c r="D435" s="15"/>
      <c r="AC435" s="17"/>
      <c r="AJ435" s="30"/>
      <c r="AK435" s="30"/>
      <c r="AL435" s="31"/>
      <c r="AM435" s="31"/>
      <c r="AN435" s="31"/>
      <c r="AO435" s="31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</row>
    <row r="436">
      <c r="A436" s="15"/>
      <c r="D436" s="15"/>
      <c r="AC436" s="17"/>
      <c r="AJ436" s="33"/>
      <c r="AK436" s="33"/>
      <c r="AL436" s="31"/>
      <c r="AM436" s="31"/>
      <c r="AN436" s="31"/>
      <c r="AO436" s="31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</row>
    <row r="437">
      <c r="A437" s="15"/>
      <c r="D437" s="15"/>
      <c r="AC437" s="17"/>
      <c r="AJ437" s="30"/>
      <c r="AK437" s="30"/>
      <c r="AL437" s="31"/>
      <c r="AM437" s="31"/>
      <c r="AN437" s="31"/>
      <c r="AO437" s="31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</row>
    <row r="438">
      <c r="A438" s="15"/>
      <c r="D438" s="15"/>
      <c r="AC438" s="17"/>
      <c r="AJ438" s="30"/>
      <c r="AK438" s="30"/>
      <c r="AL438" s="31"/>
      <c r="AM438" s="31"/>
      <c r="AN438" s="31"/>
      <c r="AO438" s="31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</row>
    <row r="439">
      <c r="A439" s="15"/>
      <c r="D439" s="15"/>
      <c r="AC439" s="17"/>
      <c r="AJ439" s="30"/>
      <c r="AK439" s="30"/>
      <c r="AL439" s="31"/>
      <c r="AM439" s="31"/>
      <c r="AN439" s="31"/>
      <c r="AO439" s="31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</row>
    <row r="440">
      <c r="A440" s="15"/>
      <c r="D440" s="15"/>
      <c r="AC440" s="17"/>
      <c r="AJ440" s="30"/>
      <c r="AK440" s="30"/>
      <c r="AL440" s="31"/>
      <c r="AM440" s="31"/>
      <c r="AN440" s="31"/>
      <c r="AO440" s="31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</row>
    <row r="441">
      <c r="A441" s="15"/>
      <c r="D441" s="15"/>
      <c r="AC441" s="17"/>
      <c r="AJ441" s="30"/>
      <c r="AK441" s="30"/>
      <c r="AL441" s="31"/>
      <c r="AM441" s="31"/>
      <c r="AN441" s="31"/>
      <c r="AO441" s="31"/>
    </row>
    <row r="442">
      <c r="A442" s="15"/>
      <c r="D442" s="15"/>
      <c r="AC442" s="17"/>
      <c r="AJ442" s="30"/>
      <c r="AK442" s="30"/>
      <c r="AL442" s="31"/>
      <c r="AM442" s="31"/>
      <c r="AN442" s="31"/>
      <c r="AO442" s="31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</row>
    <row r="443">
      <c r="A443" s="15"/>
      <c r="D443" s="15"/>
      <c r="AC443" s="17"/>
      <c r="AJ443" s="30"/>
      <c r="AK443" s="30"/>
      <c r="AL443" s="31"/>
      <c r="AM443" s="31"/>
      <c r="AN443" s="31"/>
      <c r="AO443" s="31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</row>
    <row r="444">
      <c r="A444" s="15"/>
      <c r="D444" s="15"/>
      <c r="AC444" s="17"/>
      <c r="AJ444" s="30"/>
      <c r="AK444" s="30"/>
      <c r="AL444" s="31"/>
      <c r="AM444" s="31"/>
      <c r="AN444" s="31"/>
      <c r="AO444" s="31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</row>
    <row r="445">
      <c r="A445" s="15"/>
      <c r="D445" s="15"/>
      <c r="AC445" s="17"/>
      <c r="AJ445" s="30"/>
      <c r="AK445" s="30"/>
      <c r="AL445" s="31"/>
      <c r="AM445" s="31"/>
      <c r="AN445" s="31"/>
      <c r="AO445" s="31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</row>
    <row r="446">
      <c r="A446" s="15"/>
      <c r="D446" s="15"/>
      <c r="AC446" s="17"/>
      <c r="AJ446" s="33"/>
      <c r="AK446" s="33"/>
      <c r="AL446" s="31"/>
      <c r="AM446" s="31"/>
      <c r="AN446" s="31"/>
      <c r="AO446" s="31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</row>
    <row r="447">
      <c r="A447" s="15"/>
      <c r="D447" s="15"/>
      <c r="AC447" s="17"/>
      <c r="AJ447" s="30"/>
      <c r="AK447" s="30"/>
      <c r="AL447" s="31"/>
      <c r="AM447" s="31"/>
      <c r="AN447" s="31"/>
      <c r="AO447" s="31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</row>
    <row r="448">
      <c r="A448" s="15"/>
      <c r="D448" s="15"/>
      <c r="AC448" s="17"/>
      <c r="AJ448" s="30"/>
      <c r="AK448" s="30"/>
      <c r="AL448" s="31"/>
      <c r="AM448" s="31"/>
      <c r="AN448" s="31"/>
      <c r="AO448" s="31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</row>
    <row r="449">
      <c r="A449" s="15"/>
      <c r="D449" s="15"/>
      <c r="AC449" s="17"/>
      <c r="AJ449" s="30"/>
      <c r="AK449" s="30"/>
      <c r="AL449" s="31"/>
      <c r="AM449" s="31"/>
      <c r="AN449" s="31"/>
      <c r="AO449" s="31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</row>
    <row r="450">
      <c r="A450" s="15"/>
      <c r="D450" s="15"/>
      <c r="AC450" s="17"/>
      <c r="AJ450" s="30"/>
      <c r="AK450" s="30"/>
      <c r="AL450" s="31"/>
      <c r="AM450" s="31"/>
      <c r="AN450" s="31"/>
      <c r="AO450" s="31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</row>
    <row r="451">
      <c r="A451" s="15"/>
      <c r="D451" s="15"/>
      <c r="AC451" s="17"/>
      <c r="AJ451" s="33"/>
      <c r="AK451" s="33"/>
      <c r="AL451" s="31"/>
      <c r="AM451" s="31"/>
      <c r="AN451" s="31"/>
      <c r="AO451" s="31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</row>
    <row r="452">
      <c r="A452" s="15"/>
      <c r="D452" s="15"/>
      <c r="AC452" s="17"/>
      <c r="AD452" s="15"/>
      <c r="AE452" s="15"/>
      <c r="AJ452" s="30"/>
      <c r="AK452" s="30"/>
      <c r="AL452" s="31"/>
      <c r="AM452" s="31"/>
      <c r="AN452" s="31"/>
      <c r="AO452" s="31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</row>
    <row r="453">
      <c r="A453" s="15"/>
      <c r="D453" s="15"/>
      <c r="AC453" s="17"/>
      <c r="AJ453" s="30"/>
      <c r="AK453" s="30"/>
      <c r="AL453" s="31"/>
      <c r="AM453" s="31"/>
      <c r="AN453" s="31"/>
      <c r="AO453" s="31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</row>
    <row r="454">
      <c r="A454" s="15"/>
      <c r="D454" s="15"/>
      <c r="AC454" s="17"/>
      <c r="AJ454" s="30"/>
      <c r="AK454" s="30"/>
      <c r="AL454" s="31"/>
      <c r="AM454" s="31"/>
      <c r="AN454" s="31"/>
      <c r="AO454" s="31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</row>
    <row r="455">
      <c r="A455" s="15"/>
      <c r="D455" s="15"/>
      <c r="AC455" s="17"/>
      <c r="AJ455" s="33"/>
      <c r="AK455" s="33"/>
      <c r="AL455" s="31"/>
      <c r="AM455" s="31"/>
      <c r="AN455" s="31"/>
      <c r="AO455" s="31"/>
    </row>
    <row r="456">
      <c r="A456" s="15"/>
      <c r="D456" s="15"/>
      <c r="AC456" s="17"/>
      <c r="AJ456" s="30"/>
      <c r="AK456" s="30"/>
      <c r="AL456" s="31"/>
      <c r="AM456" s="31"/>
      <c r="AN456" s="31"/>
      <c r="AO456" s="31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</row>
    <row r="457">
      <c r="A457" s="15"/>
      <c r="D457" s="15"/>
      <c r="AC457" s="17"/>
      <c r="AJ457" s="30"/>
      <c r="AK457" s="30"/>
      <c r="AL457" s="31"/>
      <c r="AM457" s="31"/>
      <c r="AN457" s="31"/>
      <c r="AO457" s="31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</row>
    <row r="458">
      <c r="A458" s="15"/>
      <c r="D458" s="15"/>
      <c r="AC458" s="17"/>
      <c r="AJ458" s="30"/>
      <c r="AK458" s="30"/>
      <c r="AL458" s="31"/>
      <c r="AM458" s="31"/>
      <c r="AN458" s="31"/>
      <c r="AO458" s="31"/>
    </row>
    <row r="459">
      <c r="A459" s="15"/>
      <c r="D459" s="15"/>
      <c r="AC459" s="17"/>
      <c r="AJ459" s="30"/>
      <c r="AK459" s="30"/>
      <c r="AL459" s="31"/>
      <c r="AM459" s="31"/>
      <c r="AN459" s="31"/>
      <c r="AO459" s="31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</row>
    <row r="460">
      <c r="A460" s="15"/>
      <c r="D460" s="15"/>
      <c r="AC460" s="17"/>
      <c r="AJ460" s="30"/>
      <c r="AK460" s="30"/>
      <c r="AL460" s="31"/>
      <c r="AM460" s="31"/>
      <c r="AN460" s="31"/>
      <c r="AO460" s="31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</row>
    <row r="461">
      <c r="A461" s="15"/>
      <c r="B461" s="15"/>
      <c r="D461" s="15"/>
      <c r="AC461" s="17"/>
      <c r="AJ461" s="30"/>
      <c r="AK461" s="30"/>
      <c r="AL461" s="31"/>
      <c r="AM461" s="31"/>
      <c r="AN461" s="31"/>
      <c r="AO461" s="31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</row>
    <row r="462">
      <c r="A462" s="15"/>
      <c r="D462" s="15"/>
      <c r="AC462" s="17"/>
      <c r="AJ462" s="30"/>
      <c r="AK462" s="30"/>
      <c r="AL462" s="31"/>
      <c r="AM462" s="31"/>
      <c r="AN462" s="31"/>
      <c r="AO462" s="31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</row>
    <row r="463">
      <c r="A463" s="15"/>
      <c r="D463" s="15"/>
      <c r="AC463" s="17"/>
      <c r="AH463" s="15"/>
      <c r="AI463" s="15"/>
      <c r="AJ463" s="30"/>
      <c r="AK463" s="30"/>
      <c r="AL463" s="31"/>
      <c r="AM463" s="31"/>
      <c r="AN463" s="31"/>
      <c r="AO463" s="31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</row>
    <row r="464">
      <c r="A464" s="15"/>
      <c r="D464" s="15"/>
      <c r="AC464" s="17"/>
      <c r="AJ464" s="30"/>
      <c r="AK464" s="30"/>
      <c r="AL464" s="31"/>
      <c r="AM464" s="31"/>
      <c r="AN464" s="31"/>
      <c r="AO464" s="31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</row>
    <row r="465">
      <c r="A465" s="15"/>
      <c r="D465" s="15"/>
      <c r="AC465" s="17"/>
      <c r="AJ465" s="33"/>
      <c r="AK465" s="33"/>
      <c r="AL465" s="31"/>
      <c r="AM465" s="31"/>
      <c r="AN465" s="31"/>
      <c r="AO465" s="31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</row>
    <row r="466">
      <c r="A466" s="15"/>
      <c r="D466" s="15"/>
      <c r="AC466" s="17"/>
      <c r="AJ466" s="30"/>
      <c r="AK466" s="30"/>
      <c r="AL466" s="31"/>
      <c r="AM466" s="31"/>
      <c r="AN466" s="31"/>
      <c r="AO466" s="31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</row>
    <row r="467">
      <c r="A467" s="15"/>
      <c r="D467" s="15"/>
      <c r="AC467" s="17"/>
      <c r="AJ467" s="30"/>
      <c r="AK467" s="30"/>
      <c r="AL467" s="31"/>
      <c r="AM467" s="31"/>
      <c r="AN467" s="31"/>
      <c r="AO467" s="31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</row>
    <row r="468">
      <c r="A468" s="15"/>
      <c r="D468" s="15"/>
      <c r="AC468" s="17"/>
      <c r="AJ468" s="30"/>
      <c r="AK468" s="30"/>
      <c r="AL468" s="31"/>
      <c r="AM468" s="31"/>
      <c r="AN468" s="31"/>
      <c r="AO468" s="31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</row>
    <row r="469">
      <c r="A469" s="15"/>
      <c r="D469" s="15"/>
      <c r="AC469" s="17"/>
      <c r="AJ469" s="30"/>
      <c r="AK469" s="30"/>
      <c r="AL469" s="31"/>
      <c r="AM469" s="31"/>
      <c r="AN469" s="31"/>
      <c r="AO469" s="31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</row>
    <row r="470">
      <c r="A470" s="15"/>
      <c r="D470" s="15"/>
      <c r="AC470" s="17"/>
      <c r="AJ470" s="30"/>
      <c r="AK470" s="30"/>
      <c r="AL470" s="31"/>
      <c r="AM470" s="31"/>
      <c r="AN470" s="31"/>
      <c r="AO470" s="31"/>
    </row>
    <row r="471">
      <c r="A471" s="15"/>
      <c r="D471" s="15"/>
      <c r="AC471" s="17"/>
      <c r="AJ471" s="30"/>
      <c r="AK471" s="30"/>
      <c r="AL471" s="31"/>
      <c r="AM471" s="31"/>
      <c r="AN471" s="31"/>
      <c r="AO471" s="31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</row>
    <row r="472">
      <c r="A472" s="15"/>
      <c r="D472" s="15"/>
      <c r="AC472" s="17"/>
      <c r="AJ472" s="30"/>
      <c r="AK472" s="30"/>
      <c r="AL472" s="31"/>
      <c r="AM472" s="31"/>
      <c r="AN472" s="31"/>
      <c r="AO472" s="31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</row>
    <row r="473">
      <c r="A473" s="15"/>
      <c r="D473" s="15"/>
      <c r="AC473" s="17"/>
      <c r="AJ473" s="33"/>
      <c r="AK473" s="33"/>
      <c r="AL473" s="31"/>
      <c r="AM473" s="31"/>
      <c r="AN473" s="31"/>
      <c r="AO473" s="31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</row>
    <row r="474">
      <c r="A474" s="15"/>
      <c r="D474" s="15"/>
      <c r="AC474" s="17"/>
      <c r="AH474" s="15"/>
      <c r="AI474" s="15"/>
      <c r="AJ474" s="30"/>
      <c r="AK474" s="30"/>
      <c r="AL474" s="31"/>
      <c r="AM474" s="31"/>
      <c r="AN474" s="31"/>
      <c r="AO474" s="31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</row>
    <row r="475">
      <c r="A475" s="15"/>
      <c r="D475" s="15"/>
      <c r="AC475" s="17"/>
      <c r="AJ475" s="30"/>
      <c r="AK475" s="30"/>
      <c r="AL475" s="31"/>
      <c r="AM475" s="31"/>
      <c r="AN475" s="31"/>
      <c r="AO475" s="31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</row>
    <row r="476">
      <c r="A476" s="15"/>
      <c r="D476" s="15"/>
      <c r="AC476" s="17"/>
      <c r="AJ476" s="30"/>
      <c r="AK476" s="30"/>
      <c r="AL476" s="31"/>
      <c r="AM476" s="31"/>
      <c r="AN476" s="31"/>
      <c r="AO476" s="31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</row>
    <row r="477">
      <c r="A477" s="15"/>
      <c r="D477" s="15"/>
      <c r="AC477" s="17"/>
      <c r="AJ477" s="30"/>
      <c r="AK477" s="30"/>
      <c r="AL477" s="31"/>
      <c r="AM477" s="31"/>
      <c r="AN477" s="31"/>
      <c r="AO477" s="31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</row>
    <row r="478">
      <c r="A478" s="15"/>
      <c r="D478" s="15"/>
      <c r="AC478" s="17"/>
      <c r="AJ478" s="30"/>
      <c r="AK478" s="30"/>
      <c r="AL478" s="31"/>
      <c r="AM478" s="31"/>
      <c r="AN478" s="31"/>
      <c r="AO478" s="31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</row>
    <row r="479">
      <c r="A479" s="15"/>
      <c r="B479" s="15"/>
      <c r="D479" s="15"/>
      <c r="I479" s="15"/>
      <c r="J479" s="15"/>
      <c r="K479" s="15"/>
      <c r="AC479" s="17"/>
      <c r="AJ479" s="30"/>
      <c r="AK479" s="30"/>
      <c r="AL479" s="31"/>
      <c r="AM479" s="31"/>
      <c r="AN479" s="31"/>
      <c r="AO479" s="31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</row>
    <row r="480">
      <c r="A480" s="15"/>
      <c r="D480" s="15"/>
      <c r="AC480" s="17"/>
      <c r="AJ480" s="30"/>
      <c r="AK480" s="30"/>
      <c r="AL480" s="31"/>
      <c r="AM480" s="31"/>
      <c r="AN480" s="31"/>
      <c r="AO480" s="31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</row>
    <row r="481">
      <c r="A481" s="15"/>
      <c r="D481" s="15"/>
      <c r="AC481" s="17"/>
      <c r="AJ481" s="30"/>
      <c r="AK481" s="30"/>
      <c r="AL481" s="31"/>
      <c r="AM481" s="31"/>
      <c r="AN481" s="31"/>
      <c r="AO481" s="31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</row>
    <row r="482">
      <c r="A482" s="15"/>
      <c r="D482" s="15"/>
      <c r="AC482" s="17"/>
      <c r="AJ482" s="30"/>
      <c r="AK482" s="30"/>
      <c r="AL482" s="31"/>
      <c r="AM482" s="31"/>
      <c r="AN482" s="31"/>
      <c r="AO482" s="31"/>
    </row>
    <row r="483">
      <c r="A483" s="15"/>
      <c r="D483" s="15"/>
      <c r="AC483" s="17"/>
      <c r="AJ483" s="30"/>
      <c r="AK483" s="30"/>
      <c r="AL483" s="31"/>
      <c r="AM483" s="31"/>
      <c r="AN483" s="31"/>
      <c r="AO483" s="31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</row>
    <row r="484">
      <c r="A484" s="15"/>
      <c r="D484" s="15"/>
      <c r="AC484" s="17"/>
      <c r="AJ484" s="30"/>
      <c r="AK484" s="30"/>
      <c r="AL484" s="31"/>
      <c r="AM484" s="31"/>
      <c r="AN484" s="31"/>
      <c r="AO484" s="31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</row>
    <row r="485">
      <c r="A485" s="15"/>
      <c r="D485" s="15"/>
      <c r="AC485" s="17"/>
      <c r="AJ485" s="33"/>
      <c r="AK485" s="33"/>
      <c r="AL485" s="31"/>
      <c r="AM485" s="31"/>
      <c r="AN485" s="31"/>
      <c r="AO485" s="31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</row>
    <row r="486">
      <c r="A486" s="15"/>
      <c r="D486" s="15"/>
      <c r="AC486" s="17"/>
      <c r="AJ486" s="30"/>
      <c r="AK486" s="30"/>
      <c r="AL486" s="31"/>
      <c r="AM486" s="31"/>
      <c r="AN486" s="31"/>
      <c r="AO486" s="31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</row>
    <row r="487">
      <c r="A487" s="15"/>
      <c r="B487" s="15"/>
      <c r="D487" s="15"/>
      <c r="I487" s="15"/>
      <c r="J487" s="15"/>
      <c r="K487" s="15"/>
      <c r="AC487" s="17"/>
      <c r="AJ487" s="30"/>
      <c r="AK487" s="30"/>
      <c r="AL487" s="31"/>
      <c r="AM487" s="31"/>
      <c r="AN487" s="31"/>
      <c r="AO487" s="31"/>
    </row>
    <row r="488">
      <c r="A488" s="15"/>
      <c r="D488" s="15"/>
      <c r="AC488" s="17"/>
      <c r="AJ488" s="30"/>
      <c r="AK488" s="30"/>
      <c r="AL488" s="31"/>
      <c r="AM488" s="31"/>
      <c r="AN488" s="31"/>
      <c r="AO488" s="31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</row>
    <row r="489">
      <c r="A489" s="15"/>
      <c r="D489" s="15"/>
      <c r="AC489" s="17"/>
      <c r="AJ489" s="30"/>
      <c r="AK489" s="30"/>
      <c r="AL489" s="31"/>
      <c r="AM489" s="31"/>
      <c r="AN489" s="31"/>
      <c r="AO489" s="31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</row>
    <row r="490">
      <c r="A490" s="15"/>
      <c r="D490" s="15"/>
      <c r="AC490" s="17"/>
      <c r="AJ490" s="30"/>
      <c r="AK490" s="30"/>
      <c r="AL490" s="31"/>
      <c r="AM490" s="31"/>
      <c r="AN490" s="31"/>
      <c r="AO490" s="31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</row>
    <row r="491">
      <c r="A491" s="15"/>
      <c r="D491" s="15"/>
      <c r="AC491" s="17"/>
      <c r="AJ491" s="30"/>
      <c r="AK491" s="30"/>
      <c r="AL491" s="31"/>
      <c r="AM491" s="31"/>
      <c r="AN491" s="31"/>
      <c r="AO491" s="31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</row>
    <row r="492">
      <c r="A492" s="15"/>
      <c r="D492" s="15"/>
      <c r="AC492" s="17"/>
      <c r="AJ492" s="30"/>
      <c r="AK492" s="30"/>
      <c r="AL492" s="31"/>
      <c r="AM492" s="31"/>
      <c r="AN492" s="31"/>
      <c r="AO492" s="31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</row>
    <row r="493">
      <c r="A493" s="15"/>
      <c r="D493" s="15"/>
      <c r="AC493" s="17"/>
      <c r="AJ493" s="30"/>
      <c r="AK493" s="30"/>
      <c r="AL493" s="31"/>
      <c r="AM493" s="31"/>
      <c r="AN493" s="31"/>
      <c r="AO493" s="31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</row>
    <row r="494">
      <c r="A494" s="15"/>
      <c r="D494" s="15"/>
      <c r="AC494" s="17"/>
      <c r="AJ494" s="33"/>
      <c r="AK494" s="33"/>
      <c r="AL494" s="31"/>
      <c r="AM494" s="31"/>
      <c r="AN494" s="31"/>
      <c r="AO494" s="31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</row>
    <row r="495">
      <c r="A495" s="15"/>
      <c r="D495" s="15"/>
      <c r="AC495" s="17"/>
      <c r="AJ495" s="30"/>
      <c r="AK495" s="30"/>
      <c r="AL495" s="31"/>
      <c r="AM495" s="31"/>
      <c r="AN495" s="31"/>
      <c r="AO495" s="31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</row>
    <row r="496">
      <c r="A496" s="15"/>
      <c r="D496" s="15"/>
      <c r="AC496" s="17"/>
      <c r="AJ496" s="30"/>
      <c r="AK496" s="30"/>
      <c r="AL496" s="31"/>
      <c r="AM496" s="31"/>
      <c r="AN496" s="31"/>
      <c r="AO496" s="31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</row>
    <row r="497">
      <c r="A497" s="15"/>
      <c r="D497" s="15"/>
      <c r="AC497" s="17"/>
      <c r="AJ497" s="30"/>
      <c r="AK497" s="30"/>
      <c r="AL497" s="31"/>
      <c r="AM497" s="31"/>
      <c r="AN497" s="31"/>
      <c r="AO497" s="31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</row>
    <row r="498">
      <c r="A498" s="15"/>
      <c r="D498" s="15"/>
      <c r="AC498" s="17"/>
      <c r="AJ498" s="30"/>
      <c r="AK498" s="30"/>
      <c r="AL498" s="31"/>
      <c r="AM498" s="31"/>
      <c r="AN498" s="31"/>
      <c r="AO498" s="31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</row>
    <row r="499">
      <c r="A499" s="15"/>
      <c r="D499" s="15"/>
      <c r="AC499" s="17"/>
      <c r="AJ499" s="30"/>
      <c r="AK499" s="30"/>
      <c r="AL499" s="31"/>
      <c r="AM499" s="31"/>
      <c r="AN499" s="31"/>
      <c r="AO499" s="31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</row>
    <row r="500">
      <c r="A500" s="15"/>
      <c r="D500" s="15"/>
      <c r="AC500" s="17"/>
      <c r="AJ500" s="30"/>
      <c r="AK500" s="30"/>
      <c r="AL500" s="31"/>
      <c r="AM500" s="31"/>
      <c r="AN500" s="31"/>
      <c r="AO500" s="31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</row>
    <row r="501">
      <c r="A501" s="15"/>
      <c r="D501" s="15"/>
      <c r="AC501" s="17"/>
      <c r="AJ501" s="30"/>
      <c r="AK501" s="30"/>
      <c r="AL501" s="31"/>
      <c r="AM501" s="31"/>
      <c r="AN501" s="31"/>
      <c r="AO501" s="31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</row>
    <row r="502">
      <c r="A502" s="15"/>
      <c r="D502" s="15"/>
      <c r="AC502" s="17"/>
      <c r="AJ502" s="30"/>
      <c r="AK502" s="30"/>
      <c r="AL502" s="31"/>
      <c r="AM502" s="31"/>
      <c r="AN502" s="31"/>
      <c r="AO502" s="31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</row>
    <row r="503">
      <c r="A503" s="15"/>
      <c r="D503" s="15"/>
      <c r="AC503" s="17"/>
      <c r="AJ503" s="30"/>
      <c r="AK503" s="30"/>
      <c r="AL503" s="31"/>
      <c r="AM503" s="31"/>
      <c r="AN503" s="31"/>
      <c r="AO503" s="31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</row>
    <row r="504">
      <c r="A504" s="15"/>
      <c r="D504" s="15"/>
      <c r="AC504" s="17"/>
      <c r="AJ504" s="30"/>
      <c r="AK504" s="30"/>
      <c r="AL504" s="31"/>
      <c r="AM504" s="31"/>
      <c r="AN504" s="32"/>
      <c r="AO504" s="32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</row>
    <row r="505">
      <c r="A505" s="15"/>
      <c r="D505" s="15"/>
      <c r="AC505" s="17"/>
      <c r="AJ505" s="30"/>
      <c r="AK505" s="30"/>
      <c r="AL505" s="31"/>
      <c r="AM505" s="31"/>
      <c r="AN505" s="32"/>
      <c r="AO505" s="32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</row>
    <row r="506">
      <c r="A506" s="15"/>
      <c r="D506" s="15"/>
      <c r="AC506" s="17"/>
      <c r="AJ506" s="30"/>
      <c r="AK506" s="30"/>
      <c r="AL506" s="31"/>
      <c r="AM506" s="31"/>
      <c r="AN506" s="32"/>
      <c r="AO506" s="32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</row>
    <row r="507">
      <c r="A507" s="15"/>
      <c r="D507" s="15"/>
      <c r="AC507" s="17"/>
      <c r="AJ507" s="30"/>
      <c r="AK507" s="30"/>
      <c r="AL507" s="31"/>
      <c r="AM507" s="31"/>
      <c r="AN507" s="31"/>
      <c r="AO507" s="31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</row>
    <row r="508">
      <c r="A508" s="15"/>
      <c r="D508" s="15"/>
      <c r="AC508" s="17"/>
      <c r="AJ508" s="30"/>
      <c r="AK508" s="30"/>
      <c r="AL508" s="31"/>
      <c r="AM508" s="31"/>
      <c r="AN508" s="31"/>
      <c r="AO508" s="31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</row>
    <row r="509">
      <c r="A509" s="15"/>
      <c r="D509" s="15"/>
      <c r="AC509" s="17"/>
      <c r="AJ509" s="30"/>
      <c r="AK509" s="30"/>
      <c r="AL509" s="31"/>
      <c r="AM509" s="31"/>
      <c r="AN509" s="31"/>
      <c r="AO509" s="31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</row>
    <row r="510">
      <c r="A510" s="15"/>
      <c r="D510" s="15"/>
      <c r="AC510" s="17"/>
      <c r="AJ510" s="30"/>
      <c r="AK510" s="30"/>
      <c r="AL510" s="31"/>
      <c r="AM510" s="31"/>
      <c r="AN510" s="31"/>
      <c r="AO510" s="31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</row>
    <row r="511">
      <c r="A511" s="15"/>
      <c r="D511" s="15"/>
      <c r="AC511" s="17"/>
      <c r="AJ511" s="33"/>
      <c r="AK511" s="33"/>
      <c r="AL511" s="31"/>
      <c r="AM511" s="31"/>
      <c r="AN511" s="31"/>
      <c r="AO511" s="31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</row>
    <row r="512">
      <c r="A512" s="15"/>
      <c r="D512" s="15"/>
      <c r="AC512" s="17"/>
      <c r="AJ512" s="33"/>
      <c r="AK512" s="33"/>
      <c r="AL512" s="31"/>
      <c r="AM512" s="31"/>
      <c r="AN512" s="31"/>
      <c r="AO512" s="31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</row>
    <row r="513">
      <c r="A513" s="15"/>
      <c r="D513" s="15"/>
      <c r="AC513" s="17"/>
      <c r="AJ513" s="30"/>
      <c r="AK513" s="30"/>
      <c r="AL513" s="31"/>
      <c r="AM513" s="31"/>
      <c r="AN513" s="31"/>
      <c r="AO513" s="31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</row>
    <row r="514">
      <c r="A514" s="15"/>
      <c r="D514" s="15"/>
      <c r="AC514" s="17"/>
      <c r="AD514" s="15"/>
      <c r="AE514" s="15"/>
      <c r="AH514" s="15"/>
      <c r="AI514" s="15"/>
      <c r="AJ514" s="30"/>
      <c r="AK514" s="30"/>
      <c r="AL514" s="31"/>
      <c r="AM514" s="31"/>
      <c r="AN514" s="31"/>
      <c r="AO514" s="31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</row>
    <row r="515">
      <c r="A515" s="15"/>
      <c r="B515" s="15"/>
      <c r="D515" s="15"/>
      <c r="AC515" s="17"/>
      <c r="AJ515" s="33"/>
      <c r="AK515" s="33"/>
      <c r="AL515" s="32"/>
      <c r="AM515" s="32"/>
      <c r="AN515" s="31"/>
      <c r="AO515" s="31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</row>
    <row r="516">
      <c r="A516" s="15"/>
      <c r="D516" s="15"/>
      <c r="AC516" s="17"/>
      <c r="AJ516" s="33"/>
      <c r="AK516" s="33"/>
      <c r="AL516" s="31"/>
      <c r="AM516" s="31"/>
      <c r="AN516" s="31"/>
      <c r="AO516" s="31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</row>
    <row r="517">
      <c r="A517" s="15"/>
      <c r="D517" s="15"/>
      <c r="AC517" s="17"/>
      <c r="AJ517" s="33"/>
      <c r="AK517" s="33"/>
      <c r="AL517" s="31"/>
      <c r="AM517" s="31"/>
      <c r="AN517" s="31"/>
      <c r="AO517" s="31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</row>
    <row r="518">
      <c r="A518" s="15"/>
      <c r="D518" s="15"/>
      <c r="AC518" s="17"/>
      <c r="AJ518" s="33"/>
      <c r="AK518" s="33"/>
      <c r="AL518" s="31"/>
      <c r="AM518" s="31"/>
      <c r="AN518" s="31"/>
      <c r="AO518" s="31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</row>
    <row r="519">
      <c r="A519" s="15"/>
      <c r="D519" s="15"/>
      <c r="AC519" s="17"/>
      <c r="AJ519" s="33"/>
      <c r="AK519" s="33"/>
      <c r="AL519" s="31"/>
      <c r="AM519" s="31"/>
      <c r="AN519" s="31"/>
      <c r="AO519" s="31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</row>
    <row r="520">
      <c r="A520" s="15"/>
      <c r="D520" s="15"/>
      <c r="AC520" s="17"/>
      <c r="AJ520" s="33"/>
      <c r="AK520" s="33"/>
      <c r="AL520" s="32"/>
      <c r="AM520" s="32"/>
      <c r="AN520" s="31"/>
      <c r="AO520" s="31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</row>
    <row r="521">
      <c r="A521" s="15"/>
      <c r="B521" s="15"/>
      <c r="D521" s="15"/>
      <c r="AC521" s="17"/>
      <c r="AJ521" s="33"/>
      <c r="AK521" s="33"/>
      <c r="AL521" s="31"/>
      <c r="AM521" s="31"/>
      <c r="AN521" s="31"/>
      <c r="AO521" s="31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</row>
    <row r="522">
      <c r="A522" s="15"/>
      <c r="B522" s="15"/>
      <c r="D522" s="15"/>
      <c r="I522" s="15"/>
      <c r="J522" s="15"/>
      <c r="K522" s="15"/>
      <c r="AC522" s="17"/>
      <c r="AJ522" s="33"/>
      <c r="AK522" s="33"/>
      <c r="AL522" s="31"/>
      <c r="AM522" s="31"/>
      <c r="AN522" s="31"/>
      <c r="AO522" s="31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</row>
    <row r="523">
      <c r="A523" s="15"/>
      <c r="B523" s="15"/>
      <c r="D523" s="15"/>
      <c r="I523" s="15"/>
      <c r="J523" s="15"/>
      <c r="K523" s="15"/>
      <c r="AC523" s="17"/>
      <c r="AJ523" s="33"/>
      <c r="AK523" s="33"/>
      <c r="AL523" s="31"/>
      <c r="AM523" s="31"/>
      <c r="AN523" s="31"/>
      <c r="AO523" s="31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</row>
    <row r="524">
      <c r="A524" s="15"/>
      <c r="D524" s="15"/>
      <c r="AC524" s="17"/>
      <c r="AJ524" s="30"/>
      <c r="AK524" s="30"/>
      <c r="AL524" s="31"/>
      <c r="AM524" s="31"/>
      <c r="AN524" s="31"/>
      <c r="AO524" s="31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</row>
    <row r="525">
      <c r="A525" s="15"/>
      <c r="D525" s="15"/>
      <c r="AC525" s="17"/>
      <c r="AJ525" s="30"/>
      <c r="AK525" s="30"/>
      <c r="AL525" s="31"/>
      <c r="AM525" s="31"/>
      <c r="AN525" s="31"/>
      <c r="AO525" s="31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</row>
    <row r="526">
      <c r="A526" s="15"/>
      <c r="D526" s="15"/>
      <c r="AC526" s="17"/>
      <c r="AJ526" s="30"/>
      <c r="AK526" s="30"/>
      <c r="AL526" s="31"/>
      <c r="AM526" s="31"/>
      <c r="AN526" s="31"/>
      <c r="AO526" s="31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</row>
    <row r="527">
      <c r="A527" s="15"/>
      <c r="D527" s="15"/>
      <c r="AC527" s="17"/>
      <c r="AJ527" s="30"/>
      <c r="AK527" s="30"/>
      <c r="AL527" s="31"/>
      <c r="AM527" s="31"/>
      <c r="AN527" s="31"/>
      <c r="AO527" s="31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</row>
    <row r="528">
      <c r="A528" s="15"/>
      <c r="D528" s="15"/>
      <c r="AC528" s="17"/>
      <c r="AJ528" s="33"/>
      <c r="AK528" s="33"/>
      <c r="AL528" s="31"/>
      <c r="AM528" s="31"/>
      <c r="AN528" s="31"/>
      <c r="AO528" s="31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</row>
    <row r="529">
      <c r="A529" s="15"/>
      <c r="D529" s="15"/>
      <c r="AC529" s="17"/>
      <c r="AJ529" s="30"/>
      <c r="AK529" s="30"/>
      <c r="AL529" s="31"/>
      <c r="AM529" s="31"/>
      <c r="AN529" s="31"/>
      <c r="AO529" s="31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</row>
    <row r="530">
      <c r="A530" s="15"/>
      <c r="D530" s="15"/>
      <c r="AC530" s="17"/>
      <c r="AJ530" s="30"/>
      <c r="AK530" s="30"/>
      <c r="AL530" s="31"/>
      <c r="AM530" s="31"/>
      <c r="AN530" s="31"/>
      <c r="AO530" s="31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</row>
    <row r="531">
      <c r="A531" s="15"/>
      <c r="D531" s="15"/>
      <c r="AC531" s="17"/>
      <c r="AJ531" s="30"/>
      <c r="AK531" s="30"/>
      <c r="AL531" s="31"/>
      <c r="AM531" s="31"/>
      <c r="AN531" s="31"/>
      <c r="AO531" s="31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</row>
    <row r="532">
      <c r="A532" s="15"/>
      <c r="D532" s="15"/>
      <c r="AC532" s="17"/>
      <c r="AJ532" s="30"/>
      <c r="AK532" s="30"/>
      <c r="AL532" s="31"/>
      <c r="AM532" s="31"/>
      <c r="AN532" s="31"/>
      <c r="AO532" s="31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</row>
    <row r="533">
      <c r="A533" s="15"/>
      <c r="D533" s="15"/>
      <c r="AC533" s="17"/>
      <c r="AJ533" s="30"/>
      <c r="AK533" s="30"/>
      <c r="AL533" s="31"/>
      <c r="AM533" s="31"/>
      <c r="AN533" s="31"/>
      <c r="AO533" s="31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</row>
    <row r="534">
      <c r="A534" s="15"/>
      <c r="D534" s="15"/>
      <c r="AC534" s="17"/>
      <c r="AJ534" s="33"/>
      <c r="AK534" s="33"/>
      <c r="AL534" s="31"/>
      <c r="AM534" s="31"/>
      <c r="AN534" s="31"/>
      <c r="AO534" s="31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</row>
    <row r="535">
      <c r="A535" s="15"/>
      <c r="D535" s="15"/>
      <c r="AC535" s="17"/>
      <c r="AJ535" s="33"/>
      <c r="AK535" s="33"/>
      <c r="AL535" s="31"/>
      <c r="AM535" s="31"/>
      <c r="AN535" s="31"/>
      <c r="AO535" s="31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</row>
    <row r="536">
      <c r="A536" s="15"/>
      <c r="D536" s="15"/>
      <c r="AC536" s="17"/>
      <c r="AJ536" s="33"/>
      <c r="AK536" s="33"/>
      <c r="AL536" s="31"/>
      <c r="AM536" s="31"/>
      <c r="AN536" s="31"/>
      <c r="AO536" s="31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</row>
    <row r="537">
      <c r="A537" s="15"/>
      <c r="D537" s="15"/>
      <c r="AC537" s="17"/>
      <c r="AJ537" s="30"/>
      <c r="AK537" s="30"/>
      <c r="AL537" s="31"/>
      <c r="AM537" s="31"/>
      <c r="AN537" s="31"/>
      <c r="AO537" s="31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</row>
    <row r="538">
      <c r="A538" s="15"/>
      <c r="D538" s="15"/>
      <c r="AC538" s="17"/>
      <c r="AJ538" s="30"/>
      <c r="AK538" s="30"/>
      <c r="AL538" s="31"/>
      <c r="AM538" s="31"/>
      <c r="AN538" s="31"/>
      <c r="AO538" s="31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</row>
    <row r="539">
      <c r="A539" s="15"/>
      <c r="D539" s="15"/>
      <c r="AC539" s="17"/>
      <c r="AJ539" s="30"/>
      <c r="AK539" s="30"/>
      <c r="AL539" s="31"/>
      <c r="AM539" s="31"/>
      <c r="AN539" s="31"/>
      <c r="AO539" s="31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</row>
    <row r="540">
      <c r="A540" s="15"/>
      <c r="D540" s="15"/>
      <c r="AC540" s="17"/>
      <c r="AJ540" s="30"/>
      <c r="AK540" s="30"/>
      <c r="AL540" s="31"/>
      <c r="AM540" s="31"/>
      <c r="AN540" s="31"/>
      <c r="AO540" s="31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</row>
    <row r="541">
      <c r="A541" s="15"/>
      <c r="D541" s="15"/>
      <c r="AC541" s="17"/>
      <c r="AJ541" s="30"/>
      <c r="AK541" s="30"/>
      <c r="AL541" s="31"/>
      <c r="AM541" s="31"/>
      <c r="AN541" s="31"/>
      <c r="AO541" s="31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</row>
    <row r="542">
      <c r="A542" s="15"/>
      <c r="D542" s="15"/>
      <c r="AC542" s="17"/>
      <c r="AD542" s="15"/>
      <c r="AE542" s="15"/>
      <c r="AJ542" s="30"/>
      <c r="AK542" s="30"/>
      <c r="AL542" s="31"/>
      <c r="AM542" s="31"/>
      <c r="AN542" s="31"/>
      <c r="AO542" s="31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</row>
    <row r="543">
      <c r="A543" s="15"/>
      <c r="D543" s="15"/>
      <c r="AC543" s="17"/>
      <c r="AJ543" s="30"/>
      <c r="AK543" s="30"/>
      <c r="AL543" s="31"/>
      <c r="AM543" s="31"/>
      <c r="AN543" s="31"/>
      <c r="AO543" s="31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</row>
    <row r="544">
      <c r="A544" s="15"/>
      <c r="D544" s="15"/>
      <c r="AC544" s="17"/>
      <c r="AJ544" s="30"/>
      <c r="AK544" s="30"/>
      <c r="AL544" s="31"/>
      <c r="AM544" s="31"/>
      <c r="AN544" s="31"/>
      <c r="AO544" s="31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</row>
    <row r="545">
      <c r="A545" s="15"/>
      <c r="D545" s="15"/>
      <c r="AC545" s="17"/>
      <c r="AJ545" s="30"/>
      <c r="AK545" s="30"/>
      <c r="AL545" s="31"/>
      <c r="AM545" s="31"/>
      <c r="AN545" s="31"/>
      <c r="AO545" s="31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</row>
    <row r="546">
      <c r="A546" s="15"/>
      <c r="D546" s="15"/>
      <c r="AC546" s="17"/>
      <c r="AJ546" s="30"/>
      <c r="AK546" s="30"/>
      <c r="AL546" s="31"/>
      <c r="AM546" s="31"/>
      <c r="AN546" s="31"/>
      <c r="AO546" s="31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</row>
    <row r="547">
      <c r="A547" s="15"/>
      <c r="D547" s="15"/>
      <c r="AC547" s="17"/>
      <c r="AJ547" s="30"/>
      <c r="AK547" s="30"/>
      <c r="AL547" s="31"/>
      <c r="AM547" s="31"/>
      <c r="AN547" s="31"/>
      <c r="AO547" s="31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</row>
    <row r="548">
      <c r="A548" s="15"/>
      <c r="D548" s="15"/>
      <c r="AC548" s="17"/>
      <c r="AJ548" s="30"/>
      <c r="AK548" s="30"/>
      <c r="AL548" s="31"/>
      <c r="AM548" s="31"/>
      <c r="AN548" s="31"/>
      <c r="AO548" s="31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</row>
    <row r="549">
      <c r="A549" s="15"/>
      <c r="D549" s="15"/>
      <c r="AC549" s="17"/>
      <c r="AJ549" s="30"/>
      <c r="AK549" s="30"/>
      <c r="AL549" s="31"/>
      <c r="AM549" s="31"/>
      <c r="AN549" s="31"/>
      <c r="AO549" s="31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</row>
    <row r="550">
      <c r="A550" s="15"/>
      <c r="D550" s="15"/>
      <c r="AC550" s="17"/>
      <c r="AJ550" s="30"/>
      <c r="AK550" s="30"/>
      <c r="AL550" s="31"/>
      <c r="AM550" s="31"/>
      <c r="AN550" s="31"/>
      <c r="AO550" s="31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</row>
    <row r="551">
      <c r="A551" s="15"/>
      <c r="D551" s="15"/>
      <c r="AC551" s="17"/>
      <c r="AJ551" s="33"/>
      <c r="AK551" s="33"/>
      <c r="AL551" s="31"/>
      <c r="AM551" s="31"/>
      <c r="AN551" s="31"/>
      <c r="AO551" s="31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</row>
    <row r="552">
      <c r="A552" s="15"/>
      <c r="D552" s="15"/>
      <c r="AC552" s="17"/>
      <c r="AJ552" s="30"/>
      <c r="AK552" s="30"/>
      <c r="AL552" s="31"/>
      <c r="AM552" s="31"/>
      <c r="AN552" s="31"/>
      <c r="AO552" s="31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</row>
    <row r="553">
      <c r="A553" s="15"/>
      <c r="D553" s="15"/>
      <c r="AC553" s="17"/>
      <c r="AJ553" s="33"/>
      <c r="AK553" s="33"/>
      <c r="AL553" s="31"/>
      <c r="AM553" s="31"/>
      <c r="AN553" s="31"/>
      <c r="AO553" s="31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</row>
    <row r="554">
      <c r="A554" s="15"/>
      <c r="D554" s="15"/>
      <c r="AC554" s="17"/>
      <c r="AJ554" s="30"/>
      <c r="AK554" s="30"/>
      <c r="AL554" s="31"/>
      <c r="AM554" s="31"/>
      <c r="AN554" s="31"/>
      <c r="AO554" s="31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</row>
    <row r="555">
      <c r="A555" s="15"/>
      <c r="D555" s="15"/>
      <c r="AC555" s="17"/>
      <c r="AD555" s="15"/>
      <c r="AE555" s="15"/>
      <c r="AJ555" s="30"/>
      <c r="AK555" s="30"/>
      <c r="AL555" s="31"/>
      <c r="AM555" s="31"/>
      <c r="AN555" s="31"/>
      <c r="AO555" s="31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</row>
    <row r="556">
      <c r="A556" s="15"/>
      <c r="D556" s="15"/>
      <c r="AC556" s="17"/>
      <c r="AJ556" s="30"/>
      <c r="AK556" s="30"/>
      <c r="AL556" s="31"/>
      <c r="AM556" s="31"/>
      <c r="AN556" s="31"/>
      <c r="AO556" s="31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</row>
    <row r="557">
      <c r="A557" s="15"/>
      <c r="D557" s="15"/>
      <c r="AC557" s="17"/>
      <c r="AJ557" s="33"/>
      <c r="AK557" s="33"/>
      <c r="AL557" s="31"/>
      <c r="AM557" s="31"/>
      <c r="AN557" s="31"/>
      <c r="AO557" s="31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</row>
    <row r="558">
      <c r="A558" s="15"/>
      <c r="D558" s="15"/>
      <c r="AC558" s="17"/>
      <c r="AJ558" s="30"/>
      <c r="AK558" s="30"/>
      <c r="AL558" s="31"/>
      <c r="AM558" s="31"/>
      <c r="AN558" s="31"/>
      <c r="AO558" s="31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</row>
    <row r="559">
      <c r="A559" s="15"/>
      <c r="D559" s="15"/>
      <c r="AC559" s="17"/>
      <c r="AJ559" s="33"/>
      <c r="AK559" s="33"/>
      <c r="AL559" s="31"/>
      <c r="AM559" s="31"/>
      <c r="AN559" s="31"/>
      <c r="AO559" s="31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</row>
    <row r="560">
      <c r="A560" s="15"/>
      <c r="D560" s="15"/>
      <c r="AC560" s="17"/>
      <c r="AJ560" s="30"/>
      <c r="AK560" s="30"/>
      <c r="AL560" s="31"/>
      <c r="AM560" s="31"/>
      <c r="AN560" s="31"/>
      <c r="AO560" s="31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</row>
    <row r="561">
      <c r="A561" s="15"/>
      <c r="D561" s="15"/>
      <c r="AC561" s="17"/>
      <c r="AJ561" s="30"/>
      <c r="AK561" s="30"/>
      <c r="AL561" s="31"/>
      <c r="AM561" s="31"/>
      <c r="AN561" s="31"/>
      <c r="AO561" s="31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</row>
    <row r="562">
      <c r="A562" s="15"/>
      <c r="D562" s="15"/>
      <c r="AC562" s="17"/>
      <c r="AJ562" s="30"/>
      <c r="AK562" s="30"/>
      <c r="AL562" s="31"/>
      <c r="AM562" s="31"/>
      <c r="AN562" s="31"/>
      <c r="AO562" s="31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</row>
    <row r="563">
      <c r="A563" s="15"/>
      <c r="D563" s="15"/>
      <c r="AC563" s="17"/>
      <c r="AJ563" s="30"/>
      <c r="AK563" s="30"/>
      <c r="AL563" s="31"/>
      <c r="AM563" s="31"/>
      <c r="AN563" s="31"/>
      <c r="AO563" s="31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</row>
    <row r="564">
      <c r="A564" s="15"/>
      <c r="D564" s="15"/>
      <c r="AC564" s="17"/>
      <c r="AJ564" s="30"/>
      <c r="AK564" s="30"/>
      <c r="AL564" s="31"/>
      <c r="AM564" s="31"/>
      <c r="AN564" s="31"/>
      <c r="AO564" s="31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</row>
    <row r="565">
      <c r="A565" s="15"/>
      <c r="D565" s="15"/>
      <c r="AC565" s="17"/>
      <c r="AJ565" s="30"/>
      <c r="AK565" s="30"/>
      <c r="AL565" s="31"/>
      <c r="AM565" s="31"/>
      <c r="AN565" s="31"/>
      <c r="AO565" s="31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</row>
    <row r="566">
      <c r="A566" s="15"/>
      <c r="D566" s="15"/>
      <c r="AC566" s="17"/>
      <c r="AJ566" s="33"/>
      <c r="AK566" s="33"/>
      <c r="AL566" s="31"/>
      <c r="AM566" s="31"/>
      <c r="AN566" s="31"/>
      <c r="AO566" s="31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</row>
    <row r="567">
      <c r="A567" s="15"/>
      <c r="D567" s="15"/>
      <c r="AC567" s="17"/>
      <c r="AJ567" s="30"/>
      <c r="AK567" s="30"/>
      <c r="AL567" s="31"/>
      <c r="AM567" s="31"/>
      <c r="AN567" s="31"/>
      <c r="AO567" s="31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</row>
    <row r="568">
      <c r="A568" s="15"/>
      <c r="D568" s="15"/>
      <c r="AC568" s="17"/>
      <c r="AJ568" s="30"/>
      <c r="AK568" s="30"/>
      <c r="AL568" s="31"/>
      <c r="AM568" s="31"/>
      <c r="AN568" s="31"/>
      <c r="AO568" s="31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</row>
    <row r="569">
      <c r="A569" s="15"/>
      <c r="D569" s="15"/>
      <c r="AC569" s="17"/>
      <c r="AJ569" s="33"/>
      <c r="AK569" s="33"/>
      <c r="AL569" s="31"/>
      <c r="AM569" s="31"/>
      <c r="AN569" s="31"/>
      <c r="AO569" s="31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</row>
    <row r="570">
      <c r="A570" s="15"/>
      <c r="D570" s="15"/>
      <c r="AC570" s="17"/>
      <c r="AD570" s="15"/>
      <c r="AE570" s="15"/>
      <c r="AH570" s="15"/>
      <c r="AI570" s="15"/>
      <c r="AJ570" s="30"/>
      <c r="AK570" s="30"/>
      <c r="AL570" s="31"/>
      <c r="AM570" s="31"/>
      <c r="AN570" s="31"/>
      <c r="AO570" s="31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</row>
    <row r="571">
      <c r="A571" s="15"/>
      <c r="D571" s="15"/>
      <c r="AC571" s="17"/>
      <c r="AH571" s="15"/>
      <c r="AI571" s="15"/>
      <c r="AJ571" s="30"/>
      <c r="AK571" s="30"/>
      <c r="AL571" s="31"/>
      <c r="AM571" s="31"/>
      <c r="AN571" s="31"/>
      <c r="AO571" s="31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</row>
    <row r="572">
      <c r="A572" s="15"/>
      <c r="D572" s="15"/>
      <c r="AC572" s="17"/>
      <c r="AJ572" s="30"/>
      <c r="AK572" s="30"/>
      <c r="AL572" s="32"/>
      <c r="AM572" s="32"/>
      <c r="AN572" s="31"/>
      <c r="AO572" s="31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</row>
    <row r="573">
      <c r="A573" s="15"/>
      <c r="D573" s="15"/>
      <c r="AC573" s="17"/>
      <c r="AJ573" s="33"/>
      <c r="AK573" s="33"/>
      <c r="AL573" s="31"/>
      <c r="AM573" s="31"/>
      <c r="AN573" s="31"/>
      <c r="AO573" s="31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</row>
    <row r="574">
      <c r="A574" s="15"/>
      <c r="D574" s="15"/>
      <c r="AC574" s="17"/>
      <c r="AD574" s="15"/>
      <c r="AE574" s="15"/>
      <c r="AJ574" s="30"/>
      <c r="AK574" s="30"/>
      <c r="AL574" s="31"/>
      <c r="AM574" s="31"/>
      <c r="AN574" s="31"/>
      <c r="AO574" s="31"/>
    </row>
    <row r="575">
      <c r="A575" s="15"/>
      <c r="D575" s="15"/>
      <c r="AC575" s="17"/>
      <c r="AJ575" s="30"/>
      <c r="AK575" s="30"/>
      <c r="AL575" s="31"/>
      <c r="AM575" s="31"/>
      <c r="AN575" s="31"/>
      <c r="AO575" s="31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</row>
    <row r="576">
      <c r="A576" s="15"/>
      <c r="B576" s="15"/>
      <c r="D576" s="15"/>
      <c r="I576" s="15"/>
      <c r="J576" s="15"/>
      <c r="K576" s="15"/>
      <c r="AC576" s="17"/>
      <c r="AJ576" s="30"/>
      <c r="AK576" s="30"/>
      <c r="AL576" s="31"/>
      <c r="AM576" s="31"/>
      <c r="AN576" s="31"/>
      <c r="AO576" s="31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</row>
    <row r="577">
      <c r="A577" s="15"/>
      <c r="D577" s="15"/>
      <c r="AC577" s="17"/>
      <c r="AD577" s="15"/>
      <c r="AE577" s="15"/>
      <c r="AJ577" s="30"/>
      <c r="AK577" s="30"/>
      <c r="AL577" s="32"/>
      <c r="AM577" s="32"/>
      <c r="AN577" s="31"/>
      <c r="AO577" s="31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</row>
    <row r="578">
      <c r="A578" s="15"/>
      <c r="D578" s="15"/>
      <c r="AC578" s="17"/>
      <c r="AJ578" s="33"/>
      <c r="AK578" s="33"/>
      <c r="AL578" s="31"/>
      <c r="AM578" s="31"/>
      <c r="AN578" s="31"/>
      <c r="AO578" s="31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</row>
    <row r="579">
      <c r="A579" s="15"/>
      <c r="D579" s="15"/>
      <c r="AC579" s="17"/>
      <c r="AJ579" s="30"/>
      <c r="AK579" s="30"/>
      <c r="AL579" s="32"/>
      <c r="AM579" s="32"/>
      <c r="AN579" s="31"/>
      <c r="AO579" s="31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</row>
    <row r="580">
      <c r="A580" s="15"/>
      <c r="D580" s="15"/>
      <c r="AC580" s="17"/>
      <c r="AJ580" s="30"/>
      <c r="AK580" s="30"/>
      <c r="AL580" s="31"/>
      <c r="AM580" s="31"/>
      <c r="AN580" s="31"/>
      <c r="AO580" s="31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</row>
    <row r="581">
      <c r="A581" s="15"/>
      <c r="D581" s="15"/>
      <c r="AC581" s="17"/>
      <c r="AJ581" s="30"/>
      <c r="AK581" s="30"/>
      <c r="AL581" s="31"/>
      <c r="AM581" s="31"/>
      <c r="AN581" s="31"/>
      <c r="AO581" s="31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</row>
    <row r="582">
      <c r="A582" s="15"/>
      <c r="D582" s="15"/>
      <c r="AC582" s="17"/>
      <c r="AJ582" s="30"/>
      <c r="AK582" s="30"/>
      <c r="AL582" s="31"/>
      <c r="AM582" s="31"/>
      <c r="AN582" s="31"/>
      <c r="AO582" s="31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</row>
    <row r="583">
      <c r="A583" s="15"/>
      <c r="D583" s="15"/>
      <c r="AC583" s="17"/>
      <c r="AJ583" s="30"/>
      <c r="AK583" s="30"/>
      <c r="AL583" s="31"/>
      <c r="AM583" s="31"/>
      <c r="AN583" s="31"/>
      <c r="AO583" s="31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</row>
    <row r="584">
      <c r="A584" s="15"/>
      <c r="D584" s="15"/>
      <c r="AC584" s="17"/>
      <c r="AJ584" s="30"/>
      <c r="AK584" s="30"/>
      <c r="AL584" s="32"/>
      <c r="AM584" s="32"/>
      <c r="AN584" s="31"/>
      <c r="AO584" s="31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</row>
    <row r="585">
      <c r="A585" s="15"/>
      <c r="D585" s="15"/>
      <c r="AC585" s="17"/>
      <c r="AJ585" s="33"/>
      <c r="AK585" s="33"/>
      <c r="AL585" s="31"/>
      <c r="AM585" s="31"/>
      <c r="AN585" s="31"/>
      <c r="AO585" s="31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</row>
    <row r="586">
      <c r="A586" s="15"/>
      <c r="D586" s="15"/>
      <c r="AC586" s="17"/>
      <c r="AJ586" s="33"/>
      <c r="AK586" s="33"/>
      <c r="AL586" s="31"/>
      <c r="AM586" s="31"/>
      <c r="AN586" s="31"/>
      <c r="AO586" s="31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</row>
    <row r="587">
      <c r="A587" s="15"/>
      <c r="D587" s="15"/>
      <c r="AC587" s="17"/>
      <c r="AJ587" s="30"/>
      <c r="AK587" s="30"/>
      <c r="AL587" s="31"/>
      <c r="AM587" s="31"/>
      <c r="AN587" s="31"/>
      <c r="AO587" s="31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</row>
    <row r="588">
      <c r="A588" s="15"/>
      <c r="D588" s="15"/>
      <c r="AC588" s="17"/>
      <c r="AJ588" s="33"/>
      <c r="AK588" s="33"/>
      <c r="AL588" s="31"/>
      <c r="AM588" s="31"/>
      <c r="AN588" s="31"/>
      <c r="AO588" s="31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</row>
    <row r="589">
      <c r="A589" s="15"/>
      <c r="D589" s="15"/>
      <c r="AC589" s="17"/>
      <c r="AJ589" s="30"/>
      <c r="AK589" s="30"/>
      <c r="AL589" s="31"/>
      <c r="AM589" s="31"/>
      <c r="AN589" s="31"/>
      <c r="AO589" s="31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</row>
    <row r="590">
      <c r="A590" s="15"/>
      <c r="D590" s="15"/>
      <c r="AC590" s="17"/>
      <c r="AJ590" s="33"/>
      <c r="AK590" s="33"/>
      <c r="AL590" s="31"/>
      <c r="AM590" s="31"/>
      <c r="AN590" s="31"/>
      <c r="AO590" s="31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</row>
    <row r="591">
      <c r="A591" s="15"/>
      <c r="D591" s="15"/>
      <c r="AC591" s="17"/>
      <c r="AD591" s="15"/>
      <c r="AE591" s="15"/>
      <c r="AJ591" s="30"/>
      <c r="AK591" s="30"/>
      <c r="AL591" s="31"/>
      <c r="AM591" s="31"/>
      <c r="AN591" s="31"/>
      <c r="AO591" s="31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</row>
    <row r="592">
      <c r="A592" s="15"/>
      <c r="B592" s="15"/>
      <c r="D592" s="15"/>
      <c r="AC592" s="17"/>
      <c r="AJ592" s="30"/>
      <c r="AK592" s="30"/>
      <c r="AL592" s="32"/>
      <c r="AM592" s="32"/>
      <c r="AN592" s="31"/>
      <c r="AO592" s="31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</row>
    <row r="593">
      <c r="A593" s="15"/>
      <c r="D593" s="15"/>
      <c r="AC593" s="17"/>
      <c r="AD593" s="15"/>
      <c r="AE593" s="15"/>
      <c r="AJ593" s="30"/>
      <c r="AK593" s="30"/>
      <c r="AL593" s="31"/>
      <c r="AM593" s="31"/>
      <c r="AN593" s="31"/>
      <c r="AO593" s="31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</row>
    <row r="594">
      <c r="A594" s="15"/>
      <c r="D594" s="15"/>
      <c r="AC594" s="17"/>
      <c r="AJ594" s="33"/>
      <c r="AK594" s="33"/>
      <c r="AL594" s="31"/>
      <c r="AM594" s="31"/>
      <c r="AN594" s="31"/>
      <c r="AO594" s="31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</row>
    <row r="595">
      <c r="A595" s="15"/>
      <c r="D595" s="15"/>
      <c r="AC595" s="17"/>
      <c r="AJ595" s="30"/>
      <c r="AK595" s="30"/>
      <c r="AL595" s="31"/>
      <c r="AM595" s="31"/>
      <c r="AN595" s="31"/>
      <c r="AO595" s="31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</row>
    <row r="596">
      <c r="A596" s="15"/>
      <c r="D596" s="15"/>
      <c r="AC596" s="17"/>
      <c r="AJ596" s="30"/>
      <c r="AK596" s="30"/>
      <c r="AL596" s="31"/>
      <c r="AM596" s="31"/>
      <c r="AN596" s="31"/>
      <c r="AO596" s="31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</row>
    <row r="597">
      <c r="A597" s="15"/>
      <c r="D597" s="15"/>
      <c r="AC597" s="17"/>
      <c r="AJ597" s="30"/>
      <c r="AK597" s="30"/>
      <c r="AL597" s="31"/>
      <c r="AM597" s="31"/>
      <c r="AN597" s="31"/>
      <c r="AO597" s="31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</row>
    <row r="598">
      <c r="A598" s="15"/>
      <c r="D598" s="15"/>
      <c r="AC598" s="17"/>
      <c r="AJ598" s="30"/>
      <c r="AK598" s="30"/>
      <c r="AL598" s="31"/>
      <c r="AM598" s="31"/>
      <c r="AN598" s="31"/>
      <c r="AO598" s="31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</row>
    <row r="599">
      <c r="A599" s="15"/>
      <c r="D599" s="15"/>
      <c r="AC599" s="17"/>
      <c r="AJ599" s="30"/>
      <c r="AK599" s="30"/>
      <c r="AL599" s="31"/>
      <c r="AM599" s="31"/>
      <c r="AN599" s="31"/>
      <c r="AO599" s="31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</row>
    <row r="600">
      <c r="A600" s="15"/>
      <c r="D600" s="15"/>
      <c r="AC600" s="17"/>
      <c r="AJ600" s="30"/>
      <c r="AK600" s="30"/>
      <c r="AL600" s="31"/>
      <c r="AM600" s="31"/>
      <c r="AN600" s="31"/>
      <c r="AO600" s="31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</row>
    <row r="601">
      <c r="A601" s="15"/>
      <c r="D601" s="15"/>
      <c r="AC601" s="17"/>
      <c r="AJ601" s="30"/>
      <c r="AK601" s="30"/>
      <c r="AL601" s="31"/>
      <c r="AM601" s="31"/>
      <c r="AN601" s="31"/>
      <c r="AO601" s="31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</row>
    <row r="602">
      <c r="A602" s="15"/>
      <c r="D602" s="15"/>
      <c r="AC602" s="17"/>
      <c r="AJ602" s="30"/>
      <c r="AK602" s="30"/>
      <c r="AL602" s="31"/>
      <c r="AM602" s="31"/>
      <c r="AN602" s="31"/>
      <c r="AO602" s="31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</row>
    <row r="603">
      <c r="A603" s="15"/>
      <c r="D603" s="15"/>
      <c r="AC603" s="17"/>
      <c r="AJ603" s="30"/>
      <c r="AK603" s="30"/>
      <c r="AL603" s="31"/>
      <c r="AM603" s="31"/>
      <c r="AN603" s="31"/>
      <c r="AO603" s="31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</row>
    <row r="604">
      <c r="A604" s="15"/>
      <c r="D604" s="15"/>
      <c r="AC604" s="17"/>
      <c r="AJ604" s="30"/>
      <c r="AK604" s="30"/>
      <c r="AL604" s="31"/>
      <c r="AM604" s="31"/>
      <c r="AN604" s="31"/>
      <c r="AO604" s="31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</row>
    <row r="605">
      <c r="A605" s="15"/>
      <c r="D605" s="15"/>
      <c r="AC605" s="17"/>
      <c r="AJ605" s="30"/>
      <c r="AK605" s="30"/>
      <c r="AL605" s="31"/>
      <c r="AM605" s="31"/>
      <c r="AN605" s="31"/>
      <c r="AO605" s="31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</row>
    <row r="606">
      <c r="A606" s="15"/>
      <c r="D606" s="15"/>
      <c r="AC606" s="17"/>
      <c r="AJ606" s="30"/>
      <c r="AK606" s="30"/>
      <c r="AL606" s="31"/>
      <c r="AM606" s="31"/>
      <c r="AN606" s="31"/>
      <c r="AO606" s="31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</row>
    <row r="607">
      <c r="A607" s="15"/>
      <c r="D607" s="15"/>
      <c r="AC607" s="17"/>
      <c r="AJ607" s="30"/>
      <c r="AK607" s="30"/>
      <c r="AL607" s="31"/>
      <c r="AM607" s="31"/>
      <c r="AN607" s="31"/>
      <c r="AO607" s="31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</row>
    <row r="608">
      <c r="A608" s="15"/>
      <c r="D608" s="15"/>
      <c r="AC608" s="17"/>
      <c r="AJ608" s="30"/>
      <c r="AK608" s="30"/>
      <c r="AL608" s="31"/>
      <c r="AM608" s="31"/>
      <c r="AN608" s="31"/>
      <c r="AO608" s="31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</row>
    <row r="609">
      <c r="A609" s="15"/>
      <c r="B609" s="15"/>
      <c r="D609" s="15"/>
      <c r="AC609" s="17"/>
      <c r="AJ609" s="30"/>
      <c r="AK609" s="30"/>
      <c r="AL609" s="31"/>
      <c r="AM609" s="31"/>
      <c r="AN609" s="31"/>
      <c r="AO609" s="31"/>
    </row>
    <row r="610">
      <c r="A610" s="15"/>
      <c r="D610" s="15"/>
      <c r="AC610" s="17"/>
      <c r="AJ610" s="30"/>
      <c r="AK610" s="30"/>
      <c r="AL610" s="31"/>
      <c r="AM610" s="31"/>
      <c r="AN610" s="31"/>
      <c r="AO610" s="31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</row>
    <row r="611">
      <c r="A611" s="15"/>
      <c r="D611" s="15"/>
      <c r="AC611" s="17"/>
      <c r="AJ611" s="33"/>
      <c r="AK611" s="33"/>
      <c r="AL611" s="31"/>
      <c r="AM611" s="31"/>
      <c r="AN611" s="31"/>
      <c r="AO611" s="31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</row>
    <row r="612">
      <c r="A612" s="15"/>
      <c r="D612" s="15"/>
      <c r="AC612" s="17"/>
      <c r="AJ612" s="33"/>
      <c r="AK612" s="33"/>
      <c r="AL612" s="31"/>
      <c r="AM612" s="31"/>
      <c r="AN612" s="31"/>
      <c r="AO612" s="31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</row>
    <row r="613">
      <c r="A613" s="15"/>
      <c r="D613" s="15"/>
      <c r="AC613" s="17"/>
      <c r="AJ613" s="30"/>
      <c r="AK613" s="30"/>
      <c r="AL613" s="31"/>
      <c r="AM613" s="31"/>
      <c r="AN613" s="31"/>
      <c r="AO613" s="31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</row>
    <row r="614">
      <c r="A614" s="15"/>
      <c r="D614" s="15"/>
      <c r="AC614" s="17"/>
      <c r="AJ614" s="33"/>
      <c r="AK614" s="33"/>
      <c r="AL614" s="31"/>
      <c r="AM614" s="31"/>
      <c r="AN614" s="31"/>
      <c r="AO614" s="31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</row>
    <row r="615">
      <c r="A615" s="15"/>
      <c r="D615" s="15"/>
      <c r="AC615" s="17"/>
      <c r="AJ615" s="33"/>
      <c r="AK615" s="33"/>
      <c r="AL615" s="31"/>
      <c r="AM615" s="31"/>
      <c r="AN615" s="31"/>
      <c r="AO615" s="31"/>
    </row>
    <row r="616">
      <c r="A616" s="15"/>
      <c r="D616" s="15"/>
      <c r="AC616" s="17"/>
      <c r="AJ616" s="33"/>
      <c r="AK616" s="33"/>
      <c r="AL616" s="31"/>
      <c r="AM616" s="31"/>
      <c r="AN616" s="31"/>
      <c r="AO616" s="31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</row>
    <row r="617">
      <c r="A617" s="15"/>
      <c r="D617" s="15"/>
      <c r="AC617" s="17"/>
      <c r="AJ617" s="30"/>
      <c r="AK617" s="30"/>
      <c r="AL617" s="31"/>
      <c r="AM617" s="31"/>
      <c r="AN617" s="31"/>
      <c r="AO617" s="31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</row>
    <row r="618">
      <c r="A618" s="15"/>
      <c r="D618" s="15"/>
      <c r="AC618" s="17"/>
      <c r="AJ618" s="33"/>
      <c r="AK618" s="33"/>
      <c r="AL618" s="31"/>
      <c r="AM618" s="31"/>
      <c r="AN618" s="31"/>
      <c r="AO618" s="31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</row>
    <row r="619">
      <c r="A619" s="15"/>
      <c r="D619" s="15"/>
      <c r="AC619" s="17"/>
      <c r="AJ619" s="30"/>
      <c r="AK619" s="30"/>
      <c r="AL619" s="31"/>
      <c r="AM619" s="31"/>
      <c r="AN619" s="31"/>
      <c r="AO619" s="31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</row>
    <row r="620">
      <c r="A620" s="15"/>
      <c r="D620" s="15"/>
      <c r="AC620" s="17"/>
      <c r="AJ620" s="30"/>
      <c r="AK620" s="30"/>
      <c r="AL620" s="31"/>
      <c r="AM620" s="31"/>
      <c r="AN620" s="31"/>
      <c r="AO620" s="31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</row>
    <row r="621">
      <c r="A621" s="15"/>
      <c r="D621" s="15"/>
      <c r="AC621" s="17"/>
      <c r="AJ621" s="33"/>
      <c r="AK621" s="33"/>
      <c r="AL621" s="31"/>
      <c r="AM621" s="31"/>
      <c r="AN621" s="31"/>
      <c r="AO621" s="31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</row>
    <row r="622">
      <c r="A622" s="15"/>
      <c r="D622" s="15"/>
      <c r="AC622" s="17"/>
      <c r="AD622" s="15"/>
      <c r="AE622" s="15"/>
      <c r="AJ622" s="30"/>
      <c r="AK622" s="30"/>
      <c r="AL622" s="31"/>
      <c r="AM622" s="31"/>
      <c r="AN622" s="31"/>
      <c r="AO622" s="31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</row>
    <row r="623">
      <c r="A623" s="15"/>
      <c r="D623" s="15"/>
      <c r="AC623" s="17"/>
      <c r="AJ623" s="30"/>
      <c r="AK623" s="30"/>
      <c r="AL623" s="31"/>
      <c r="AM623" s="31"/>
      <c r="AN623" s="31"/>
      <c r="AO623" s="31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</row>
    <row r="624">
      <c r="A624" s="15"/>
      <c r="D624" s="15"/>
      <c r="AC624" s="17"/>
      <c r="AJ624" s="33"/>
      <c r="AK624" s="33"/>
      <c r="AL624" s="31"/>
      <c r="AM624" s="31"/>
      <c r="AN624" s="31"/>
      <c r="AO624" s="31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</row>
    <row r="625">
      <c r="A625" s="15"/>
      <c r="D625" s="15"/>
      <c r="AC625" s="17"/>
      <c r="AJ625" s="30"/>
      <c r="AK625" s="30"/>
      <c r="AL625" s="31"/>
      <c r="AM625" s="31"/>
      <c r="AN625" s="31"/>
      <c r="AO625" s="31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</row>
    <row r="626">
      <c r="A626" s="15"/>
      <c r="D626" s="15"/>
      <c r="AC626" s="17"/>
      <c r="AJ626" s="30"/>
      <c r="AK626" s="30"/>
      <c r="AL626" s="31"/>
      <c r="AM626" s="31"/>
      <c r="AN626" s="31"/>
      <c r="AO626" s="31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</row>
    <row r="627">
      <c r="A627" s="15"/>
      <c r="D627" s="15"/>
      <c r="AC627" s="17"/>
      <c r="AJ627" s="30"/>
      <c r="AK627" s="30"/>
      <c r="AL627" s="31"/>
      <c r="AM627" s="31"/>
      <c r="AN627" s="31"/>
      <c r="AO627" s="31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</row>
    <row r="628">
      <c r="A628" s="15"/>
      <c r="D628" s="15"/>
      <c r="AC628" s="17"/>
      <c r="AJ628" s="30"/>
      <c r="AK628" s="30"/>
      <c r="AL628" s="31"/>
      <c r="AM628" s="31"/>
      <c r="AN628" s="31"/>
      <c r="AO628" s="31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</row>
    <row r="629">
      <c r="A629" s="15"/>
      <c r="D629" s="15"/>
      <c r="AC629" s="17"/>
      <c r="AJ629" s="30"/>
      <c r="AK629" s="30"/>
      <c r="AL629" s="31"/>
      <c r="AM629" s="31"/>
      <c r="AN629" s="31"/>
      <c r="AO629" s="31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</row>
    <row r="630">
      <c r="A630" s="15"/>
      <c r="D630" s="15"/>
      <c r="AC630" s="17"/>
      <c r="AJ630" s="33"/>
      <c r="AK630" s="33"/>
      <c r="AL630" s="31"/>
      <c r="AM630" s="31"/>
      <c r="AN630" s="31"/>
      <c r="AO630" s="31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</row>
    <row r="631">
      <c r="A631" s="15"/>
      <c r="D631" s="15"/>
      <c r="AC631" s="17"/>
      <c r="AJ631" s="33"/>
      <c r="AK631" s="33"/>
      <c r="AL631" s="31"/>
      <c r="AM631" s="31"/>
      <c r="AN631" s="31"/>
      <c r="AO631" s="31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</row>
    <row r="632">
      <c r="A632" s="15"/>
      <c r="D632" s="15"/>
      <c r="AC632" s="17"/>
      <c r="AJ632" s="33"/>
      <c r="AK632" s="33"/>
      <c r="AL632" s="31"/>
      <c r="AM632" s="31"/>
      <c r="AN632" s="31"/>
      <c r="AO632" s="31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</row>
    <row r="633">
      <c r="A633" s="15"/>
      <c r="D633" s="15"/>
      <c r="AC633" s="17"/>
      <c r="AJ633" s="33"/>
      <c r="AK633" s="33"/>
      <c r="AL633" s="31"/>
      <c r="AM633" s="31"/>
      <c r="AN633" s="31"/>
      <c r="AO633" s="31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</row>
    <row r="634">
      <c r="A634" s="15"/>
      <c r="D634" s="15"/>
      <c r="AC634" s="17"/>
      <c r="AJ634" s="33"/>
      <c r="AK634" s="33"/>
      <c r="AL634" s="31"/>
      <c r="AM634" s="31"/>
      <c r="AN634" s="31"/>
      <c r="AO634" s="31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</row>
    <row r="635">
      <c r="A635" s="15"/>
      <c r="D635" s="15"/>
      <c r="AC635" s="17"/>
      <c r="AJ635" s="33"/>
      <c r="AK635" s="33"/>
      <c r="AL635" s="31"/>
      <c r="AM635" s="31"/>
      <c r="AN635" s="31"/>
      <c r="AO635" s="31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</row>
    <row r="636">
      <c r="A636" s="15"/>
      <c r="D636" s="15"/>
      <c r="AC636" s="17"/>
      <c r="AJ636" s="33"/>
      <c r="AK636" s="33"/>
      <c r="AL636" s="31"/>
      <c r="AM636" s="31"/>
      <c r="AN636" s="31"/>
      <c r="AO636" s="31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</row>
    <row r="637">
      <c r="A637" s="15"/>
      <c r="D637" s="15"/>
      <c r="AC637" s="17"/>
      <c r="AJ637" s="33"/>
      <c r="AK637" s="33"/>
      <c r="AL637" s="31"/>
      <c r="AM637" s="31"/>
      <c r="AN637" s="31"/>
      <c r="AO637" s="31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</row>
    <row r="638">
      <c r="A638" s="15"/>
      <c r="D638" s="15"/>
      <c r="AC638" s="17"/>
      <c r="AJ638" s="33"/>
      <c r="AK638" s="33"/>
      <c r="AL638" s="31"/>
      <c r="AM638" s="31"/>
      <c r="AN638" s="31"/>
      <c r="AO638" s="31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</row>
    <row r="639">
      <c r="A639" s="15"/>
      <c r="D639" s="15"/>
      <c r="AC639" s="17"/>
      <c r="AJ639" s="33"/>
      <c r="AK639" s="33"/>
      <c r="AL639" s="31"/>
      <c r="AM639" s="31"/>
      <c r="AN639" s="31"/>
      <c r="AO639" s="31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</row>
    <row r="640">
      <c r="A640" s="15"/>
      <c r="B640" s="15"/>
      <c r="D640" s="15"/>
      <c r="AC640" s="17"/>
      <c r="AJ640" s="33"/>
      <c r="AK640" s="33"/>
      <c r="AL640" s="31"/>
      <c r="AM640" s="31"/>
      <c r="AN640" s="31"/>
      <c r="AO640" s="31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</row>
    <row r="641">
      <c r="A641" s="15"/>
      <c r="D641" s="15"/>
      <c r="AC641" s="17"/>
      <c r="AH641" s="15"/>
      <c r="AI641" s="15"/>
      <c r="AJ641" s="30"/>
      <c r="AK641" s="30"/>
      <c r="AL641" s="31"/>
      <c r="AM641" s="31"/>
      <c r="AN641" s="31"/>
      <c r="AO641" s="31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</row>
    <row r="642">
      <c r="A642" s="15"/>
      <c r="D642" s="15"/>
      <c r="AC642" s="17"/>
      <c r="AH642" s="15"/>
      <c r="AI642" s="15"/>
      <c r="AJ642" s="30"/>
      <c r="AK642" s="30"/>
      <c r="AL642" s="31"/>
      <c r="AM642" s="31"/>
      <c r="AN642" s="31"/>
      <c r="AO642" s="31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</row>
    <row r="643">
      <c r="A643" s="15"/>
      <c r="D643" s="15"/>
      <c r="AC643" s="17"/>
      <c r="AH643" s="15"/>
      <c r="AI643" s="15"/>
      <c r="AJ643" s="30"/>
      <c r="AK643" s="30"/>
      <c r="AL643" s="31"/>
      <c r="AM643" s="31"/>
      <c r="AN643" s="31"/>
      <c r="AO643" s="31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</row>
    <row r="644">
      <c r="A644" s="15"/>
      <c r="D644" s="15"/>
      <c r="AC644" s="17"/>
      <c r="AJ644" s="30"/>
      <c r="AK644" s="30"/>
      <c r="AL644" s="31"/>
      <c r="AM644" s="31"/>
      <c r="AN644" s="31"/>
      <c r="AO644" s="31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</row>
    <row r="645">
      <c r="A645" s="15"/>
      <c r="D645" s="15"/>
      <c r="AC645" s="17"/>
      <c r="AJ645" s="30"/>
      <c r="AK645" s="30"/>
      <c r="AL645" s="31"/>
      <c r="AM645" s="31"/>
      <c r="AN645" s="31"/>
      <c r="AO645" s="31"/>
    </row>
    <row r="646">
      <c r="A646" s="15"/>
      <c r="D646" s="15"/>
      <c r="AC646" s="17"/>
      <c r="AJ646" s="30"/>
      <c r="AK646" s="30"/>
      <c r="AL646" s="31"/>
      <c r="AM646" s="31"/>
      <c r="AN646" s="31"/>
      <c r="AO646" s="31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</row>
    <row r="647">
      <c r="A647" s="15"/>
      <c r="D647" s="15"/>
      <c r="AC647" s="17"/>
      <c r="AJ647" s="30"/>
      <c r="AK647" s="30"/>
      <c r="AL647" s="31"/>
      <c r="AM647" s="31"/>
      <c r="AN647" s="31"/>
      <c r="AO647" s="31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</row>
    <row r="648">
      <c r="A648" s="15"/>
      <c r="D648" s="15"/>
      <c r="AC648" s="17"/>
      <c r="AJ648" s="30"/>
      <c r="AK648" s="30"/>
      <c r="AL648" s="31"/>
      <c r="AM648" s="31"/>
      <c r="AN648" s="31"/>
      <c r="AO648" s="31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</row>
    <row r="649">
      <c r="A649" s="15"/>
      <c r="D649" s="15"/>
      <c r="AC649" s="17"/>
      <c r="AJ649" s="30"/>
      <c r="AK649" s="30"/>
      <c r="AL649" s="31"/>
      <c r="AM649" s="31"/>
      <c r="AN649" s="31"/>
      <c r="AO649" s="31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</row>
    <row r="650">
      <c r="A650" s="15"/>
      <c r="D650" s="15"/>
      <c r="AC650" s="17"/>
      <c r="AJ650" s="30"/>
      <c r="AK650" s="30"/>
      <c r="AL650" s="31"/>
      <c r="AM650" s="31"/>
      <c r="AN650" s="31"/>
      <c r="AO650" s="31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</row>
    <row r="651">
      <c r="A651" s="15"/>
      <c r="D651" s="15"/>
      <c r="AC651" s="17"/>
      <c r="AJ651" s="30"/>
      <c r="AK651" s="30"/>
      <c r="AL651" s="31"/>
      <c r="AM651" s="31"/>
      <c r="AN651" s="31"/>
      <c r="AO651" s="31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</row>
    <row r="652">
      <c r="A652" s="15"/>
      <c r="D652" s="15"/>
      <c r="AC652" s="17"/>
      <c r="AJ652" s="30"/>
      <c r="AK652" s="30"/>
      <c r="AL652" s="31"/>
      <c r="AM652" s="31"/>
      <c r="AN652" s="31"/>
      <c r="AO652" s="31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</row>
    <row r="653">
      <c r="A653" s="15"/>
      <c r="D653" s="15"/>
      <c r="AC653" s="17"/>
      <c r="AJ653" s="30"/>
      <c r="AK653" s="30"/>
      <c r="AL653" s="31"/>
      <c r="AM653" s="31"/>
      <c r="AN653" s="31"/>
      <c r="AO653" s="31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</row>
    <row r="654">
      <c r="A654" s="15"/>
      <c r="D654" s="15"/>
      <c r="AC654" s="17"/>
      <c r="AJ654" s="30"/>
      <c r="AK654" s="30"/>
      <c r="AL654" s="31"/>
      <c r="AM654" s="31"/>
      <c r="AN654" s="31"/>
      <c r="AO654" s="31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</row>
    <row r="655">
      <c r="A655" s="15"/>
      <c r="D655" s="15"/>
      <c r="AC655" s="17"/>
      <c r="AJ655" s="30"/>
      <c r="AK655" s="30"/>
      <c r="AL655" s="31"/>
      <c r="AM655" s="31"/>
      <c r="AN655" s="31"/>
      <c r="AO655" s="31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</row>
    <row r="656">
      <c r="A656" s="15"/>
      <c r="B656" s="15"/>
      <c r="D656" s="15"/>
      <c r="AC656" s="17"/>
      <c r="AJ656" s="30"/>
      <c r="AK656" s="30"/>
      <c r="AL656" s="31"/>
      <c r="AM656" s="31"/>
      <c r="AN656" s="31"/>
      <c r="AO656" s="31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</row>
    <row r="657">
      <c r="A657" s="15"/>
      <c r="D657" s="15"/>
      <c r="AC657" s="17"/>
      <c r="AJ657" s="30"/>
      <c r="AK657" s="30"/>
      <c r="AL657" s="31"/>
      <c r="AM657" s="31"/>
      <c r="AN657" s="31"/>
      <c r="AO657" s="31"/>
    </row>
    <row r="658">
      <c r="A658" s="15"/>
      <c r="B658" s="15"/>
      <c r="D658" s="15"/>
      <c r="AC658" s="17"/>
      <c r="AJ658" s="30"/>
      <c r="AK658" s="30"/>
      <c r="AL658" s="31"/>
      <c r="AM658" s="31"/>
      <c r="AN658" s="31"/>
      <c r="AO658" s="31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</row>
    <row r="659">
      <c r="A659" s="15"/>
      <c r="D659" s="15"/>
      <c r="AC659" s="17"/>
      <c r="AJ659" s="33"/>
      <c r="AK659" s="33"/>
      <c r="AL659" s="31"/>
      <c r="AM659" s="31"/>
      <c r="AN659" s="31"/>
      <c r="AO659" s="31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</row>
    <row r="660">
      <c r="A660" s="15"/>
      <c r="D660" s="15"/>
      <c r="AC660" s="17"/>
      <c r="AJ660" s="33"/>
      <c r="AK660" s="33"/>
      <c r="AL660" s="31"/>
      <c r="AM660" s="31"/>
      <c r="AN660" s="31"/>
      <c r="AO660" s="31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</row>
    <row r="661">
      <c r="A661" s="15"/>
      <c r="D661" s="15"/>
      <c r="AC661" s="17"/>
      <c r="AJ661" s="33"/>
      <c r="AK661" s="33"/>
      <c r="AL661" s="32"/>
      <c r="AM661" s="32"/>
      <c r="AN661" s="31"/>
      <c r="AO661" s="31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</row>
    <row r="662">
      <c r="A662" s="15"/>
      <c r="D662" s="15"/>
      <c r="AC662" s="17"/>
      <c r="AJ662" s="30"/>
      <c r="AK662" s="30"/>
      <c r="AL662" s="31"/>
      <c r="AM662" s="31"/>
      <c r="AN662" s="31"/>
      <c r="AO662" s="31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</row>
    <row r="663">
      <c r="A663" s="15"/>
      <c r="D663" s="15"/>
      <c r="AC663" s="17"/>
      <c r="AJ663" s="30"/>
      <c r="AK663" s="30"/>
      <c r="AL663" s="31"/>
      <c r="AM663" s="31"/>
      <c r="AN663" s="31"/>
      <c r="AO663" s="31"/>
    </row>
    <row r="664">
      <c r="A664" s="15"/>
      <c r="D664" s="15"/>
      <c r="AC664" s="17"/>
      <c r="AJ664" s="30"/>
      <c r="AK664" s="30"/>
      <c r="AL664" s="31"/>
      <c r="AM664" s="31"/>
      <c r="AN664" s="31"/>
      <c r="AO664" s="31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</row>
    <row r="665">
      <c r="A665" s="15"/>
      <c r="D665" s="15"/>
      <c r="AC665" s="17"/>
      <c r="AJ665" s="30"/>
      <c r="AK665" s="30"/>
      <c r="AL665" s="31"/>
      <c r="AM665" s="31"/>
      <c r="AN665" s="31"/>
      <c r="AO665" s="31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</row>
    <row r="666">
      <c r="A666" s="15"/>
      <c r="D666" s="15"/>
      <c r="AC666" s="17"/>
      <c r="AJ666" s="30"/>
      <c r="AK666" s="30"/>
      <c r="AL666" s="31"/>
      <c r="AM666" s="31"/>
      <c r="AN666" s="31"/>
      <c r="AO666" s="31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</row>
    <row r="667">
      <c r="A667" s="15"/>
      <c r="D667" s="15"/>
      <c r="AC667" s="17"/>
      <c r="AJ667" s="30"/>
      <c r="AK667" s="30"/>
      <c r="AL667" s="31"/>
      <c r="AM667" s="31"/>
      <c r="AN667" s="31"/>
      <c r="AO667" s="31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</row>
    <row r="668">
      <c r="A668" s="15"/>
      <c r="D668" s="15"/>
      <c r="AC668" s="17"/>
      <c r="AJ668" s="30"/>
      <c r="AK668" s="30"/>
      <c r="AL668" s="31"/>
      <c r="AM668" s="31"/>
      <c r="AN668" s="31"/>
      <c r="AO668" s="31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</row>
    <row r="669">
      <c r="A669" s="15"/>
      <c r="D669" s="15"/>
      <c r="AC669" s="17"/>
      <c r="AJ669" s="30"/>
      <c r="AK669" s="30"/>
      <c r="AL669" s="31"/>
      <c r="AM669" s="31"/>
      <c r="AN669" s="32"/>
      <c r="AO669" s="32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</row>
    <row r="670">
      <c r="A670" s="15"/>
      <c r="D670" s="15"/>
      <c r="AC670" s="17"/>
      <c r="AJ670" s="30"/>
      <c r="AK670" s="30"/>
      <c r="AL670" s="31"/>
      <c r="AM670" s="31"/>
      <c r="AN670" s="31"/>
      <c r="AO670" s="31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</row>
    <row r="671">
      <c r="A671" s="15"/>
      <c r="D671" s="15"/>
      <c r="AC671" s="17"/>
      <c r="AJ671" s="30"/>
      <c r="AK671" s="30"/>
      <c r="AL671" s="31"/>
      <c r="AM671" s="31"/>
      <c r="AN671" s="31"/>
      <c r="AO671" s="31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</row>
    <row r="672">
      <c r="A672" s="15"/>
      <c r="D672" s="15"/>
      <c r="AC672" s="17"/>
      <c r="AJ672" s="33"/>
      <c r="AK672" s="33"/>
      <c r="AL672" s="31"/>
      <c r="AM672" s="31"/>
      <c r="AN672" s="31"/>
      <c r="AO672" s="31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</row>
    <row r="673">
      <c r="A673" s="15"/>
      <c r="D673" s="15"/>
      <c r="AC673" s="17"/>
      <c r="AJ673" s="30"/>
      <c r="AK673" s="30"/>
      <c r="AL673" s="31"/>
      <c r="AM673" s="31"/>
      <c r="AN673" s="31"/>
      <c r="AO673" s="31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</row>
    <row r="674">
      <c r="A674" s="15"/>
      <c r="D674" s="15"/>
      <c r="AC674" s="17"/>
      <c r="AD674" s="15"/>
      <c r="AE674" s="15"/>
      <c r="AJ674" s="30"/>
      <c r="AK674" s="30"/>
      <c r="AL674" s="31"/>
      <c r="AM674" s="31"/>
      <c r="AN674" s="31"/>
      <c r="AO674" s="31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</row>
    <row r="675">
      <c r="A675" s="15"/>
      <c r="D675" s="15"/>
      <c r="AC675" s="17"/>
      <c r="AD675" s="15"/>
      <c r="AE675" s="15"/>
      <c r="AJ675" s="30"/>
      <c r="AK675" s="30"/>
      <c r="AL675" s="31"/>
      <c r="AM675" s="31"/>
      <c r="AN675" s="31"/>
      <c r="AO675" s="31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</row>
    <row r="676">
      <c r="A676" s="15"/>
      <c r="D676" s="15"/>
      <c r="AC676" s="17"/>
      <c r="AD676" s="15"/>
      <c r="AE676" s="15"/>
      <c r="AJ676" s="30"/>
      <c r="AK676" s="30"/>
      <c r="AL676" s="31"/>
      <c r="AM676" s="31"/>
      <c r="AN676" s="31"/>
      <c r="AO676" s="31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</row>
    <row r="677">
      <c r="A677" s="15"/>
      <c r="D677" s="15"/>
      <c r="AC677" s="17"/>
      <c r="AJ677" s="30"/>
      <c r="AK677" s="30"/>
      <c r="AL677" s="31"/>
      <c r="AM677" s="31"/>
      <c r="AN677" s="31"/>
      <c r="AO677" s="31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</row>
    <row r="678">
      <c r="A678" s="15"/>
      <c r="D678" s="15"/>
      <c r="AC678" s="17"/>
      <c r="AJ678" s="30"/>
      <c r="AK678" s="30"/>
      <c r="AL678" s="31"/>
      <c r="AM678" s="31"/>
      <c r="AN678" s="31"/>
      <c r="AO678" s="31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</row>
    <row r="679">
      <c r="A679" s="15"/>
      <c r="D679" s="15"/>
      <c r="AC679" s="17"/>
      <c r="AJ679" s="30"/>
      <c r="AK679" s="30"/>
      <c r="AL679" s="31"/>
      <c r="AM679" s="31"/>
      <c r="AN679" s="31"/>
      <c r="AO679" s="31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</row>
    <row r="680">
      <c r="A680" s="15"/>
      <c r="D680" s="15"/>
      <c r="AC680" s="17"/>
      <c r="AJ680" s="30"/>
      <c r="AK680" s="30"/>
      <c r="AL680" s="31"/>
      <c r="AM680" s="31"/>
      <c r="AN680" s="31"/>
      <c r="AO680" s="31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</row>
    <row r="681">
      <c r="A681" s="15"/>
      <c r="D681" s="15"/>
      <c r="AC681" s="17"/>
      <c r="AJ681" s="30"/>
      <c r="AK681" s="30"/>
      <c r="AL681" s="31"/>
      <c r="AM681" s="31"/>
      <c r="AN681" s="31"/>
      <c r="AO681" s="31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</row>
    <row r="682">
      <c r="A682" s="15"/>
      <c r="D682" s="15"/>
      <c r="AC682" s="17"/>
      <c r="AJ682" s="30"/>
      <c r="AK682" s="30"/>
      <c r="AL682" s="31"/>
      <c r="AM682" s="31"/>
      <c r="AN682" s="31"/>
      <c r="AO682" s="31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</row>
    <row r="683">
      <c r="A683" s="15"/>
      <c r="D683" s="15"/>
      <c r="AC683" s="17"/>
      <c r="AJ683" s="30"/>
      <c r="AK683" s="30"/>
      <c r="AL683" s="31"/>
      <c r="AM683" s="31"/>
      <c r="AN683" s="31"/>
      <c r="AO683" s="31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</row>
    <row r="684">
      <c r="A684" s="15"/>
      <c r="B684" s="15"/>
      <c r="D684" s="15"/>
      <c r="I684" s="15"/>
      <c r="J684" s="15"/>
      <c r="K684" s="15"/>
      <c r="AC684" s="17"/>
      <c r="AJ684" s="30"/>
      <c r="AK684" s="30"/>
      <c r="AL684" s="31"/>
      <c r="AM684" s="31"/>
      <c r="AN684" s="31"/>
      <c r="AO684" s="31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</row>
    <row r="685">
      <c r="A685" s="15"/>
      <c r="D685" s="15"/>
      <c r="AC685" s="17"/>
      <c r="AJ685" s="30"/>
      <c r="AK685" s="30"/>
      <c r="AL685" s="31"/>
      <c r="AM685" s="31"/>
      <c r="AN685" s="31"/>
      <c r="AO685" s="31"/>
    </row>
    <row r="686">
      <c r="A686" s="15"/>
      <c r="D686" s="15"/>
      <c r="AC686" s="17"/>
      <c r="AJ686" s="30"/>
      <c r="AK686" s="30"/>
      <c r="AL686" s="31"/>
      <c r="AM686" s="31"/>
      <c r="AN686" s="31"/>
      <c r="AO686" s="31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</row>
    <row r="687">
      <c r="A687" s="15"/>
      <c r="D687" s="15"/>
      <c r="AC687" s="17"/>
      <c r="AJ687" s="30"/>
      <c r="AK687" s="30"/>
      <c r="AL687" s="31"/>
      <c r="AM687" s="31"/>
      <c r="AN687" s="31"/>
      <c r="AO687" s="31"/>
    </row>
    <row r="688">
      <c r="A688" s="15"/>
      <c r="D688" s="15"/>
      <c r="AC688" s="17"/>
      <c r="AJ688" s="30"/>
      <c r="AK688" s="30"/>
      <c r="AL688" s="31"/>
      <c r="AM688" s="31"/>
      <c r="AN688" s="31"/>
      <c r="AO688" s="31"/>
    </row>
    <row r="689">
      <c r="A689" s="15"/>
      <c r="D689" s="15"/>
      <c r="AC689" s="17"/>
      <c r="AJ689" s="30"/>
      <c r="AK689" s="30"/>
      <c r="AL689" s="31"/>
      <c r="AM689" s="31"/>
      <c r="AN689" s="31"/>
      <c r="AO689" s="31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</row>
    <row r="690">
      <c r="A690" s="15"/>
      <c r="D690" s="15"/>
      <c r="AC690" s="17"/>
      <c r="AJ690" s="30"/>
      <c r="AK690" s="30"/>
      <c r="AL690" s="31"/>
      <c r="AM690" s="31"/>
      <c r="AN690" s="31"/>
      <c r="AO690" s="31"/>
    </row>
    <row r="691">
      <c r="A691" s="15"/>
      <c r="D691" s="15"/>
      <c r="AC691" s="17"/>
      <c r="AJ691" s="30"/>
      <c r="AK691" s="30"/>
      <c r="AL691" s="31"/>
      <c r="AM691" s="31"/>
      <c r="AN691" s="31"/>
      <c r="AO691" s="31"/>
    </row>
    <row r="692">
      <c r="A692" s="15"/>
      <c r="B692" s="15"/>
      <c r="D692" s="15"/>
      <c r="I692" s="15"/>
      <c r="J692" s="15"/>
      <c r="K692" s="15"/>
      <c r="AC692" s="17"/>
      <c r="AJ692" s="30"/>
      <c r="AK692" s="30"/>
      <c r="AL692" s="31"/>
      <c r="AM692" s="31"/>
      <c r="AN692" s="31"/>
      <c r="AO692" s="31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</row>
    <row r="693">
      <c r="A693" s="15"/>
      <c r="B693" s="15"/>
      <c r="D693" s="15"/>
      <c r="I693" s="15"/>
      <c r="J693" s="15"/>
      <c r="K693" s="15"/>
      <c r="AC693" s="17"/>
      <c r="AJ693" s="30"/>
      <c r="AK693" s="30"/>
      <c r="AL693" s="31"/>
      <c r="AM693" s="31"/>
      <c r="AN693" s="31"/>
      <c r="AO693" s="31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</row>
    <row r="694">
      <c r="A694" s="15"/>
      <c r="D694" s="15"/>
      <c r="AC694" s="17"/>
      <c r="AJ694" s="30"/>
      <c r="AK694" s="30"/>
      <c r="AL694" s="31"/>
      <c r="AM694" s="31"/>
      <c r="AN694" s="31"/>
      <c r="AO694" s="31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</row>
    <row r="695">
      <c r="A695" s="15"/>
      <c r="D695" s="15"/>
      <c r="AC695" s="17"/>
      <c r="AJ695" s="30"/>
      <c r="AK695" s="30"/>
      <c r="AL695" s="31"/>
      <c r="AM695" s="31"/>
      <c r="AN695" s="31"/>
      <c r="AO695" s="31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</row>
    <row r="696">
      <c r="A696" s="15"/>
      <c r="D696" s="15"/>
      <c r="AC696" s="17"/>
      <c r="AJ696" s="30"/>
      <c r="AK696" s="30"/>
      <c r="AL696" s="31"/>
      <c r="AM696" s="31"/>
      <c r="AN696" s="31"/>
      <c r="AO696" s="31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</row>
    <row r="697">
      <c r="A697" s="15"/>
      <c r="D697" s="15"/>
      <c r="AC697" s="17"/>
      <c r="AJ697" s="30"/>
      <c r="AK697" s="30"/>
      <c r="AL697" s="31"/>
      <c r="AM697" s="31"/>
      <c r="AN697" s="31"/>
      <c r="AO697" s="31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</row>
    <row r="698">
      <c r="A698" s="15"/>
      <c r="D698" s="15"/>
      <c r="AC698" s="17"/>
      <c r="AJ698" s="30"/>
      <c r="AK698" s="30"/>
      <c r="AL698" s="31"/>
      <c r="AM698" s="31"/>
      <c r="AN698" s="31"/>
      <c r="AO698" s="31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</row>
    <row r="699">
      <c r="A699" s="15"/>
      <c r="D699" s="15"/>
      <c r="AC699" s="17"/>
      <c r="AJ699" s="30"/>
      <c r="AK699" s="30"/>
      <c r="AL699" s="31"/>
      <c r="AM699" s="31"/>
      <c r="AN699" s="31"/>
      <c r="AO699" s="31"/>
    </row>
    <row r="700">
      <c r="A700" s="15"/>
      <c r="D700" s="15"/>
      <c r="AC700" s="17"/>
      <c r="AJ700" s="30"/>
      <c r="AK700" s="30"/>
      <c r="AL700" s="31"/>
      <c r="AM700" s="31"/>
      <c r="AN700" s="31"/>
      <c r="AO700" s="31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</row>
    <row r="701">
      <c r="A701" s="15"/>
      <c r="B701" s="15"/>
      <c r="D701" s="15"/>
      <c r="AC701" s="17"/>
      <c r="AJ701" s="30"/>
      <c r="AK701" s="30"/>
      <c r="AL701" s="31"/>
      <c r="AM701" s="31"/>
      <c r="AN701" s="31"/>
      <c r="AO701" s="31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</row>
    <row r="702">
      <c r="A702" s="15"/>
      <c r="D702" s="15"/>
      <c r="AC702" s="17"/>
      <c r="AJ702" s="30"/>
      <c r="AK702" s="30"/>
      <c r="AL702" s="31"/>
      <c r="AM702" s="31"/>
      <c r="AN702" s="31"/>
      <c r="AO702" s="31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</row>
    <row r="703">
      <c r="A703" s="15"/>
      <c r="D703" s="15"/>
      <c r="AC703" s="17"/>
      <c r="AJ703" s="30"/>
      <c r="AK703" s="30"/>
      <c r="AL703" s="31"/>
      <c r="AM703" s="31"/>
      <c r="AN703" s="31"/>
      <c r="AO703" s="31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</row>
    <row r="704">
      <c r="A704" s="15"/>
      <c r="D704" s="15"/>
      <c r="AC704" s="17"/>
      <c r="AJ704" s="30"/>
      <c r="AK704" s="30"/>
      <c r="AL704" s="31"/>
      <c r="AM704" s="31"/>
      <c r="AN704" s="31"/>
      <c r="AO704" s="31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</row>
    <row r="705">
      <c r="A705" s="15"/>
      <c r="D705" s="15"/>
      <c r="AC705" s="17"/>
      <c r="AJ705" s="30"/>
      <c r="AK705" s="30"/>
      <c r="AL705" s="31"/>
      <c r="AM705" s="31"/>
      <c r="AN705" s="31"/>
      <c r="AO705" s="31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</row>
    <row r="706">
      <c r="A706" s="15"/>
      <c r="D706" s="15"/>
      <c r="AC706" s="17"/>
      <c r="AJ706" s="30"/>
      <c r="AK706" s="30"/>
      <c r="AL706" s="31"/>
      <c r="AM706" s="31"/>
      <c r="AN706" s="31"/>
      <c r="AO706" s="31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</row>
    <row r="707">
      <c r="A707" s="15"/>
      <c r="D707" s="15"/>
      <c r="AC707" s="17"/>
      <c r="AJ707" s="30"/>
      <c r="AK707" s="30"/>
      <c r="AL707" s="31"/>
      <c r="AM707" s="31"/>
      <c r="AN707" s="31"/>
      <c r="AO707" s="31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</row>
    <row r="708">
      <c r="A708" s="15"/>
      <c r="D708" s="15"/>
      <c r="AC708" s="17"/>
      <c r="AJ708" s="30"/>
      <c r="AK708" s="30"/>
      <c r="AL708" s="31"/>
      <c r="AM708" s="31"/>
      <c r="AN708" s="31"/>
      <c r="AO708" s="31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</row>
    <row r="709">
      <c r="A709" s="15"/>
      <c r="D709" s="15"/>
      <c r="AC709" s="17"/>
      <c r="AJ709" s="30"/>
      <c r="AK709" s="30"/>
      <c r="AL709" s="31"/>
      <c r="AM709" s="31"/>
      <c r="AN709" s="31"/>
      <c r="AO709" s="31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</row>
    <row r="710">
      <c r="A710" s="15"/>
      <c r="D710" s="15"/>
      <c r="AC710" s="17"/>
      <c r="AJ710" s="30"/>
      <c r="AK710" s="30"/>
      <c r="AL710" s="31"/>
      <c r="AM710" s="31"/>
      <c r="AN710" s="31"/>
      <c r="AO710" s="31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</row>
    <row r="711">
      <c r="A711" s="15"/>
      <c r="D711" s="15"/>
      <c r="AC711" s="17"/>
      <c r="AJ711" s="30"/>
      <c r="AK711" s="30"/>
      <c r="AL711" s="31"/>
      <c r="AM711" s="31"/>
      <c r="AN711" s="31"/>
      <c r="AO711" s="31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</row>
    <row r="712">
      <c r="A712" s="15"/>
      <c r="D712" s="15"/>
      <c r="AC712" s="17"/>
      <c r="AJ712" s="30"/>
      <c r="AK712" s="30"/>
      <c r="AL712" s="31"/>
      <c r="AM712" s="31"/>
      <c r="AN712" s="31"/>
      <c r="AO712" s="31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</row>
    <row r="713">
      <c r="A713" s="15"/>
      <c r="D713" s="15"/>
      <c r="AC713" s="17"/>
      <c r="AJ713" s="30"/>
      <c r="AK713" s="30"/>
      <c r="AL713" s="31"/>
      <c r="AM713" s="31"/>
      <c r="AN713" s="31"/>
      <c r="AO713" s="31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</row>
    <row r="714">
      <c r="A714" s="15"/>
      <c r="D714" s="15"/>
      <c r="AC714" s="17"/>
      <c r="AJ714" s="30"/>
      <c r="AK714" s="30"/>
      <c r="AL714" s="31"/>
      <c r="AM714" s="31"/>
      <c r="AN714" s="31"/>
      <c r="AO714" s="31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</row>
    <row r="715">
      <c r="A715" s="15"/>
      <c r="D715" s="15"/>
      <c r="AC715" s="17"/>
      <c r="AJ715" s="30"/>
      <c r="AK715" s="30"/>
      <c r="AL715" s="31"/>
      <c r="AM715" s="31"/>
      <c r="AN715" s="31"/>
      <c r="AO715" s="31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</row>
    <row r="716">
      <c r="A716" s="15"/>
      <c r="D716" s="15"/>
      <c r="AC716" s="17"/>
      <c r="AJ716" s="30"/>
      <c r="AK716" s="30"/>
      <c r="AL716" s="31"/>
      <c r="AM716" s="31"/>
      <c r="AN716" s="31"/>
      <c r="AO716" s="31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</row>
    <row r="717">
      <c r="A717" s="15"/>
      <c r="D717" s="15"/>
      <c r="AC717" s="17"/>
      <c r="AJ717" s="30"/>
      <c r="AK717" s="30"/>
      <c r="AL717" s="31"/>
      <c r="AM717" s="31"/>
      <c r="AN717" s="31"/>
      <c r="AO717" s="31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</row>
    <row r="718">
      <c r="A718" s="15"/>
      <c r="D718" s="15"/>
      <c r="AC718" s="17"/>
      <c r="AJ718" s="30"/>
      <c r="AK718" s="30"/>
      <c r="AL718" s="31"/>
      <c r="AM718" s="31"/>
      <c r="AN718" s="31"/>
      <c r="AO718" s="31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</row>
    <row r="719">
      <c r="A719" s="15"/>
      <c r="D719" s="15"/>
      <c r="AC719" s="17"/>
      <c r="AJ719" s="30"/>
      <c r="AK719" s="30"/>
      <c r="AL719" s="31"/>
      <c r="AM719" s="31"/>
      <c r="AN719" s="31"/>
      <c r="AO719" s="31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</row>
    <row r="720">
      <c r="A720" s="15"/>
      <c r="B720" s="15"/>
      <c r="D720" s="15"/>
      <c r="I720" s="15"/>
      <c r="J720" s="15"/>
      <c r="K720" s="15"/>
      <c r="AC720" s="17"/>
      <c r="AJ720" s="30"/>
      <c r="AK720" s="30"/>
      <c r="AL720" s="31"/>
      <c r="AM720" s="31"/>
      <c r="AN720" s="31"/>
      <c r="AO720" s="31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</row>
    <row r="721">
      <c r="A721" s="15"/>
      <c r="D721" s="15"/>
      <c r="AC721" s="17"/>
      <c r="AJ721" s="30"/>
      <c r="AK721" s="30"/>
      <c r="AL721" s="31"/>
      <c r="AM721" s="31"/>
      <c r="AN721" s="31"/>
      <c r="AO721" s="31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</row>
    <row r="722">
      <c r="A722" s="15"/>
      <c r="D722" s="15"/>
      <c r="AC722" s="17"/>
      <c r="AJ722" s="30"/>
      <c r="AK722" s="30"/>
      <c r="AL722" s="31"/>
      <c r="AM722" s="31"/>
      <c r="AN722" s="31"/>
      <c r="AO722" s="31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</row>
    <row r="723">
      <c r="A723" s="15"/>
      <c r="D723" s="15"/>
      <c r="AC723" s="17"/>
      <c r="AJ723" s="30"/>
      <c r="AK723" s="30"/>
      <c r="AL723" s="31"/>
      <c r="AM723" s="31"/>
      <c r="AN723" s="31"/>
      <c r="AO723" s="31"/>
    </row>
    <row r="724">
      <c r="A724" s="15"/>
      <c r="D724" s="15"/>
      <c r="AC724" s="17"/>
      <c r="AJ724" s="30"/>
      <c r="AK724" s="30"/>
      <c r="AL724" s="31"/>
      <c r="AM724" s="31"/>
      <c r="AN724" s="31"/>
      <c r="AO724" s="31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</row>
    <row r="725">
      <c r="A725" s="15"/>
      <c r="D725" s="15"/>
      <c r="AC725" s="17"/>
      <c r="AJ725" s="30"/>
      <c r="AK725" s="30"/>
      <c r="AL725" s="31"/>
      <c r="AM725" s="31"/>
      <c r="AN725" s="31"/>
      <c r="AO725" s="31"/>
    </row>
    <row r="726">
      <c r="A726" s="15"/>
      <c r="D726" s="15"/>
      <c r="AC726" s="17"/>
      <c r="AJ726" s="30"/>
      <c r="AK726" s="30"/>
      <c r="AL726" s="31"/>
      <c r="AM726" s="31"/>
      <c r="AN726" s="31"/>
      <c r="AO726" s="31"/>
    </row>
    <row r="727">
      <c r="A727" s="15"/>
      <c r="D727" s="15"/>
      <c r="AC727" s="17"/>
      <c r="AJ727" s="30"/>
      <c r="AK727" s="30"/>
      <c r="AL727" s="31"/>
      <c r="AM727" s="31"/>
      <c r="AN727" s="31"/>
      <c r="AO727" s="31"/>
    </row>
    <row r="728">
      <c r="A728" s="15"/>
      <c r="D728" s="15"/>
      <c r="AC728" s="17"/>
      <c r="AJ728" s="30"/>
      <c r="AK728" s="30"/>
      <c r="AL728" s="31"/>
      <c r="AM728" s="31"/>
      <c r="AN728" s="31"/>
      <c r="AO728" s="31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</row>
    <row r="729">
      <c r="A729" s="15"/>
      <c r="D729" s="15"/>
      <c r="AC729" s="17"/>
      <c r="AJ729" s="30"/>
      <c r="AK729" s="30"/>
      <c r="AL729" s="31"/>
      <c r="AM729" s="31"/>
      <c r="AN729" s="31"/>
      <c r="AO729" s="31"/>
    </row>
    <row r="730">
      <c r="A730" s="15"/>
      <c r="D730" s="15"/>
      <c r="AC730" s="17"/>
      <c r="AJ730" s="33"/>
      <c r="AK730" s="33"/>
      <c r="AL730" s="31"/>
      <c r="AM730" s="31"/>
      <c r="AN730" s="31"/>
      <c r="AO730" s="31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</row>
    <row r="731">
      <c r="A731" s="15"/>
      <c r="D731" s="15"/>
      <c r="AC731" s="17"/>
      <c r="AD731" s="15"/>
      <c r="AE731" s="15"/>
      <c r="AJ731" s="30"/>
      <c r="AK731" s="30"/>
      <c r="AL731" s="31"/>
      <c r="AM731" s="31"/>
      <c r="AN731" s="31"/>
      <c r="AO731" s="31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</row>
    <row r="732">
      <c r="A732" s="15"/>
      <c r="D732" s="15"/>
      <c r="AC732" s="17"/>
      <c r="AH732" s="15"/>
      <c r="AI732" s="15"/>
      <c r="AJ732" s="30"/>
      <c r="AK732" s="30"/>
      <c r="AL732" s="31"/>
      <c r="AM732" s="31"/>
      <c r="AN732" s="32"/>
      <c r="AO732" s="32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</row>
    <row r="733">
      <c r="A733" s="15"/>
      <c r="D733" s="15"/>
      <c r="AC733" s="17"/>
      <c r="AH733" s="15"/>
      <c r="AI733" s="15"/>
      <c r="AJ733" s="33"/>
      <c r="AK733" s="33"/>
      <c r="AL733" s="32"/>
      <c r="AM733" s="32"/>
      <c r="AN733" s="31"/>
      <c r="AO733" s="31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</row>
    <row r="734">
      <c r="A734" s="15"/>
      <c r="D734" s="15"/>
      <c r="AC734" s="17"/>
      <c r="AH734" s="15"/>
      <c r="AI734" s="15"/>
      <c r="AJ734" s="30"/>
      <c r="AK734" s="30"/>
      <c r="AL734" s="32"/>
      <c r="AM734" s="32"/>
      <c r="AN734" s="32"/>
      <c r="AO734" s="32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</row>
    <row r="735">
      <c r="A735" s="15"/>
      <c r="D735" s="15"/>
      <c r="AC735" s="17"/>
      <c r="AJ735" s="33"/>
      <c r="AK735" s="33"/>
      <c r="AL735" s="32"/>
      <c r="AM735" s="32"/>
      <c r="AN735" s="32"/>
      <c r="AO735" s="32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</row>
    <row r="736">
      <c r="A736" s="15"/>
      <c r="D736" s="15"/>
      <c r="AC736" s="17"/>
      <c r="AJ736" s="33"/>
      <c r="AK736" s="33"/>
      <c r="AL736" s="31"/>
      <c r="AM736" s="31"/>
      <c r="AN736" s="31"/>
      <c r="AO736" s="31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</row>
    <row r="737">
      <c r="A737" s="15"/>
      <c r="D737" s="15"/>
      <c r="AC737" s="17"/>
      <c r="AJ737" s="33"/>
      <c r="AK737" s="33"/>
      <c r="AL737" s="32"/>
      <c r="AM737" s="32"/>
      <c r="AN737" s="32"/>
      <c r="AO737" s="32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</row>
    <row r="738">
      <c r="A738" s="15"/>
      <c r="D738" s="15"/>
      <c r="AC738" s="17"/>
      <c r="AJ738" s="33"/>
      <c r="AK738" s="33"/>
      <c r="AL738" s="32"/>
      <c r="AM738" s="32"/>
      <c r="AN738" s="32"/>
      <c r="AO738" s="32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</row>
    <row r="739">
      <c r="A739" s="15"/>
      <c r="D739" s="15"/>
      <c r="AC739" s="17"/>
      <c r="AJ739" s="30"/>
      <c r="AK739" s="30"/>
      <c r="AL739" s="31"/>
      <c r="AM739" s="31"/>
      <c r="AN739" s="31"/>
      <c r="AO739" s="31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</row>
    <row r="740">
      <c r="A740" s="15"/>
      <c r="D740" s="15"/>
      <c r="AC740" s="17"/>
      <c r="AF740" s="15"/>
      <c r="AG740" s="15"/>
      <c r="AJ740" s="33"/>
      <c r="AK740" s="33"/>
      <c r="AL740" s="32"/>
      <c r="AM740" s="32"/>
      <c r="AN740" s="32"/>
      <c r="AO740" s="32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</row>
    <row r="741">
      <c r="A741" s="15"/>
      <c r="B741" s="15"/>
      <c r="D741" s="15"/>
      <c r="I741" s="15"/>
      <c r="J741" s="15"/>
      <c r="K741" s="15"/>
      <c r="AC741" s="17"/>
      <c r="AD741" s="15"/>
      <c r="AE741" s="15"/>
      <c r="AJ741" s="33"/>
      <c r="AK741" s="33"/>
      <c r="AL741" s="32"/>
      <c r="AM741" s="32"/>
      <c r="AN741" s="32"/>
      <c r="AO741" s="32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</row>
    <row r="742">
      <c r="A742" s="15"/>
      <c r="D742" s="15"/>
      <c r="AC742" s="17"/>
      <c r="AJ742" s="33"/>
      <c r="AK742" s="33"/>
      <c r="AL742" s="32"/>
      <c r="AM742" s="32"/>
      <c r="AN742" s="32"/>
      <c r="AO742" s="32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</row>
    <row r="743">
      <c r="A743" s="15"/>
      <c r="D743" s="15"/>
      <c r="AC743" s="17"/>
      <c r="AJ743" s="33"/>
      <c r="AK743" s="33"/>
      <c r="AL743" s="32"/>
      <c r="AM743" s="32"/>
      <c r="AN743" s="32"/>
      <c r="AO743" s="32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</row>
    <row r="744">
      <c r="A744" s="15"/>
      <c r="D744" s="15"/>
      <c r="AC744" s="17"/>
      <c r="AJ744" s="33"/>
      <c r="AK744" s="33"/>
      <c r="AL744" s="32"/>
      <c r="AM744" s="32"/>
      <c r="AN744" s="32"/>
      <c r="AO744" s="32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</row>
    <row r="745">
      <c r="A745" s="15"/>
      <c r="D745" s="15"/>
      <c r="AC745" s="17"/>
      <c r="AJ745" s="33"/>
      <c r="AK745" s="33"/>
      <c r="AL745" s="31"/>
      <c r="AM745" s="31"/>
      <c r="AN745" s="31"/>
      <c r="AO745" s="31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</row>
    <row r="746">
      <c r="A746" s="15"/>
      <c r="D746" s="15"/>
      <c r="AC746" s="17"/>
      <c r="AJ746" s="33"/>
      <c r="AK746" s="33"/>
      <c r="AL746" s="32"/>
      <c r="AM746" s="32"/>
      <c r="AN746" s="32"/>
      <c r="AO746" s="32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</row>
    <row r="747">
      <c r="A747" s="15"/>
      <c r="D747" s="15"/>
      <c r="AC747" s="17"/>
      <c r="AJ747" s="33"/>
      <c r="AK747" s="33"/>
      <c r="AL747" s="32"/>
      <c r="AM747" s="32"/>
      <c r="AN747" s="32"/>
      <c r="AO747" s="32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</row>
    <row r="748">
      <c r="A748" s="15"/>
      <c r="B748" s="15"/>
      <c r="D748" s="15"/>
      <c r="I748" s="15"/>
      <c r="J748" s="15"/>
      <c r="K748" s="15"/>
      <c r="AC748" s="17"/>
      <c r="AJ748" s="33"/>
      <c r="AK748" s="33"/>
      <c r="AL748" s="32"/>
      <c r="AM748" s="32"/>
      <c r="AN748" s="32"/>
      <c r="AO748" s="32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</row>
    <row r="749">
      <c r="A749" s="15"/>
      <c r="D749" s="15"/>
      <c r="AC749" s="17"/>
      <c r="AJ749" s="30"/>
      <c r="AK749" s="30"/>
      <c r="AL749" s="31"/>
      <c r="AM749" s="31"/>
      <c r="AN749" s="31"/>
      <c r="AO749" s="31"/>
    </row>
    <row r="750">
      <c r="A750" s="15"/>
      <c r="D750" s="15"/>
      <c r="AC750" s="17"/>
      <c r="AJ750" s="33"/>
      <c r="AK750" s="33"/>
      <c r="AL750" s="32"/>
      <c r="AM750" s="32"/>
      <c r="AN750" s="32"/>
      <c r="AO750" s="32"/>
    </row>
    <row r="751">
      <c r="A751" s="15"/>
      <c r="D751" s="15"/>
      <c r="AC751" s="17"/>
      <c r="AD751" s="15"/>
      <c r="AE751" s="15"/>
      <c r="AJ751" s="30"/>
      <c r="AK751" s="30"/>
      <c r="AL751" s="31"/>
      <c r="AM751" s="31"/>
      <c r="AN751" s="31"/>
      <c r="AO751" s="31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</row>
    <row r="752">
      <c r="A752" s="15"/>
      <c r="D752" s="15"/>
      <c r="AC752" s="17"/>
      <c r="AJ752" s="33"/>
      <c r="AK752" s="33"/>
      <c r="AL752" s="32"/>
      <c r="AM752" s="32"/>
      <c r="AN752" s="31"/>
      <c r="AO752" s="31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</row>
    <row r="753">
      <c r="A753" s="15"/>
      <c r="D753" s="15"/>
      <c r="AC753" s="17"/>
      <c r="AJ753" s="33"/>
      <c r="AK753" s="33"/>
      <c r="AL753" s="31"/>
      <c r="AM753" s="31"/>
      <c r="AN753" s="31"/>
      <c r="AO753" s="31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</row>
    <row r="754">
      <c r="A754" s="15"/>
      <c r="D754" s="15"/>
      <c r="AC754" s="17"/>
      <c r="AJ754" s="33"/>
      <c r="AK754" s="33"/>
      <c r="AL754" s="32"/>
      <c r="AM754" s="32"/>
      <c r="AN754" s="32"/>
      <c r="AO754" s="32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</row>
    <row r="755">
      <c r="A755" s="15"/>
      <c r="D755" s="15"/>
      <c r="AC755" s="17"/>
      <c r="AJ755" s="33"/>
      <c r="AK755" s="33"/>
      <c r="AL755" s="32"/>
      <c r="AM755" s="32"/>
      <c r="AN755" s="32"/>
      <c r="AO755" s="32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</row>
    <row r="756">
      <c r="A756" s="15"/>
      <c r="D756" s="15"/>
      <c r="AC756" s="17"/>
      <c r="AJ756" s="33"/>
      <c r="AK756" s="33"/>
      <c r="AL756" s="32"/>
      <c r="AM756" s="32"/>
      <c r="AN756" s="32"/>
      <c r="AO756" s="32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</row>
    <row r="757">
      <c r="A757" s="15"/>
      <c r="D757" s="15"/>
      <c r="AC757" s="17"/>
      <c r="AJ757" s="33"/>
      <c r="AK757" s="33"/>
      <c r="AL757" s="32"/>
      <c r="AM757" s="32"/>
      <c r="AN757" s="32"/>
      <c r="AO757" s="32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</row>
    <row r="758">
      <c r="A758" s="15"/>
      <c r="D758" s="15"/>
      <c r="AC758" s="17"/>
      <c r="AJ758" s="33"/>
      <c r="AK758" s="33"/>
      <c r="AL758" s="32"/>
      <c r="AM758" s="32"/>
      <c r="AN758" s="32"/>
      <c r="AO758" s="32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</row>
    <row r="759">
      <c r="A759" s="15"/>
      <c r="D759" s="15"/>
      <c r="AC759" s="17"/>
      <c r="AJ759" s="33"/>
      <c r="AK759" s="33"/>
      <c r="AL759" s="32"/>
      <c r="AM759" s="32"/>
      <c r="AN759" s="32"/>
      <c r="AO759" s="32"/>
    </row>
    <row r="760">
      <c r="A760" s="15"/>
      <c r="D760" s="15"/>
      <c r="AC760" s="17"/>
      <c r="AJ760" s="33"/>
      <c r="AK760" s="33"/>
      <c r="AL760" s="32"/>
      <c r="AM760" s="32"/>
      <c r="AN760" s="32"/>
      <c r="AO760" s="32"/>
    </row>
    <row r="761">
      <c r="A761" s="15"/>
      <c r="D761" s="15"/>
      <c r="AC761" s="17"/>
      <c r="AJ761" s="33"/>
      <c r="AK761" s="33"/>
      <c r="AL761" s="32"/>
      <c r="AM761" s="32"/>
      <c r="AN761" s="32"/>
      <c r="AO761" s="32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</row>
    <row r="762">
      <c r="A762" s="15"/>
      <c r="D762" s="15"/>
      <c r="AC762" s="17"/>
      <c r="AJ762" s="33"/>
      <c r="AK762" s="33"/>
      <c r="AL762" s="32"/>
      <c r="AM762" s="32"/>
      <c r="AN762" s="32"/>
      <c r="AO762" s="32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</row>
    <row r="763">
      <c r="A763" s="15"/>
      <c r="D763" s="15"/>
      <c r="L763" s="34"/>
      <c r="AC763" s="17"/>
      <c r="AJ763" s="33"/>
      <c r="AK763" s="33"/>
      <c r="AL763" s="32"/>
      <c r="AM763" s="32"/>
      <c r="AN763" s="32"/>
      <c r="AO763" s="32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</row>
    <row r="764">
      <c r="A764" s="15"/>
      <c r="D764" s="15"/>
      <c r="AC764" s="17"/>
      <c r="AJ764" s="33"/>
      <c r="AK764" s="33"/>
      <c r="AL764" s="32"/>
      <c r="AM764" s="32"/>
      <c r="AN764" s="32"/>
      <c r="AO764" s="32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</row>
    <row r="765">
      <c r="A765" s="15"/>
      <c r="D765" s="15"/>
      <c r="AC765" s="17"/>
      <c r="AJ765" s="33"/>
      <c r="AK765" s="33"/>
      <c r="AL765" s="32"/>
      <c r="AM765" s="32"/>
      <c r="AN765" s="32"/>
      <c r="AO765" s="32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</row>
    <row r="766">
      <c r="A766" s="15"/>
      <c r="D766" s="15"/>
      <c r="AC766" s="17"/>
      <c r="AJ766" s="33"/>
      <c r="AK766" s="33"/>
      <c r="AL766" s="32"/>
      <c r="AM766" s="32"/>
      <c r="AN766" s="32"/>
      <c r="AO766" s="32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</row>
    <row r="767">
      <c r="A767" s="15"/>
      <c r="D767" s="15"/>
      <c r="AC767" s="17"/>
      <c r="AJ767" s="33"/>
      <c r="AK767" s="33"/>
      <c r="AL767" s="32"/>
      <c r="AM767" s="32"/>
      <c r="AN767" s="32"/>
      <c r="AO767" s="32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</row>
    <row r="768">
      <c r="A768" s="15"/>
      <c r="B768" s="15"/>
      <c r="D768" s="15"/>
      <c r="AC768" s="17"/>
      <c r="AJ768" s="33"/>
      <c r="AK768" s="33"/>
      <c r="AL768" s="32"/>
      <c r="AM768" s="32"/>
      <c r="AN768" s="32"/>
      <c r="AO768" s="32"/>
    </row>
    <row r="769">
      <c r="A769" s="15"/>
      <c r="D769" s="15"/>
      <c r="AC769" s="17"/>
      <c r="AJ769" s="33"/>
      <c r="AK769" s="33"/>
      <c r="AL769" s="32"/>
      <c r="AM769" s="32"/>
      <c r="AN769" s="32"/>
      <c r="AO769" s="32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</row>
    <row r="770">
      <c r="A770" s="15"/>
      <c r="D770" s="15"/>
      <c r="AC770" s="17"/>
      <c r="AJ770" s="33"/>
      <c r="AK770" s="33"/>
      <c r="AL770" s="32"/>
      <c r="AM770" s="32"/>
      <c r="AN770" s="32"/>
      <c r="AO770" s="32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</row>
    <row r="771">
      <c r="AC771" s="18"/>
      <c r="AJ771" s="33"/>
      <c r="AK771" s="33"/>
      <c r="AL771" s="32"/>
      <c r="AM771" s="32"/>
      <c r="AN771" s="32"/>
      <c r="AO771" s="32"/>
    </row>
    <row r="772">
      <c r="AJ772" s="33"/>
      <c r="AK772" s="33"/>
      <c r="AL772" s="32"/>
      <c r="AM772" s="32"/>
      <c r="AN772" s="32"/>
      <c r="AO772" s="32"/>
    </row>
    <row r="773">
      <c r="AJ773" s="33"/>
      <c r="AK773" s="33"/>
      <c r="AL773" s="32"/>
      <c r="AM773" s="32"/>
      <c r="AN773" s="32"/>
      <c r="AO773" s="32"/>
    </row>
    <row r="774">
      <c r="AJ774" s="33"/>
      <c r="AK774" s="33"/>
      <c r="AL774" s="32"/>
      <c r="AM774" s="32"/>
      <c r="AN774" s="32"/>
      <c r="AO774" s="32"/>
    </row>
    <row r="775">
      <c r="AJ775" s="33"/>
      <c r="AK775" s="33"/>
      <c r="AL775" s="32"/>
      <c r="AM775" s="32"/>
      <c r="AN775" s="32"/>
      <c r="AO775" s="32"/>
    </row>
    <row r="776">
      <c r="AJ776" s="33"/>
      <c r="AK776" s="33"/>
      <c r="AL776" s="32"/>
      <c r="AM776" s="32"/>
      <c r="AN776" s="32"/>
      <c r="AO776" s="32"/>
    </row>
    <row r="777">
      <c r="AJ777" s="33"/>
      <c r="AK777" s="33"/>
      <c r="AL777" s="32"/>
      <c r="AM777" s="32"/>
      <c r="AN777" s="32"/>
      <c r="AO777" s="32"/>
    </row>
    <row r="778">
      <c r="AJ778" s="33"/>
      <c r="AK778" s="33"/>
      <c r="AL778" s="32"/>
      <c r="AM778" s="32"/>
      <c r="AN778" s="32"/>
      <c r="AO778" s="32"/>
    </row>
    <row r="779">
      <c r="AJ779" s="33"/>
      <c r="AK779" s="33"/>
      <c r="AL779" s="32"/>
      <c r="AM779" s="32"/>
      <c r="AN779" s="32"/>
      <c r="AO779" s="32"/>
    </row>
    <row r="780">
      <c r="AJ780" s="33"/>
      <c r="AK780" s="33"/>
      <c r="AL780" s="32"/>
      <c r="AM780" s="32"/>
      <c r="AN780" s="32"/>
      <c r="AO780" s="32"/>
    </row>
    <row r="781">
      <c r="AJ781" s="33"/>
      <c r="AK781" s="33"/>
      <c r="AL781" s="32"/>
      <c r="AM781" s="32"/>
      <c r="AN781" s="32"/>
      <c r="AO781" s="32"/>
    </row>
    <row r="782">
      <c r="AJ782" s="33"/>
      <c r="AK782" s="33"/>
      <c r="AL782" s="32"/>
      <c r="AM782" s="32"/>
      <c r="AN782" s="32"/>
      <c r="AO782" s="32"/>
    </row>
    <row r="783">
      <c r="AJ783" s="33"/>
      <c r="AK783" s="33"/>
      <c r="AL783" s="32"/>
      <c r="AM783" s="32"/>
      <c r="AN783" s="32"/>
      <c r="AO783" s="32"/>
    </row>
    <row r="784">
      <c r="AJ784" s="33"/>
      <c r="AK784" s="33"/>
      <c r="AL784" s="32"/>
      <c r="AM784" s="32"/>
      <c r="AN784" s="32"/>
      <c r="AO784" s="32"/>
    </row>
    <row r="785">
      <c r="AJ785" s="33"/>
      <c r="AK785" s="33"/>
      <c r="AL785" s="32"/>
      <c r="AM785" s="32"/>
      <c r="AN785" s="32"/>
      <c r="AO785" s="32"/>
    </row>
    <row r="786">
      <c r="AJ786" s="33"/>
      <c r="AK786" s="33"/>
      <c r="AL786" s="32"/>
      <c r="AM786" s="32"/>
      <c r="AN786" s="32"/>
      <c r="AO786" s="32"/>
    </row>
    <row r="787">
      <c r="AJ787" s="33"/>
      <c r="AK787" s="33"/>
      <c r="AL787" s="32"/>
      <c r="AM787" s="32"/>
      <c r="AN787" s="32"/>
      <c r="AO787" s="32"/>
    </row>
    <row r="788">
      <c r="AJ788" s="33"/>
      <c r="AK788" s="33"/>
      <c r="AL788" s="32"/>
      <c r="AM788" s="32"/>
      <c r="AN788" s="32"/>
      <c r="AO788" s="32"/>
    </row>
    <row r="789">
      <c r="AJ789" s="33"/>
      <c r="AK789" s="33"/>
      <c r="AL789" s="32"/>
      <c r="AM789" s="32"/>
      <c r="AN789" s="32"/>
      <c r="AO789" s="32"/>
    </row>
    <row r="790">
      <c r="AJ790" s="33"/>
      <c r="AK790" s="33"/>
      <c r="AL790" s="32"/>
      <c r="AM790" s="32"/>
      <c r="AN790" s="32"/>
      <c r="AO790" s="32"/>
    </row>
    <row r="791">
      <c r="AJ791" s="33"/>
      <c r="AK791" s="33"/>
      <c r="AL791" s="32"/>
      <c r="AM791" s="32"/>
      <c r="AN791" s="32"/>
      <c r="AO791" s="32"/>
    </row>
    <row r="792">
      <c r="AJ792" s="33"/>
      <c r="AK792" s="33"/>
      <c r="AL792" s="32"/>
      <c r="AM792" s="32"/>
      <c r="AN792" s="32"/>
      <c r="AO792" s="32"/>
    </row>
    <row r="793">
      <c r="AJ793" s="33"/>
      <c r="AK793" s="33"/>
      <c r="AL793" s="32"/>
      <c r="AM793" s="32"/>
      <c r="AN793" s="32"/>
      <c r="AO793" s="32"/>
    </row>
    <row r="794">
      <c r="AJ794" s="33"/>
      <c r="AK794" s="33"/>
      <c r="AL794" s="32"/>
      <c r="AM794" s="32"/>
      <c r="AN794" s="32"/>
      <c r="AO794" s="32"/>
    </row>
    <row r="795">
      <c r="AJ795" s="33"/>
      <c r="AK795" s="33"/>
      <c r="AL795" s="32"/>
      <c r="AM795" s="32"/>
      <c r="AN795" s="32"/>
      <c r="AO795" s="32"/>
    </row>
    <row r="796">
      <c r="AJ796" s="33"/>
      <c r="AK796" s="33"/>
      <c r="AL796" s="32"/>
      <c r="AM796" s="32"/>
      <c r="AN796" s="32"/>
      <c r="AO796" s="32"/>
    </row>
    <row r="797">
      <c r="AJ797" s="33"/>
      <c r="AK797" s="33"/>
      <c r="AL797" s="32"/>
      <c r="AM797" s="32"/>
      <c r="AN797" s="32"/>
      <c r="AO797" s="32"/>
    </row>
    <row r="798">
      <c r="AJ798" s="33"/>
      <c r="AK798" s="33"/>
      <c r="AL798" s="32"/>
      <c r="AM798" s="32"/>
      <c r="AN798" s="32"/>
      <c r="AO798" s="32"/>
    </row>
    <row r="799">
      <c r="AJ799" s="33"/>
      <c r="AK799" s="33"/>
      <c r="AL799" s="32"/>
      <c r="AM799" s="32"/>
      <c r="AN799" s="32"/>
      <c r="AO799" s="32"/>
    </row>
    <row r="800">
      <c r="AJ800" s="33"/>
      <c r="AK800" s="33"/>
      <c r="AL800" s="32"/>
      <c r="AM800" s="32"/>
      <c r="AN800" s="32"/>
      <c r="AO800" s="32"/>
    </row>
    <row r="801">
      <c r="AJ801" s="33"/>
      <c r="AK801" s="33"/>
      <c r="AL801" s="32"/>
      <c r="AM801" s="32"/>
      <c r="AN801" s="32"/>
      <c r="AO801" s="32"/>
    </row>
    <row r="802">
      <c r="AJ802" s="33"/>
      <c r="AK802" s="33"/>
      <c r="AL802" s="32"/>
      <c r="AM802" s="32"/>
      <c r="AN802" s="32"/>
      <c r="AO802" s="32"/>
    </row>
    <row r="803">
      <c r="AJ803" s="33"/>
      <c r="AK803" s="33"/>
      <c r="AL803" s="32"/>
      <c r="AM803" s="32"/>
      <c r="AN803" s="32"/>
      <c r="AO803" s="32"/>
    </row>
    <row r="804">
      <c r="AJ804" s="33"/>
      <c r="AK804" s="33"/>
      <c r="AL804" s="32"/>
      <c r="AM804" s="32"/>
      <c r="AN804" s="32"/>
      <c r="AO804" s="32"/>
    </row>
    <row r="805">
      <c r="AJ805" s="33"/>
      <c r="AK805" s="33"/>
      <c r="AL805" s="32"/>
      <c r="AM805" s="32"/>
      <c r="AN805" s="32"/>
      <c r="AO805" s="32"/>
    </row>
    <row r="806">
      <c r="AJ806" s="33"/>
      <c r="AK806" s="33"/>
      <c r="AL806" s="32"/>
      <c r="AM806" s="32"/>
      <c r="AN806" s="32"/>
      <c r="AO806" s="32"/>
    </row>
    <row r="807">
      <c r="AJ807" s="33"/>
      <c r="AK807" s="33"/>
      <c r="AL807" s="32"/>
      <c r="AM807" s="32"/>
      <c r="AN807" s="32"/>
      <c r="AO807" s="32"/>
    </row>
    <row r="808">
      <c r="AJ808" s="33"/>
      <c r="AK808" s="33"/>
      <c r="AL808" s="32"/>
      <c r="AM808" s="32"/>
      <c r="AN808" s="32"/>
      <c r="AO808" s="32"/>
    </row>
    <row r="809">
      <c r="AJ809" s="33"/>
      <c r="AK809" s="33"/>
      <c r="AL809" s="32"/>
      <c r="AM809" s="32"/>
      <c r="AN809" s="32"/>
      <c r="AO809" s="32"/>
    </row>
    <row r="810">
      <c r="AJ810" s="33"/>
      <c r="AK810" s="33"/>
      <c r="AL810" s="32"/>
      <c r="AM810" s="32"/>
      <c r="AN810" s="32"/>
      <c r="AO810" s="32"/>
    </row>
    <row r="811">
      <c r="AJ811" s="33"/>
      <c r="AK811" s="33"/>
      <c r="AL811" s="32"/>
      <c r="AM811" s="32"/>
      <c r="AN811" s="32"/>
      <c r="AO811" s="32"/>
    </row>
    <row r="812">
      <c r="AJ812" s="33"/>
      <c r="AK812" s="33"/>
      <c r="AL812" s="32"/>
      <c r="AM812" s="32"/>
      <c r="AN812" s="32"/>
      <c r="AO812" s="32"/>
    </row>
    <row r="813">
      <c r="AJ813" s="33"/>
      <c r="AK813" s="33"/>
      <c r="AL813" s="32"/>
      <c r="AM813" s="32"/>
      <c r="AN813" s="32"/>
      <c r="AO813" s="32"/>
    </row>
    <row r="814">
      <c r="AJ814" s="33"/>
      <c r="AK814" s="33"/>
      <c r="AL814" s="32"/>
      <c r="AM814" s="32"/>
      <c r="AN814" s="32"/>
      <c r="AO814" s="32"/>
    </row>
    <row r="815">
      <c r="AJ815" s="33"/>
      <c r="AK815" s="33"/>
      <c r="AL815" s="32"/>
      <c r="AM815" s="32"/>
      <c r="AN815" s="32"/>
      <c r="AO815" s="32"/>
    </row>
    <row r="816">
      <c r="AJ816" s="33"/>
      <c r="AK816" s="33"/>
      <c r="AL816" s="32"/>
      <c r="AM816" s="32"/>
      <c r="AN816" s="32"/>
      <c r="AO816" s="32"/>
    </row>
    <row r="817">
      <c r="AJ817" s="33"/>
      <c r="AK817" s="33"/>
      <c r="AL817" s="32"/>
      <c r="AM817" s="32"/>
      <c r="AN817" s="32"/>
      <c r="AO817" s="32"/>
    </row>
    <row r="818">
      <c r="AJ818" s="33"/>
      <c r="AK818" s="33"/>
      <c r="AL818" s="32"/>
      <c r="AM818" s="32"/>
      <c r="AN818" s="32"/>
      <c r="AO818" s="32"/>
    </row>
    <row r="819">
      <c r="AJ819" s="33"/>
      <c r="AK819" s="33"/>
      <c r="AL819" s="32"/>
      <c r="AM819" s="32"/>
      <c r="AN819" s="32"/>
      <c r="AO819" s="32"/>
    </row>
    <row r="820">
      <c r="AJ820" s="33"/>
      <c r="AK820" s="33"/>
      <c r="AL820" s="32"/>
      <c r="AM820" s="32"/>
      <c r="AN820" s="32"/>
      <c r="AO820" s="32"/>
    </row>
    <row r="821">
      <c r="AJ821" s="33"/>
      <c r="AK821" s="33"/>
      <c r="AL821" s="32"/>
      <c r="AM821" s="32"/>
      <c r="AN821" s="32"/>
      <c r="AO821" s="32"/>
    </row>
    <row r="822">
      <c r="AJ822" s="33"/>
      <c r="AK822" s="33"/>
      <c r="AL822" s="32"/>
      <c r="AM822" s="32"/>
      <c r="AN822" s="32"/>
      <c r="AO822" s="32"/>
    </row>
    <row r="823">
      <c r="AJ823" s="33"/>
      <c r="AK823" s="33"/>
      <c r="AL823" s="32"/>
      <c r="AM823" s="32"/>
      <c r="AN823" s="32"/>
      <c r="AO823" s="32"/>
    </row>
    <row r="824">
      <c r="AJ824" s="33"/>
      <c r="AK824" s="33"/>
      <c r="AL824" s="32"/>
      <c r="AM824" s="32"/>
      <c r="AN824" s="32"/>
      <c r="AO824" s="32"/>
    </row>
    <row r="825">
      <c r="AJ825" s="33"/>
      <c r="AK825" s="33"/>
      <c r="AL825" s="32"/>
      <c r="AM825" s="32"/>
      <c r="AN825" s="32"/>
      <c r="AO825" s="32"/>
    </row>
    <row r="826">
      <c r="AJ826" s="33"/>
      <c r="AK826" s="33"/>
      <c r="AL826" s="32"/>
      <c r="AM826" s="32"/>
      <c r="AN826" s="32"/>
      <c r="AO826" s="32"/>
    </row>
    <row r="827">
      <c r="AJ827" s="33"/>
      <c r="AK827" s="33"/>
      <c r="AL827" s="32"/>
      <c r="AM827" s="32"/>
      <c r="AN827" s="32"/>
      <c r="AO827" s="32"/>
    </row>
    <row r="828">
      <c r="AJ828" s="33"/>
      <c r="AK828" s="33"/>
      <c r="AL828" s="32"/>
      <c r="AM828" s="32"/>
      <c r="AN828" s="32"/>
      <c r="AO828" s="32"/>
    </row>
    <row r="829">
      <c r="AJ829" s="33"/>
      <c r="AK829" s="33"/>
      <c r="AL829" s="32"/>
      <c r="AM829" s="32"/>
      <c r="AN829" s="32"/>
      <c r="AO829" s="32"/>
    </row>
    <row r="830">
      <c r="AJ830" s="33"/>
      <c r="AK830" s="33"/>
      <c r="AL830" s="32"/>
      <c r="AM830" s="32"/>
      <c r="AN830" s="32"/>
      <c r="AO830" s="32"/>
    </row>
    <row r="831">
      <c r="AJ831" s="33"/>
      <c r="AK831" s="33"/>
      <c r="AL831" s="32"/>
      <c r="AM831" s="32"/>
      <c r="AN831" s="32"/>
      <c r="AO831" s="32"/>
    </row>
    <row r="832">
      <c r="AJ832" s="33"/>
      <c r="AK832" s="33"/>
      <c r="AL832" s="32"/>
      <c r="AM832" s="32"/>
      <c r="AN832" s="32"/>
      <c r="AO832" s="32"/>
    </row>
    <row r="833">
      <c r="AJ833" s="33"/>
      <c r="AK833" s="33"/>
      <c r="AL833" s="32"/>
      <c r="AM833" s="32"/>
      <c r="AN833" s="32"/>
      <c r="AO833" s="32"/>
    </row>
    <row r="834">
      <c r="AJ834" s="33"/>
      <c r="AK834" s="33"/>
      <c r="AL834" s="32"/>
      <c r="AM834" s="32"/>
      <c r="AN834" s="32"/>
      <c r="AO834" s="32"/>
    </row>
    <row r="835">
      <c r="AJ835" s="33"/>
      <c r="AK835" s="33"/>
      <c r="AL835" s="32"/>
      <c r="AM835" s="32"/>
      <c r="AN835" s="32"/>
      <c r="AO835" s="32"/>
    </row>
    <row r="836">
      <c r="AJ836" s="33"/>
      <c r="AK836" s="33"/>
      <c r="AL836" s="32"/>
      <c r="AM836" s="32"/>
      <c r="AN836" s="32"/>
      <c r="AO836" s="32"/>
    </row>
    <row r="837">
      <c r="AJ837" s="33"/>
      <c r="AK837" s="33"/>
      <c r="AL837" s="32"/>
      <c r="AM837" s="32"/>
      <c r="AN837" s="32"/>
      <c r="AO837" s="32"/>
    </row>
    <row r="838">
      <c r="AJ838" s="33"/>
      <c r="AK838" s="33"/>
      <c r="AL838" s="32"/>
      <c r="AM838" s="32"/>
      <c r="AN838" s="32"/>
      <c r="AO838" s="32"/>
    </row>
    <row r="839">
      <c r="AJ839" s="33"/>
      <c r="AK839" s="33"/>
      <c r="AL839" s="32"/>
      <c r="AM839" s="32"/>
      <c r="AN839" s="32"/>
      <c r="AO839" s="32"/>
    </row>
    <row r="840">
      <c r="AJ840" s="33"/>
      <c r="AK840" s="33"/>
      <c r="AL840" s="32"/>
      <c r="AM840" s="32"/>
      <c r="AN840" s="32"/>
      <c r="AO840" s="32"/>
    </row>
    <row r="841">
      <c r="AJ841" s="33"/>
      <c r="AK841" s="33"/>
      <c r="AL841" s="32"/>
      <c r="AM841" s="32"/>
      <c r="AN841" s="32"/>
      <c r="AO841" s="32"/>
    </row>
    <row r="842">
      <c r="AJ842" s="33"/>
      <c r="AK842" s="33"/>
      <c r="AL842" s="32"/>
      <c r="AM842" s="32"/>
      <c r="AN842" s="32"/>
      <c r="AO842" s="32"/>
    </row>
    <row r="843">
      <c r="AJ843" s="33"/>
      <c r="AK843" s="33"/>
      <c r="AL843" s="32"/>
      <c r="AM843" s="32"/>
      <c r="AN843" s="32"/>
      <c r="AO843" s="32"/>
    </row>
    <row r="844">
      <c r="AJ844" s="33"/>
      <c r="AK844" s="33"/>
      <c r="AL844" s="32"/>
      <c r="AM844" s="32"/>
      <c r="AN844" s="32"/>
      <c r="AO844" s="32"/>
    </row>
    <row r="845">
      <c r="AJ845" s="33"/>
      <c r="AK845" s="33"/>
      <c r="AL845" s="32"/>
      <c r="AM845" s="32"/>
      <c r="AN845" s="32"/>
      <c r="AO845" s="32"/>
    </row>
    <row r="846">
      <c r="AJ846" s="33"/>
      <c r="AK846" s="33"/>
      <c r="AL846" s="32"/>
      <c r="AM846" s="32"/>
      <c r="AN846" s="32"/>
      <c r="AO846" s="32"/>
    </row>
    <row r="847">
      <c r="AJ847" s="33"/>
      <c r="AK847" s="33"/>
      <c r="AL847" s="32"/>
      <c r="AM847" s="32"/>
      <c r="AN847" s="32"/>
      <c r="AO847" s="32"/>
    </row>
    <row r="848">
      <c r="AJ848" s="33"/>
      <c r="AK848" s="33"/>
      <c r="AL848" s="32"/>
      <c r="AM848" s="32"/>
      <c r="AN848" s="32"/>
      <c r="AO848" s="32"/>
    </row>
    <row r="849">
      <c r="AJ849" s="33"/>
      <c r="AK849" s="33"/>
      <c r="AL849" s="32"/>
      <c r="AM849" s="32"/>
      <c r="AN849" s="32"/>
      <c r="AO849" s="32"/>
    </row>
    <row r="850">
      <c r="AJ850" s="33"/>
      <c r="AK850" s="33"/>
      <c r="AL850" s="32"/>
      <c r="AM850" s="32"/>
      <c r="AN850" s="32"/>
      <c r="AO850" s="32"/>
    </row>
    <row r="851">
      <c r="AJ851" s="33"/>
      <c r="AK851" s="33"/>
      <c r="AL851" s="32"/>
      <c r="AM851" s="32"/>
      <c r="AN851" s="32"/>
      <c r="AO851" s="32"/>
    </row>
    <row r="852">
      <c r="AJ852" s="33"/>
      <c r="AK852" s="33"/>
      <c r="AL852" s="32"/>
      <c r="AM852" s="32"/>
      <c r="AN852" s="32"/>
      <c r="AO852" s="32"/>
    </row>
    <row r="853">
      <c r="AJ853" s="33"/>
      <c r="AK853" s="33"/>
      <c r="AL853" s="32"/>
      <c r="AM853" s="32"/>
      <c r="AN853" s="32"/>
      <c r="AO853" s="32"/>
    </row>
    <row r="854">
      <c r="AJ854" s="33"/>
      <c r="AK854" s="33"/>
      <c r="AL854" s="32"/>
      <c r="AM854" s="32"/>
      <c r="AN854" s="32"/>
      <c r="AO854" s="32"/>
    </row>
    <row r="855">
      <c r="AJ855" s="33"/>
      <c r="AK855" s="33"/>
      <c r="AL855" s="32"/>
      <c r="AM855" s="32"/>
      <c r="AN855" s="32"/>
      <c r="AO855" s="32"/>
    </row>
    <row r="856">
      <c r="AJ856" s="33"/>
      <c r="AK856" s="33"/>
      <c r="AL856" s="32"/>
      <c r="AM856" s="32"/>
      <c r="AN856" s="32"/>
      <c r="AO856" s="32"/>
    </row>
    <row r="857">
      <c r="AJ857" s="33"/>
      <c r="AK857" s="33"/>
      <c r="AL857" s="32"/>
      <c r="AM857" s="32"/>
      <c r="AN857" s="32"/>
      <c r="AO857" s="32"/>
    </row>
    <row r="858">
      <c r="AJ858" s="33"/>
      <c r="AK858" s="33"/>
      <c r="AL858" s="32"/>
      <c r="AM858" s="32"/>
      <c r="AN858" s="32"/>
      <c r="AO858" s="32"/>
    </row>
    <row r="859">
      <c r="AJ859" s="33"/>
      <c r="AK859" s="33"/>
      <c r="AL859" s="32"/>
      <c r="AM859" s="32"/>
      <c r="AN859" s="32"/>
      <c r="AO859" s="32"/>
    </row>
    <row r="860">
      <c r="AJ860" s="33"/>
      <c r="AK860" s="33"/>
      <c r="AL860" s="32"/>
      <c r="AM860" s="32"/>
      <c r="AN860" s="32"/>
      <c r="AO860" s="32"/>
    </row>
    <row r="861">
      <c r="AJ861" s="33"/>
      <c r="AK861" s="33"/>
      <c r="AL861" s="32"/>
      <c r="AM861" s="32"/>
      <c r="AN861" s="32"/>
      <c r="AO861" s="32"/>
    </row>
    <row r="862">
      <c r="AJ862" s="33"/>
      <c r="AK862" s="33"/>
      <c r="AL862" s="32"/>
      <c r="AM862" s="32"/>
      <c r="AN862" s="32"/>
      <c r="AO862" s="32"/>
    </row>
    <row r="863">
      <c r="AJ863" s="33"/>
      <c r="AK863" s="33"/>
      <c r="AL863" s="32"/>
      <c r="AM863" s="32"/>
      <c r="AN863" s="32"/>
      <c r="AO863" s="32"/>
    </row>
    <row r="864">
      <c r="AJ864" s="33"/>
      <c r="AK864" s="33"/>
      <c r="AL864" s="32"/>
      <c r="AM864" s="32"/>
      <c r="AN864" s="32"/>
      <c r="AO864" s="32"/>
    </row>
    <row r="865">
      <c r="AJ865" s="33"/>
      <c r="AK865" s="33"/>
      <c r="AL865" s="32"/>
      <c r="AM865" s="32"/>
      <c r="AN865" s="32"/>
      <c r="AO865" s="32"/>
    </row>
    <row r="866">
      <c r="AJ866" s="33"/>
      <c r="AK866" s="33"/>
      <c r="AL866" s="32"/>
      <c r="AM866" s="32"/>
      <c r="AN866" s="32"/>
      <c r="AO866" s="32"/>
    </row>
    <row r="867">
      <c r="AJ867" s="33"/>
      <c r="AK867" s="33"/>
      <c r="AL867" s="32"/>
      <c r="AM867" s="32"/>
      <c r="AN867" s="32"/>
      <c r="AO867" s="32"/>
    </row>
    <row r="868">
      <c r="AJ868" s="33"/>
      <c r="AK868" s="33"/>
      <c r="AL868" s="32"/>
      <c r="AM868" s="32"/>
      <c r="AN868" s="32"/>
      <c r="AO868" s="32"/>
    </row>
    <row r="869">
      <c r="AJ869" s="33"/>
      <c r="AK869" s="33"/>
      <c r="AL869" s="32"/>
      <c r="AM869" s="32"/>
      <c r="AN869" s="32"/>
      <c r="AO869" s="32"/>
    </row>
    <row r="870">
      <c r="AJ870" s="33"/>
      <c r="AK870" s="33"/>
      <c r="AL870" s="32"/>
      <c r="AM870" s="32"/>
      <c r="AN870" s="32"/>
      <c r="AO870" s="32"/>
    </row>
    <row r="871">
      <c r="AJ871" s="33"/>
      <c r="AK871" s="33"/>
      <c r="AL871" s="32"/>
      <c r="AM871" s="32"/>
      <c r="AN871" s="32"/>
      <c r="AO871" s="32"/>
    </row>
    <row r="872">
      <c r="AJ872" s="33"/>
      <c r="AK872" s="33"/>
      <c r="AL872" s="32"/>
      <c r="AM872" s="32"/>
      <c r="AN872" s="32"/>
      <c r="AO872" s="32"/>
    </row>
    <row r="873">
      <c r="AJ873" s="33"/>
      <c r="AK873" s="33"/>
      <c r="AL873" s="32"/>
      <c r="AM873" s="32"/>
      <c r="AN873" s="32"/>
      <c r="AO873" s="32"/>
    </row>
    <row r="874">
      <c r="AJ874" s="33"/>
      <c r="AK874" s="33"/>
      <c r="AL874" s="32"/>
      <c r="AM874" s="32"/>
      <c r="AN874" s="32"/>
      <c r="AO874" s="32"/>
    </row>
    <row r="875">
      <c r="AJ875" s="33"/>
      <c r="AK875" s="33"/>
      <c r="AL875" s="32"/>
      <c r="AM875" s="32"/>
      <c r="AN875" s="32"/>
      <c r="AO875" s="32"/>
    </row>
    <row r="876">
      <c r="AJ876" s="33"/>
      <c r="AK876" s="33"/>
      <c r="AL876" s="32"/>
      <c r="AM876" s="32"/>
      <c r="AN876" s="32"/>
      <c r="AO876" s="32"/>
    </row>
    <row r="877">
      <c r="AJ877" s="33"/>
      <c r="AK877" s="33"/>
      <c r="AL877" s="32"/>
      <c r="AM877" s="32"/>
      <c r="AN877" s="32"/>
      <c r="AO877" s="32"/>
    </row>
    <row r="878">
      <c r="AJ878" s="33"/>
      <c r="AK878" s="33"/>
      <c r="AL878" s="32"/>
      <c r="AM878" s="32"/>
      <c r="AN878" s="32"/>
      <c r="AO878" s="32"/>
    </row>
    <row r="879">
      <c r="AJ879" s="33"/>
      <c r="AK879" s="33"/>
      <c r="AL879" s="32"/>
      <c r="AM879" s="32"/>
      <c r="AN879" s="32"/>
      <c r="AO879" s="32"/>
    </row>
    <row r="880">
      <c r="AJ880" s="33"/>
      <c r="AK880" s="33"/>
      <c r="AL880" s="32"/>
      <c r="AM880" s="32"/>
      <c r="AN880" s="32"/>
      <c r="AO880" s="32"/>
    </row>
    <row r="881">
      <c r="AJ881" s="33"/>
      <c r="AK881" s="33"/>
      <c r="AL881" s="32"/>
      <c r="AM881" s="32"/>
      <c r="AN881" s="32"/>
      <c r="AO881" s="32"/>
    </row>
    <row r="882">
      <c r="AJ882" s="33"/>
      <c r="AK882" s="33"/>
      <c r="AL882" s="32"/>
      <c r="AM882" s="32"/>
      <c r="AN882" s="32"/>
      <c r="AO882" s="32"/>
    </row>
    <row r="883">
      <c r="AJ883" s="33"/>
      <c r="AK883" s="33"/>
      <c r="AL883" s="32"/>
      <c r="AM883" s="32"/>
      <c r="AN883" s="32"/>
      <c r="AO883" s="32"/>
    </row>
    <row r="884">
      <c r="AJ884" s="33"/>
      <c r="AK884" s="33"/>
      <c r="AL884" s="32"/>
      <c r="AM884" s="32"/>
      <c r="AN884" s="32"/>
      <c r="AO884" s="32"/>
    </row>
    <row r="885">
      <c r="AJ885" s="33"/>
      <c r="AK885" s="33"/>
      <c r="AL885" s="32"/>
      <c r="AM885" s="32"/>
      <c r="AN885" s="32"/>
      <c r="AO885" s="32"/>
    </row>
    <row r="886">
      <c r="AJ886" s="33"/>
      <c r="AK886" s="33"/>
      <c r="AL886" s="32"/>
      <c r="AM886" s="32"/>
      <c r="AN886" s="32"/>
      <c r="AO886" s="32"/>
    </row>
    <row r="887">
      <c r="AJ887" s="33"/>
      <c r="AK887" s="33"/>
      <c r="AL887" s="32"/>
      <c r="AM887" s="32"/>
      <c r="AN887" s="32"/>
      <c r="AO887" s="32"/>
    </row>
    <row r="888">
      <c r="AJ888" s="33"/>
      <c r="AK888" s="33"/>
      <c r="AL888" s="32"/>
      <c r="AM888" s="32"/>
      <c r="AN888" s="32"/>
      <c r="AO888" s="32"/>
    </row>
    <row r="889">
      <c r="AJ889" s="33"/>
      <c r="AK889" s="33"/>
      <c r="AL889" s="32"/>
      <c r="AM889" s="32"/>
      <c r="AN889" s="32"/>
      <c r="AO889" s="32"/>
    </row>
    <row r="890">
      <c r="AJ890" s="33"/>
      <c r="AK890" s="33"/>
      <c r="AL890" s="32"/>
      <c r="AM890" s="32"/>
      <c r="AN890" s="32"/>
      <c r="AO890" s="32"/>
    </row>
    <row r="891">
      <c r="AJ891" s="33"/>
      <c r="AK891" s="33"/>
      <c r="AL891" s="32"/>
      <c r="AM891" s="32"/>
      <c r="AN891" s="32"/>
      <c r="AO891" s="32"/>
    </row>
    <row r="892">
      <c r="AJ892" s="33"/>
      <c r="AK892" s="33"/>
      <c r="AL892" s="32"/>
      <c r="AM892" s="32"/>
      <c r="AN892" s="32"/>
      <c r="AO892" s="32"/>
    </row>
    <row r="893">
      <c r="AJ893" s="33"/>
      <c r="AK893" s="33"/>
      <c r="AL893" s="32"/>
      <c r="AM893" s="32"/>
      <c r="AN893" s="32"/>
      <c r="AO893" s="32"/>
    </row>
    <row r="894">
      <c r="AJ894" s="33"/>
      <c r="AK894" s="33"/>
      <c r="AL894" s="32"/>
      <c r="AM894" s="32"/>
      <c r="AN894" s="32"/>
      <c r="AO894" s="32"/>
    </row>
    <row r="895">
      <c r="AJ895" s="33"/>
      <c r="AK895" s="33"/>
      <c r="AL895" s="32"/>
      <c r="AM895" s="32"/>
      <c r="AN895" s="32"/>
      <c r="AO895" s="32"/>
    </row>
    <row r="896">
      <c r="AJ896" s="33"/>
      <c r="AK896" s="33"/>
      <c r="AL896" s="32"/>
      <c r="AM896" s="32"/>
      <c r="AN896" s="32"/>
      <c r="AO896" s="32"/>
    </row>
    <row r="897">
      <c r="AJ897" s="33"/>
      <c r="AK897" s="33"/>
      <c r="AL897" s="32"/>
      <c r="AM897" s="32"/>
      <c r="AN897" s="32"/>
      <c r="AO897" s="32"/>
    </row>
    <row r="898">
      <c r="AJ898" s="33"/>
      <c r="AK898" s="33"/>
      <c r="AL898" s="32"/>
      <c r="AM898" s="32"/>
      <c r="AN898" s="32"/>
      <c r="AO898" s="32"/>
    </row>
    <row r="899">
      <c r="AJ899" s="33"/>
      <c r="AK899" s="33"/>
      <c r="AL899" s="32"/>
      <c r="AM899" s="32"/>
      <c r="AN899" s="32"/>
      <c r="AO899" s="32"/>
    </row>
    <row r="900">
      <c r="AJ900" s="33"/>
      <c r="AK900" s="33"/>
      <c r="AL900" s="32"/>
      <c r="AM900" s="32"/>
      <c r="AN900" s="32"/>
      <c r="AO900" s="32"/>
    </row>
    <row r="901">
      <c r="AJ901" s="33"/>
      <c r="AK901" s="33"/>
      <c r="AL901" s="32"/>
      <c r="AM901" s="32"/>
      <c r="AN901" s="32"/>
      <c r="AO901" s="32"/>
    </row>
    <row r="902">
      <c r="AJ902" s="33"/>
      <c r="AK902" s="33"/>
      <c r="AL902" s="32"/>
      <c r="AM902" s="32"/>
      <c r="AN902" s="32"/>
      <c r="AO902" s="32"/>
    </row>
    <row r="903">
      <c r="AJ903" s="33"/>
      <c r="AK903" s="33"/>
      <c r="AL903" s="32"/>
      <c r="AM903" s="32"/>
      <c r="AN903" s="32"/>
      <c r="AO903" s="32"/>
    </row>
    <row r="904">
      <c r="AJ904" s="33"/>
      <c r="AK904" s="33"/>
      <c r="AL904" s="32"/>
      <c r="AM904" s="32"/>
      <c r="AN904" s="32"/>
      <c r="AO904" s="32"/>
    </row>
    <row r="905">
      <c r="AJ905" s="33"/>
      <c r="AK905" s="33"/>
      <c r="AL905" s="32"/>
      <c r="AM905" s="32"/>
      <c r="AN905" s="32"/>
      <c r="AO905" s="32"/>
    </row>
    <row r="906">
      <c r="AJ906" s="33"/>
      <c r="AK906" s="33"/>
      <c r="AL906" s="32"/>
      <c r="AM906" s="32"/>
      <c r="AN906" s="32"/>
      <c r="AO906" s="32"/>
    </row>
    <row r="907">
      <c r="AJ907" s="33"/>
      <c r="AK907" s="33"/>
      <c r="AL907" s="32"/>
      <c r="AM907" s="32"/>
      <c r="AN907" s="32"/>
      <c r="AO907" s="32"/>
    </row>
    <row r="908">
      <c r="AJ908" s="33"/>
      <c r="AK908" s="33"/>
      <c r="AL908" s="32"/>
      <c r="AM908" s="32"/>
      <c r="AN908" s="32"/>
      <c r="AO908" s="32"/>
    </row>
    <row r="909">
      <c r="AJ909" s="33"/>
      <c r="AK909" s="33"/>
      <c r="AL909" s="32"/>
      <c r="AM909" s="32"/>
      <c r="AN909" s="32"/>
      <c r="AO909" s="32"/>
    </row>
    <row r="910">
      <c r="AJ910" s="33"/>
      <c r="AK910" s="33"/>
      <c r="AL910" s="32"/>
      <c r="AM910" s="32"/>
      <c r="AN910" s="32"/>
      <c r="AO910" s="32"/>
    </row>
    <row r="911">
      <c r="AJ911" s="33"/>
      <c r="AK911" s="33"/>
      <c r="AL911" s="32"/>
      <c r="AM911" s="32"/>
      <c r="AN911" s="32"/>
      <c r="AO911" s="32"/>
    </row>
    <row r="912">
      <c r="AJ912" s="33"/>
      <c r="AK912" s="33"/>
      <c r="AL912" s="32"/>
      <c r="AM912" s="32"/>
      <c r="AN912" s="32"/>
      <c r="AO912" s="32"/>
    </row>
    <row r="913">
      <c r="AJ913" s="33"/>
      <c r="AK913" s="33"/>
      <c r="AL913" s="32"/>
      <c r="AM913" s="32"/>
      <c r="AN913" s="32"/>
      <c r="AO913" s="32"/>
    </row>
    <row r="914">
      <c r="AJ914" s="33"/>
      <c r="AK914" s="33"/>
      <c r="AL914" s="32"/>
      <c r="AM914" s="32"/>
      <c r="AN914" s="32"/>
      <c r="AO914" s="32"/>
    </row>
    <row r="915">
      <c r="AJ915" s="33"/>
      <c r="AK915" s="33"/>
      <c r="AL915" s="32"/>
      <c r="AM915" s="32"/>
      <c r="AN915" s="32"/>
      <c r="AO915" s="32"/>
    </row>
    <row r="916">
      <c r="AJ916" s="33"/>
      <c r="AK916" s="33"/>
      <c r="AL916" s="32"/>
      <c r="AM916" s="32"/>
      <c r="AN916" s="32"/>
      <c r="AO916" s="32"/>
    </row>
    <row r="917">
      <c r="AJ917" s="33"/>
      <c r="AK917" s="33"/>
      <c r="AL917" s="32"/>
      <c r="AM917" s="32"/>
      <c r="AN917" s="32"/>
      <c r="AO917" s="32"/>
    </row>
    <row r="918">
      <c r="AJ918" s="33"/>
      <c r="AK918" s="33"/>
      <c r="AL918" s="32"/>
      <c r="AM918" s="32"/>
      <c r="AN918" s="32"/>
      <c r="AO918" s="32"/>
    </row>
    <row r="919">
      <c r="AJ919" s="33"/>
      <c r="AK919" s="33"/>
      <c r="AL919" s="32"/>
      <c r="AM919" s="32"/>
      <c r="AN919" s="32"/>
      <c r="AO919" s="32"/>
    </row>
    <row r="920">
      <c r="AJ920" s="33"/>
      <c r="AK920" s="33"/>
      <c r="AL920" s="32"/>
      <c r="AM920" s="32"/>
      <c r="AN920" s="32"/>
      <c r="AO920" s="32"/>
    </row>
    <row r="921">
      <c r="AJ921" s="33"/>
      <c r="AK921" s="33"/>
      <c r="AL921" s="32"/>
      <c r="AM921" s="32"/>
      <c r="AN921" s="32"/>
      <c r="AO921" s="32"/>
    </row>
    <row r="922">
      <c r="AJ922" s="33"/>
      <c r="AK922" s="33"/>
      <c r="AL922" s="32"/>
      <c r="AM922" s="32"/>
      <c r="AN922" s="32"/>
      <c r="AO922" s="32"/>
    </row>
    <row r="923">
      <c r="AJ923" s="33"/>
      <c r="AK923" s="33"/>
      <c r="AL923" s="32"/>
      <c r="AM923" s="32"/>
      <c r="AN923" s="32"/>
      <c r="AO923" s="32"/>
    </row>
    <row r="924">
      <c r="AJ924" s="33"/>
      <c r="AK924" s="33"/>
      <c r="AL924" s="32"/>
      <c r="AM924" s="32"/>
      <c r="AN924" s="32"/>
      <c r="AO924" s="32"/>
    </row>
    <row r="925">
      <c r="AJ925" s="33"/>
      <c r="AK925" s="33"/>
      <c r="AL925" s="32"/>
      <c r="AM925" s="32"/>
      <c r="AN925" s="32"/>
      <c r="AO925" s="32"/>
    </row>
    <row r="926">
      <c r="AJ926" s="33"/>
      <c r="AK926" s="33"/>
      <c r="AL926" s="32"/>
      <c r="AM926" s="32"/>
      <c r="AN926" s="32"/>
      <c r="AO926" s="32"/>
    </row>
    <row r="927">
      <c r="AJ927" s="33"/>
      <c r="AK927" s="33"/>
      <c r="AL927" s="32"/>
      <c r="AM927" s="32"/>
      <c r="AN927" s="32"/>
      <c r="AO927" s="32"/>
    </row>
    <row r="928">
      <c r="AJ928" s="33"/>
      <c r="AK928" s="33"/>
      <c r="AL928" s="32"/>
      <c r="AM928" s="32"/>
      <c r="AN928" s="32"/>
      <c r="AO928" s="32"/>
    </row>
    <row r="929">
      <c r="AJ929" s="33"/>
      <c r="AK929" s="33"/>
      <c r="AL929" s="32"/>
      <c r="AM929" s="32"/>
      <c r="AN929" s="32"/>
      <c r="AO929" s="32"/>
    </row>
    <row r="930">
      <c r="AJ930" s="33"/>
      <c r="AK930" s="33"/>
      <c r="AL930" s="32"/>
      <c r="AM930" s="32"/>
      <c r="AN930" s="32"/>
      <c r="AO930" s="32"/>
    </row>
    <row r="931">
      <c r="AJ931" s="33"/>
      <c r="AK931" s="33"/>
      <c r="AL931" s="32"/>
      <c r="AM931" s="32"/>
      <c r="AN931" s="32"/>
      <c r="AO931" s="32"/>
    </row>
    <row r="932">
      <c r="AJ932" s="33"/>
      <c r="AK932" s="33"/>
      <c r="AL932" s="32"/>
      <c r="AM932" s="32"/>
      <c r="AN932" s="32"/>
      <c r="AO932" s="32"/>
    </row>
    <row r="933">
      <c r="AJ933" s="33"/>
      <c r="AK933" s="33"/>
      <c r="AL933" s="32"/>
      <c r="AM933" s="32"/>
      <c r="AN933" s="32"/>
      <c r="AO933" s="32"/>
    </row>
    <row r="934">
      <c r="AJ934" s="33"/>
      <c r="AK934" s="33"/>
      <c r="AL934" s="32"/>
      <c r="AM934" s="32"/>
      <c r="AN934" s="32"/>
      <c r="AO934" s="32"/>
    </row>
    <row r="935">
      <c r="AJ935" s="33"/>
      <c r="AK935" s="33"/>
      <c r="AL935" s="32"/>
      <c r="AM935" s="32"/>
      <c r="AN935" s="32"/>
      <c r="AO935" s="32"/>
    </row>
    <row r="936">
      <c r="AJ936" s="33"/>
      <c r="AK936" s="33"/>
      <c r="AL936" s="32"/>
      <c r="AM936" s="32"/>
      <c r="AN936" s="32"/>
      <c r="AO936" s="32"/>
    </row>
    <row r="937">
      <c r="AJ937" s="33"/>
      <c r="AK937" s="33"/>
      <c r="AL937" s="32"/>
      <c r="AM937" s="32"/>
      <c r="AN937" s="32"/>
      <c r="AO937" s="32"/>
    </row>
    <row r="938">
      <c r="AJ938" s="33"/>
      <c r="AK938" s="33"/>
      <c r="AL938" s="32"/>
      <c r="AM938" s="32"/>
      <c r="AN938" s="32"/>
      <c r="AO938" s="32"/>
    </row>
    <row r="939">
      <c r="AJ939" s="33"/>
      <c r="AK939" s="33"/>
      <c r="AL939" s="32"/>
      <c r="AM939" s="32"/>
      <c r="AN939" s="32"/>
      <c r="AO939" s="32"/>
    </row>
    <row r="940">
      <c r="AJ940" s="33"/>
      <c r="AK940" s="33"/>
      <c r="AL940" s="32"/>
      <c r="AM940" s="32"/>
      <c r="AN940" s="32"/>
      <c r="AO940" s="32"/>
    </row>
    <row r="941">
      <c r="AJ941" s="33"/>
      <c r="AK941" s="33"/>
      <c r="AL941" s="32"/>
      <c r="AM941" s="32"/>
      <c r="AN941" s="32"/>
      <c r="AO941" s="32"/>
    </row>
    <row r="942">
      <c r="AJ942" s="33"/>
      <c r="AK942" s="33"/>
      <c r="AL942" s="32"/>
      <c r="AM942" s="32"/>
      <c r="AN942" s="32"/>
      <c r="AO942" s="32"/>
    </row>
    <row r="943">
      <c r="AJ943" s="33"/>
      <c r="AK943" s="33"/>
      <c r="AL943" s="32"/>
      <c r="AM943" s="32"/>
      <c r="AN943" s="32"/>
      <c r="AO943" s="32"/>
    </row>
    <row r="944">
      <c r="AJ944" s="33"/>
      <c r="AK944" s="33"/>
      <c r="AL944" s="32"/>
      <c r="AM944" s="32"/>
      <c r="AN944" s="32"/>
      <c r="AO944" s="32"/>
    </row>
    <row r="945">
      <c r="AJ945" s="33"/>
      <c r="AK945" s="33"/>
      <c r="AL945" s="32"/>
      <c r="AM945" s="32"/>
      <c r="AN945" s="32"/>
      <c r="AO945" s="32"/>
    </row>
    <row r="946">
      <c r="AJ946" s="33"/>
      <c r="AK946" s="33"/>
      <c r="AL946" s="32"/>
      <c r="AM946" s="32"/>
      <c r="AN946" s="32"/>
      <c r="AO946" s="32"/>
    </row>
    <row r="947">
      <c r="AJ947" s="33"/>
      <c r="AK947" s="33"/>
      <c r="AL947" s="32"/>
      <c r="AM947" s="32"/>
      <c r="AN947" s="32"/>
      <c r="AO947" s="32"/>
    </row>
    <row r="948">
      <c r="AJ948" s="33"/>
      <c r="AK948" s="33"/>
      <c r="AL948" s="32"/>
      <c r="AM948" s="32"/>
      <c r="AN948" s="32"/>
      <c r="AO948" s="32"/>
    </row>
    <row r="949">
      <c r="AJ949" s="33"/>
      <c r="AK949" s="33"/>
      <c r="AL949" s="32"/>
      <c r="AM949" s="32"/>
      <c r="AN949" s="32"/>
      <c r="AO949" s="32"/>
    </row>
    <row r="950">
      <c r="AJ950" s="33"/>
      <c r="AK950" s="33"/>
      <c r="AL950" s="32"/>
      <c r="AM950" s="32"/>
      <c r="AN950" s="32"/>
      <c r="AO950" s="32"/>
    </row>
    <row r="951">
      <c r="AJ951" s="33"/>
      <c r="AK951" s="33"/>
      <c r="AL951" s="32"/>
      <c r="AM951" s="32"/>
      <c r="AN951" s="32"/>
      <c r="AO951" s="32"/>
    </row>
    <row r="952">
      <c r="AJ952" s="33"/>
      <c r="AK952" s="33"/>
      <c r="AL952" s="32"/>
      <c r="AM952" s="32"/>
      <c r="AN952" s="32"/>
      <c r="AO952" s="32"/>
    </row>
    <row r="953">
      <c r="AJ953" s="33"/>
      <c r="AK953" s="33"/>
      <c r="AL953" s="32"/>
      <c r="AM953" s="32"/>
      <c r="AN953" s="32"/>
      <c r="AO953" s="32"/>
    </row>
    <row r="954">
      <c r="AJ954" s="33"/>
      <c r="AK954" s="33"/>
      <c r="AL954" s="32"/>
      <c r="AM954" s="32"/>
      <c r="AN954" s="32"/>
      <c r="AO954" s="32"/>
    </row>
    <row r="955">
      <c r="AJ955" s="33"/>
      <c r="AK955" s="33"/>
      <c r="AL955" s="32"/>
      <c r="AM955" s="32"/>
      <c r="AN955" s="32"/>
      <c r="AO955" s="32"/>
    </row>
    <row r="956">
      <c r="AJ956" s="33"/>
      <c r="AK956" s="33"/>
      <c r="AL956" s="32"/>
      <c r="AM956" s="32"/>
      <c r="AN956" s="32"/>
      <c r="AO956" s="32"/>
    </row>
    <row r="957">
      <c r="AJ957" s="33"/>
      <c r="AK957" s="33"/>
      <c r="AL957" s="32"/>
      <c r="AM957" s="32"/>
      <c r="AN957" s="32"/>
      <c r="AO957" s="32"/>
    </row>
    <row r="958">
      <c r="AJ958" s="33"/>
      <c r="AK958" s="33"/>
      <c r="AL958" s="32"/>
      <c r="AM958" s="32"/>
      <c r="AN958" s="32"/>
      <c r="AO958" s="32"/>
    </row>
    <row r="959">
      <c r="AJ959" s="33"/>
      <c r="AK959" s="33"/>
      <c r="AL959" s="32"/>
      <c r="AM959" s="32"/>
      <c r="AN959" s="32"/>
      <c r="AO959" s="32"/>
    </row>
    <row r="960">
      <c r="AJ960" s="33"/>
      <c r="AK960" s="33"/>
      <c r="AL960" s="32"/>
      <c r="AM960" s="32"/>
      <c r="AN960" s="32"/>
      <c r="AO960" s="32"/>
    </row>
    <row r="961">
      <c r="AJ961" s="33"/>
      <c r="AK961" s="33"/>
      <c r="AL961" s="32"/>
      <c r="AM961" s="32"/>
      <c r="AN961" s="32"/>
      <c r="AO961" s="32"/>
    </row>
    <row r="962">
      <c r="AJ962" s="33"/>
      <c r="AK962" s="33"/>
      <c r="AL962" s="32"/>
      <c r="AM962" s="32"/>
      <c r="AN962" s="32"/>
      <c r="AO962" s="32"/>
    </row>
    <row r="963">
      <c r="AJ963" s="33"/>
      <c r="AK963" s="33"/>
      <c r="AL963" s="32"/>
      <c r="AM963" s="32"/>
      <c r="AN963" s="32"/>
      <c r="AO963" s="32"/>
    </row>
    <row r="964">
      <c r="AJ964" s="33"/>
      <c r="AK964" s="33"/>
      <c r="AL964" s="32"/>
      <c r="AM964" s="32"/>
      <c r="AN964" s="32"/>
      <c r="AO964" s="32"/>
    </row>
    <row r="965">
      <c r="AJ965" s="33"/>
      <c r="AK965" s="33"/>
      <c r="AL965" s="32"/>
      <c r="AM965" s="32"/>
      <c r="AN965" s="32"/>
      <c r="AO965" s="32"/>
    </row>
    <row r="966">
      <c r="AJ966" s="33"/>
      <c r="AK966" s="33"/>
      <c r="AL966" s="32"/>
      <c r="AM966" s="32"/>
      <c r="AN966" s="32"/>
      <c r="AO966" s="32"/>
    </row>
    <row r="967">
      <c r="AJ967" s="33"/>
      <c r="AK967" s="33"/>
      <c r="AL967" s="32"/>
      <c r="AM967" s="32"/>
      <c r="AN967" s="32"/>
      <c r="AO967" s="32"/>
    </row>
    <row r="968">
      <c r="AJ968" s="33"/>
      <c r="AK968" s="33"/>
      <c r="AL968" s="32"/>
      <c r="AM968" s="32"/>
      <c r="AN968" s="32"/>
      <c r="AO968" s="32"/>
    </row>
    <row r="969">
      <c r="AJ969" s="33"/>
      <c r="AK969" s="33"/>
      <c r="AL969" s="32"/>
      <c r="AM969" s="32"/>
      <c r="AN969" s="32"/>
      <c r="AO969" s="32"/>
    </row>
    <row r="970">
      <c r="AJ970" s="33"/>
      <c r="AK970" s="33"/>
      <c r="AL970" s="32"/>
      <c r="AM970" s="32"/>
      <c r="AN970" s="32"/>
      <c r="AO970" s="32"/>
    </row>
    <row r="971">
      <c r="AJ971" s="33"/>
      <c r="AK971" s="33"/>
      <c r="AL971" s="32"/>
      <c r="AM971" s="32"/>
      <c r="AN971" s="32"/>
      <c r="AO971" s="32"/>
    </row>
    <row r="972">
      <c r="AJ972" s="33"/>
      <c r="AK972" s="33"/>
      <c r="AL972" s="32"/>
      <c r="AM972" s="32"/>
      <c r="AN972" s="32"/>
      <c r="AO972" s="32"/>
    </row>
    <row r="973">
      <c r="AJ973" s="33"/>
      <c r="AK973" s="33"/>
      <c r="AL973" s="32"/>
      <c r="AM973" s="32"/>
      <c r="AN973" s="32"/>
      <c r="AO973" s="32"/>
    </row>
    <row r="974">
      <c r="AJ974" s="33"/>
      <c r="AK974" s="33"/>
      <c r="AL974" s="32"/>
      <c r="AM974" s="32"/>
      <c r="AN974" s="32"/>
      <c r="AO974" s="32"/>
    </row>
    <row r="975">
      <c r="AJ975" s="33"/>
      <c r="AK975" s="33"/>
      <c r="AL975" s="32"/>
      <c r="AM975" s="32"/>
      <c r="AN975" s="32"/>
      <c r="AO975" s="32"/>
    </row>
    <row r="976">
      <c r="AJ976" s="33"/>
      <c r="AK976" s="33"/>
      <c r="AL976" s="32"/>
      <c r="AM976" s="32"/>
      <c r="AN976" s="32"/>
      <c r="AO976" s="32"/>
    </row>
    <row r="977">
      <c r="AJ977" s="33"/>
      <c r="AK977" s="33"/>
      <c r="AL977" s="32"/>
      <c r="AM977" s="32"/>
      <c r="AN977" s="32"/>
      <c r="AO977" s="32"/>
    </row>
    <row r="978">
      <c r="AJ978" s="33"/>
      <c r="AK978" s="33"/>
      <c r="AL978" s="32"/>
      <c r="AM978" s="32"/>
      <c r="AN978" s="32"/>
      <c r="AO978" s="32"/>
    </row>
    <row r="979">
      <c r="AJ979" s="33"/>
      <c r="AK979" s="33"/>
      <c r="AL979" s="32"/>
      <c r="AM979" s="32"/>
      <c r="AN979" s="32"/>
      <c r="AO979" s="32"/>
    </row>
    <row r="980">
      <c r="AJ980" s="33"/>
      <c r="AK980" s="33"/>
      <c r="AL980" s="32"/>
      <c r="AM980" s="32"/>
      <c r="AN980" s="32"/>
      <c r="AO980" s="32"/>
    </row>
    <row r="981">
      <c r="AJ981" s="33"/>
      <c r="AK981" s="33"/>
      <c r="AL981" s="32"/>
      <c r="AM981" s="32"/>
      <c r="AN981" s="32"/>
      <c r="AO981" s="32"/>
    </row>
    <row r="982">
      <c r="AJ982" s="33"/>
      <c r="AK982" s="33"/>
      <c r="AL982" s="32"/>
      <c r="AM982" s="32"/>
      <c r="AN982" s="32"/>
      <c r="AO982" s="32"/>
    </row>
    <row r="983">
      <c r="AJ983" s="33"/>
      <c r="AK983" s="33"/>
      <c r="AL983" s="32"/>
      <c r="AM983" s="32"/>
      <c r="AN983" s="32"/>
      <c r="AO983" s="32"/>
    </row>
    <row r="984">
      <c r="AJ984" s="33"/>
      <c r="AK984" s="33"/>
      <c r="AL984" s="32"/>
      <c r="AM984" s="32"/>
      <c r="AN984" s="32"/>
      <c r="AO984" s="32"/>
    </row>
    <row r="985">
      <c r="AJ985" s="33"/>
      <c r="AK985" s="33"/>
      <c r="AL985" s="32"/>
      <c r="AM985" s="32"/>
      <c r="AN985" s="32"/>
      <c r="AO985" s="32"/>
    </row>
    <row r="986">
      <c r="AJ986" s="33"/>
      <c r="AK986" s="33"/>
      <c r="AL986" s="32"/>
      <c r="AM986" s="32"/>
      <c r="AN986" s="32"/>
      <c r="AO986" s="32"/>
    </row>
    <row r="987">
      <c r="AJ987" s="33"/>
      <c r="AK987" s="33"/>
      <c r="AL987" s="32"/>
      <c r="AM987" s="32"/>
      <c r="AN987" s="32"/>
      <c r="AO987" s="32"/>
    </row>
    <row r="988">
      <c r="AJ988" s="33"/>
      <c r="AK988" s="33"/>
      <c r="AL988" s="32"/>
      <c r="AM988" s="32"/>
      <c r="AN988" s="32"/>
      <c r="AO988" s="32"/>
    </row>
    <row r="989">
      <c r="AJ989" s="33"/>
      <c r="AK989" s="33"/>
      <c r="AL989" s="32"/>
      <c r="AM989" s="32"/>
      <c r="AN989" s="32"/>
      <c r="AO989" s="32"/>
    </row>
    <row r="990">
      <c r="AJ990" s="33"/>
      <c r="AK990" s="33"/>
      <c r="AL990" s="32"/>
      <c r="AM990" s="32"/>
      <c r="AN990" s="32"/>
      <c r="AO990" s="32"/>
    </row>
    <row r="991">
      <c r="AJ991" s="33"/>
      <c r="AK991" s="33"/>
      <c r="AL991" s="32"/>
      <c r="AM991" s="32"/>
      <c r="AN991" s="32"/>
      <c r="AO991" s="32"/>
    </row>
    <row r="992">
      <c r="AJ992" s="33"/>
      <c r="AK992" s="33"/>
      <c r="AL992" s="32"/>
      <c r="AM992" s="32"/>
      <c r="AN992" s="32"/>
      <c r="AO992" s="32"/>
    </row>
    <row r="993">
      <c r="AJ993" s="33"/>
      <c r="AK993" s="33"/>
      <c r="AL993" s="32"/>
      <c r="AM993" s="32"/>
      <c r="AN993" s="32"/>
      <c r="AO993" s="32"/>
    </row>
    <row r="994">
      <c r="AJ994" s="33"/>
      <c r="AK994" s="33"/>
      <c r="AL994" s="32"/>
      <c r="AM994" s="32"/>
      <c r="AN994" s="32"/>
      <c r="AO994" s="32"/>
    </row>
    <row r="995">
      <c r="AJ995" s="33"/>
      <c r="AK995" s="33"/>
      <c r="AL995" s="32"/>
      <c r="AM995" s="32"/>
      <c r="AN995" s="32"/>
      <c r="AO995" s="32"/>
    </row>
    <row r="996">
      <c r="AJ996" s="33"/>
      <c r="AK996" s="33"/>
      <c r="AL996" s="32"/>
      <c r="AM996" s="32"/>
      <c r="AN996" s="32"/>
      <c r="AO996" s="32"/>
    </row>
    <row r="997">
      <c r="AJ997" s="33"/>
      <c r="AK997" s="33"/>
      <c r="AL997" s="32"/>
      <c r="AM997" s="32"/>
      <c r="AN997" s="32"/>
      <c r="AO997" s="32"/>
    </row>
    <row r="998">
      <c r="AJ998" s="33"/>
      <c r="AK998" s="33"/>
      <c r="AL998" s="32"/>
      <c r="AM998" s="32"/>
      <c r="AN998" s="32"/>
      <c r="AO998" s="32"/>
    </row>
    <row r="999">
      <c r="AJ999" s="33"/>
      <c r="AK999" s="33"/>
      <c r="AL999" s="32"/>
      <c r="AM999" s="32"/>
      <c r="AN999" s="32"/>
      <c r="AO999" s="32"/>
    </row>
  </sheetData>
  <mergeCells count="144">
    <mergeCell ref="AK7:AK8"/>
    <mergeCell ref="AJ9:AJ11"/>
    <mergeCell ref="AK9:AK11"/>
    <mergeCell ref="AL13:AL16"/>
    <mergeCell ref="AM13:AM16"/>
    <mergeCell ref="AL17:AL29"/>
    <mergeCell ref="AM17:AM29"/>
    <mergeCell ref="AN17:AN112"/>
    <mergeCell ref="AO17:AO112"/>
    <mergeCell ref="AL30:AL111"/>
    <mergeCell ref="AM30:AM111"/>
    <mergeCell ref="AJ2:AJ3"/>
    <mergeCell ref="AK2:AK3"/>
    <mergeCell ref="AL2:AL12"/>
    <mergeCell ref="AM2:AM12"/>
    <mergeCell ref="AN2:AN16"/>
    <mergeCell ref="AO2:AO16"/>
    <mergeCell ref="AK5:AK6"/>
    <mergeCell ref="AJ5:AJ6"/>
    <mergeCell ref="AJ7:AJ8"/>
    <mergeCell ref="AJ17:AJ23"/>
    <mergeCell ref="AJ25:AJ26"/>
    <mergeCell ref="AJ31:AJ35"/>
    <mergeCell ref="AJ36:AJ37"/>
    <mergeCell ref="AJ38:AJ69"/>
    <mergeCell ref="AJ14:AJ15"/>
    <mergeCell ref="AK14:AK15"/>
    <mergeCell ref="AK17:AK23"/>
    <mergeCell ref="AK25:AK26"/>
    <mergeCell ref="AK31:AK35"/>
    <mergeCell ref="AK36:AK37"/>
    <mergeCell ref="AK38:AK69"/>
    <mergeCell ref="AJ100:AJ101"/>
    <mergeCell ref="AJ110:AJ111"/>
    <mergeCell ref="AJ113:AJ115"/>
    <mergeCell ref="AK113:AK115"/>
    <mergeCell ref="AJ116:AJ117"/>
    <mergeCell ref="AJ118:AJ119"/>
    <mergeCell ref="AJ70:AJ76"/>
    <mergeCell ref="AJ77:AJ78"/>
    <mergeCell ref="AJ79:AJ80"/>
    <mergeCell ref="AJ83:AJ86"/>
    <mergeCell ref="AJ88:AJ91"/>
    <mergeCell ref="AJ92:AJ95"/>
    <mergeCell ref="AJ96:AJ99"/>
    <mergeCell ref="AL188:AL196"/>
    <mergeCell ref="AM188:AM196"/>
    <mergeCell ref="AL158:AL161"/>
    <mergeCell ref="AL162:AL164"/>
    <mergeCell ref="AM162:AM164"/>
    <mergeCell ref="AN162:AN208"/>
    <mergeCell ref="AO162:AO208"/>
    <mergeCell ref="AL165:AL169"/>
    <mergeCell ref="AM165:AM169"/>
    <mergeCell ref="AL211:AL237"/>
    <mergeCell ref="AL238:AL241"/>
    <mergeCell ref="AM238:AM241"/>
    <mergeCell ref="AL242:AL265"/>
    <mergeCell ref="AM242:AM265"/>
    <mergeCell ref="AL266:AL287"/>
    <mergeCell ref="AM266:AM287"/>
    <mergeCell ref="AL197:AL207"/>
    <mergeCell ref="AM197:AM207"/>
    <mergeCell ref="AL209:AL210"/>
    <mergeCell ref="AM209:AM210"/>
    <mergeCell ref="AN209:AN287"/>
    <mergeCell ref="AO209:AO287"/>
    <mergeCell ref="AM211:AM237"/>
    <mergeCell ref="AJ198:AJ203"/>
    <mergeCell ref="AJ211:AJ212"/>
    <mergeCell ref="AK211:AK212"/>
    <mergeCell ref="AJ215:AJ218"/>
    <mergeCell ref="AK215:AK218"/>
    <mergeCell ref="AJ219:AJ222"/>
    <mergeCell ref="AK219:AK222"/>
    <mergeCell ref="AJ252:AJ260"/>
    <mergeCell ref="AJ261:AJ262"/>
    <mergeCell ref="AJ263:AJ265"/>
    <mergeCell ref="AJ266:AJ269"/>
    <mergeCell ref="AJ270:AJ272"/>
    <mergeCell ref="AJ273:AJ287"/>
    <mergeCell ref="AJ288:AJ385"/>
    <mergeCell ref="AJ228:AJ237"/>
    <mergeCell ref="AK228:AK237"/>
    <mergeCell ref="AJ246:AJ249"/>
    <mergeCell ref="AK246:AK249"/>
    <mergeCell ref="AJ250:AJ251"/>
    <mergeCell ref="AK250:AK251"/>
    <mergeCell ref="AK252:AK260"/>
    <mergeCell ref="AM288:AM385"/>
    <mergeCell ref="AN288:AN385"/>
    <mergeCell ref="AO288:AO385"/>
    <mergeCell ref="AK261:AK262"/>
    <mergeCell ref="AK263:AK265"/>
    <mergeCell ref="AK266:AK269"/>
    <mergeCell ref="AK270:AK272"/>
    <mergeCell ref="AK273:AK287"/>
    <mergeCell ref="AK288:AK385"/>
    <mergeCell ref="AL288:AL385"/>
    <mergeCell ref="AK70:AK76"/>
    <mergeCell ref="AK77:AK78"/>
    <mergeCell ref="AK79:AK80"/>
    <mergeCell ref="AK83:AK86"/>
    <mergeCell ref="AK88:AK91"/>
    <mergeCell ref="AK92:AK95"/>
    <mergeCell ref="AK96:AK99"/>
    <mergeCell ref="AK100:AK101"/>
    <mergeCell ref="AK110:AK111"/>
    <mergeCell ref="AL113:AL133"/>
    <mergeCell ref="AM113:AM133"/>
    <mergeCell ref="AN113:AN148"/>
    <mergeCell ref="AO113:AO148"/>
    <mergeCell ref="AK116:AK117"/>
    <mergeCell ref="AJ147:AJ148"/>
    <mergeCell ref="AK147:AK148"/>
    <mergeCell ref="AJ149:AJ150"/>
    <mergeCell ref="AK149:AK150"/>
    <mergeCell ref="AJ153:AJ156"/>
    <mergeCell ref="AK153:AK156"/>
    <mergeCell ref="AJ165:AJ167"/>
    <mergeCell ref="AK165:AK167"/>
    <mergeCell ref="AK118:AK119"/>
    <mergeCell ref="AJ132:AJ133"/>
    <mergeCell ref="AK132:AK133"/>
    <mergeCell ref="AJ134:AJ136"/>
    <mergeCell ref="AK134:AK136"/>
    <mergeCell ref="AJ144:AJ145"/>
    <mergeCell ref="AK144:AK145"/>
    <mergeCell ref="AL134:AL148"/>
    <mergeCell ref="AM134:AM148"/>
    <mergeCell ref="AL149:AL157"/>
    <mergeCell ref="AM149:AM157"/>
    <mergeCell ref="AN149:AN161"/>
    <mergeCell ref="AO149:AO161"/>
    <mergeCell ref="AM158:AM161"/>
    <mergeCell ref="AL170:AL177"/>
    <mergeCell ref="AM170:AM177"/>
    <mergeCell ref="AL178:AL187"/>
    <mergeCell ref="AM178:AM187"/>
    <mergeCell ref="AJ186:AJ187"/>
    <mergeCell ref="AK186:AK187"/>
    <mergeCell ref="AJ190:AJ193"/>
    <mergeCell ref="AK190:AK193"/>
    <mergeCell ref="AK198:AK203"/>
  </mergeCells>
  <conditionalFormatting sqref="E1:E999">
    <cfRule type="containsText" dxfId="0" priority="1" operator="containsText" text="31A">
      <formula>NOT(ISERROR(SEARCH(("31A"),(E1))))</formula>
    </cfRule>
  </conditionalFormatting>
  <conditionalFormatting sqref="E1:E999">
    <cfRule type="containsText" dxfId="1" priority="2" operator="containsText" text="31N">
      <formula>NOT(ISERROR(SEARCH(("31N"),(E1))))</formula>
    </cfRule>
  </conditionalFormatting>
  <drawing r:id="rId1"/>
</worksheet>
</file>