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rix-my.sharepoint.com/personal/jsantos_nurixtx_com/Documents/Berkeley Data Analytics/Class Work/Assignment-1/"/>
    </mc:Choice>
  </mc:AlternateContent>
  <xr:revisionPtr revIDLastSave="308" documentId="8_{ECF4F80D-4CE0-4DCD-8F64-031E85245486}" xr6:coauthVersionLast="45" xr6:coauthVersionMax="45" xr10:uidLastSave="{1834CB00-3C2B-4953-ABF6-DB65CCD3C13E}"/>
  <bookViews>
    <workbookView xWindow="29730" yWindow="2745" windowWidth="27645" windowHeight="12735" activeTab="1" xr2:uid="{00000000-000D-0000-FFFF-FFFF00000000}"/>
  </bookViews>
  <sheets>
    <sheet name="Data" sheetId="1" r:id="rId1"/>
    <sheet name="Theater Outcomes by Launch Date" sheetId="5" r:id="rId2"/>
    <sheet name="Outcomes Based on Goals" sheetId="8" r:id="rId3"/>
  </sheets>
  <definedNames>
    <definedName name="_xlnm._FilterDatabase" localSheetId="0" hidden="1">Data!$A$1:$U$4115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8" i="8"/>
  <c r="C8" i="8"/>
  <c r="B8" i="8"/>
  <c r="D7" i="8"/>
  <c r="C7" i="8"/>
  <c r="B7" i="8"/>
  <c r="D12" i="8"/>
  <c r="D11" i="8"/>
  <c r="D10" i="8"/>
  <c r="D9" i="8"/>
  <c r="D6" i="8"/>
  <c r="D5" i="8"/>
  <c r="D4" i="8"/>
  <c r="D3" i="8"/>
  <c r="D2" i="8"/>
  <c r="C12" i="8"/>
  <c r="C11" i="8"/>
  <c r="C10" i="8"/>
  <c r="C9" i="8"/>
  <c r="C6" i="8"/>
  <c r="C5" i="8"/>
  <c r="C4" i="8"/>
  <c r="C3" i="8"/>
  <c r="C2" i="8"/>
  <c r="B12" i="8"/>
  <c r="B11" i="8"/>
  <c r="B10" i="8"/>
  <c r="B9" i="8"/>
  <c r="B6" i="8"/>
  <c r="B5" i="8"/>
  <c r="B4" i="8"/>
  <c r="B3" i="8"/>
  <c r="B2" i="8"/>
  <c r="E8" i="8" l="1"/>
  <c r="H8" i="8" s="1"/>
  <c r="E13" i="8"/>
  <c r="F13" i="8" s="1"/>
  <c r="E12" i="8"/>
  <c r="H12" i="8" s="1"/>
  <c r="E4" i="8"/>
  <c r="H4" i="8" s="1"/>
  <c r="E3" i="8"/>
  <c r="H3" i="8" s="1"/>
  <c r="E5" i="8"/>
  <c r="H5" i="8" s="1"/>
  <c r="E10" i="8"/>
  <c r="F10" i="8" s="1"/>
  <c r="E9" i="8"/>
  <c r="F9" i="8" s="1"/>
  <c r="E7" i="8"/>
  <c r="G7" i="8" s="1"/>
  <c r="E6" i="8"/>
  <c r="H6" i="8" s="1"/>
  <c r="E2" i="8"/>
  <c r="F2" i="8" s="1"/>
  <c r="E11" i="8"/>
  <c r="H11" i="8" s="1"/>
  <c r="F8" i="8" l="1"/>
  <c r="G8" i="8"/>
  <c r="F12" i="8"/>
  <c r="G12" i="8"/>
  <c r="F5" i="8"/>
  <c r="G13" i="8"/>
  <c r="H13" i="8"/>
  <c r="G6" i="8"/>
  <c r="G4" i="8"/>
  <c r="F4" i="8"/>
  <c r="G10" i="8"/>
  <c r="H10" i="8"/>
  <c r="F3" i="8"/>
  <c r="G3" i="8"/>
  <c r="G2" i="8"/>
  <c r="H2" i="8"/>
  <c r="H7" i="8"/>
  <c r="G5" i="8"/>
  <c r="F7" i="8"/>
  <c r="F11" i="8"/>
  <c r="F6" i="8"/>
  <c r="G9" i="8"/>
  <c r="H9" i="8"/>
  <c r="G11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2" i="1" a="1"/>
  <c r="P52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<sst xmlns="http://schemas.openxmlformats.org/spreadsheetml/2006/main" count="32975" uniqueCount="8400">
  <si>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</si>
  <si>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</si>
  <si>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</si>
  <si>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</si>
  <si>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</si>
  <si>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</si>
  <si>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</si>
  <si>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</si>
  <si>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</si>
  <si>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</si>
  <si>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</si>
  <si>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</si>
  <si>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</si>
  <si>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</si>
  <si>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</si>
  <si>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</si>
  <si>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</si>
  <si>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</si>
  <si>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</si>
  <si>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</si>
  <si>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</si>
  <si>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</si>
  <si>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</si>
  <si>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</si>
  <si>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</si>
  <si>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</si>
  <si>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</si>
  <si>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</si>
  <si>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</si>
  <si>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</si>
  <si>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</si>
  <si>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</si>
  <si>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</si>
  <si>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</si>
  <si>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</si>
  <si>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</si>
  <si>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</si>
  <si>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</si>
  <si>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</si>
  <si>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</si>
  <si>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</si>
  <si>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</si>
  <si>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</si>
  <si>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</si>
  <si>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</si>
  <si>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</si>
  <si>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</si>
  <si>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</si>
  <si>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</si>
  <si>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</si>
  <si>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</si>
  <si>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</si>
  <si>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</si>
  <si>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</si>
  <si>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</si>
  <si>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</si>
  <si>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</si>
  <si>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</si>
  <si>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</si>
  <si>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</si>
  <si>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</si>
  <si>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</si>
  <si>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</si>
  <si>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</si>
  <si>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</si>
  <si>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</si>
  <si>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</si>
  <si>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</si>
  <si>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</si>
  <si>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</si>
  <si>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</si>
  <si>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</si>
  <si>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</si>
  <si>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</si>
  <si>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</si>
  <si>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</si>
  <si>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</si>
  <si>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</si>
  <si>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</si>
  <si>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</si>
  <si>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</si>
  <si>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</si>
  <si>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</si>
  <si>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</si>
  <si>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</si>
  <si>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</si>
  <si>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</si>
  <si>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</si>
  <si>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</si>
  <si>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</si>
  <si>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</si>
  <si>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</si>
  <si>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</si>
  <si>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</si>
  <si>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</si>
  <si>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</si>
  <si>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</si>
  <si>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</si>
  <si>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</si>
  <si>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</si>
  <si>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</si>
  <si>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</si>
  <si>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</si>
  <si>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</si>
  <si>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</si>
  <si>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</si>
  <si>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</si>
  <si>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</si>
  <si>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</si>
  <si>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</si>
  <si>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</si>
  <si>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</si>
  <si>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</si>
  <si>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</si>
  <si>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</si>
  <si>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</si>
  <si>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</si>
  <si>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</si>
  <si>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</si>
  <si>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</si>
  <si>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</si>
  <si>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</si>
  <si>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</si>
  <si>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</si>
  <si>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</si>
  <si>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</si>
  <si>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</si>
  <si>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</si>
  <si>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</si>
  <si>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</si>
  <si>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</si>
  <si>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</si>
  <si>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</si>
  <si>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</si>
  <si>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</si>
  <si>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</si>
  <si>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</si>
  <si>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</si>
  <si>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</si>
  <si>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</si>
  <si>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</si>
  <si>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</si>
  <si>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</si>
  <si>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</si>
  <si>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</si>
  <si>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</si>
  <si>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</si>
  <si>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</si>
  <si>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</si>
  <si>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</si>
  <si>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</si>
  <si>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</si>
  <si>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</si>
  <si>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</si>
  <si>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</si>
  <si>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</si>
  <si>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</si>
  <si>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</si>
  <si>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</si>
  <si>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</si>
  <si>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</si>
  <si>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</si>
  <si>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</si>
  <si>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</si>
  <si>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</si>
  <si>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</si>
  <si>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</si>
  <si>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</si>
  <si>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</si>
  <si>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</si>
  <si>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</si>
  <si>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</si>
  <si>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</si>
  <si>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</si>
  <si>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</si>
  <si>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</si>
  <si>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</si>
  <si>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</si>
  <si>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</si>
  <si>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</si>
  <si>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</si>
  <si>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</si>
  <si>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</si>
  <si>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</si>
  <si>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</si>
  <si>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</si>
  <si>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</si>
  <si>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</si>
  <si>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</si>
  <si>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</si>
  <si>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</si>
  <si>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</si>
  <si>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</si>
  <si>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</si>
  <si>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</si>
  <si>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</si>
  <si>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</si>
  <si>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</si>
  <si>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</si>
  <si>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</si>
  <si>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</si>
  <si>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</si>
  <si>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</si>
  <si>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</si>
  <si>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</si>
  <si>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</si>
  <si>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</si>
  <si>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</si>
  <si>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</si>
  <si>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</si>
  <si>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</si>
  <si>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</si>
  <si>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</si>
  <si>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</si>
  <si>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</si>
  <si>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</si>
  <si>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</si>
  <si>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</si>
  <si>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</si>
  <si>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</si>
  <si>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</si>
  <si>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</si>
  <si>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</si>
  <si>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</si>
  <si>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</si>
  <si>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</si>
  <si>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</si>
  <si>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</si>
  <si>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</si>
  <si>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</si>
  <si>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</si>
  <si>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</si>
  <si>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</si>
  <si>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</si>
  <si>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</si>
  <si>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</si>
  <si>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</si>
  <si>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</si>
  <si>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</si>
  <si>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</si>
  <si>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</si>
  <si>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</si>
  <si>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</si>
  <si>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</si>
  <si>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</si>
  <si>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</si>
  <si>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</si>
  <si>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</si>
  <si>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</si>
  <si>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</si>
  <si>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</si>
  <si>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</si>
  <si>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</si>
  <si>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</si>
  <si>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</si>
  <si>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</si>
  <si>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</si>
  <si>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</si>
  <si>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</si>
  <si>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</si>
  <si>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</si>
  <si>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</si>
  <si>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</si>
  <si>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</si>
  <si>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</si>
  <si>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</si>
  <si>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</si>
  <si>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</si>
  <si>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</si>
  <si>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</si>
  <si>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</si>
  <si>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</si>
  <si>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</si>
  <si>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</si>
  <si>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</si>
  <si>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</si>
  <si>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</si>
  <si>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</si>
  <si>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</si>
  <si>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</si>
  <si>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</si>
  <si>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</si>
  <si>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</si>
  <si>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</si>
  <si>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</si>
  <si>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</si>
  <si>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</si>
  <si>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</si>
  <si>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</si>
  <si>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</si>
  <si>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</si>
  <si>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</si>
  <si>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</si>
  <si>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</si>
  <si>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</si>
  <si>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</si>
  <si>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</si>
  <si>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</si>
  <si>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</si>
  <si>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</si>
  <si>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</si>
  <si>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</si>
  <si>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</si>
  <si>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</si>
  <si>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</si>
  <si>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</si>
  <si>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</si>
  <si>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</si>
  <si>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</si>
  <si>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</si>
  <si>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</si>
  <si>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</si>
  <si>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</si>
  <si>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</si>
  <si>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</si>
  <si>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</si>
  <si>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</si>
  <si>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</si>
  <si>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</si>
  <si>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</si>
  <si>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</si>
  <si>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</si>
  <si>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</si>
  <si>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</si>
  <si>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</si>
  <si>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</si>
  <si>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</si>
  <si>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</si>
  <si>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</si>
  <si>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</si>
  <si>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</si>
  <si>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</si>
  <si>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</si>
  <si>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</si>
  <si>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</si>
  <si>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</si>
  <si>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</si>
  <si>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</si>
  <si>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</si>
  <si>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</si>
  <si>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</si>
  <si>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</si>
  <si>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</si>
  <si>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</si>
  <si>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</si>
  <si>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</si>
  <si>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</si>
  <si>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</si>
  <si>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</si>
  <si>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</si>
  <si>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</si>
  <si>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</si>
  <si>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</si>
  <si>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</si>
  <si>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</si>
  <si>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</si>
  <si>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</si>
  <si>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</si>
  <si>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</si>
  <si>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</si>
  <si>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</si>
  <si>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</si>
  <si>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</si>
  <si>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</si>
  <si>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</si>
  <si>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</si>
  <si>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</si>
  <si>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</si>
  <si>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</si>
  <si>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</si>
  <si>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</si>
  <si>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</si>
  <si>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</si>
  <si>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</si>
  <si>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</si>
  <si>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</si>
  <si>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</si>
  <si>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</si>
  <si>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</si>
  <si>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</si>
  <si>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</si>
  <si>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</si>
  <si>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</si>
  <si>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</si>
  <si>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</si>
  <si>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</si>
  <si>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</si>
  <si>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</si>
  <si>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</si>
  <si>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</si>
  <si>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</si>
  <si>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</si>
  <si>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</si>
  <si>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</si>
  <si>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</si>
  <si>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</si>
  <si>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</si>
  <si>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</si>
  <si>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</si>
  <si>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</si>
  <si>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</si>
  <si>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</si>
  <si>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</si>
  <si>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</si>
  <si>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</si>
  <si>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</si>
  <si>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</si>
  <si>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</si>
  <si>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</si>
  <si>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</si>
  <si>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</si>
  <si>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</si>
  <si>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</si>
  <si>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</si>
  <si>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</si>
  <si>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</si>
  <si>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</si>
  <si>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</si>
  <si>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</si>
  <si>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</si>
  <si>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</si>
  <si>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</si>
  <si>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</si>
  <si>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</si>
  <si>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</si>
  <si>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</si>
  <si>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</si>
  <si>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</si>
  <si>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</si>
  <si>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</si>
  <si>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</si>
  <si>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</si>
  <si>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</si>
  <si>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</si>
  <si>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</si>
  <si>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</si>
  <si>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</si>
  <si>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</si>
  <si>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</si>
  <si>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</si>
  <si>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</si>
  <si>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</si>
  <si>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</si>
  <si>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</si>
  <si>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</si>
  <si>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</si>
  <si>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</si>
  <si>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</si>
  <si>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</si>
  <si>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</si>
  <si>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</si>
  <si>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</si>
  <si>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</si>
  <si>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</si>
  <si>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</si>
  <si>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</si>
  <si>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</si>
  <si>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</si>
  <si>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</si>
  <si>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</si>
  <si>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</si>
  <si>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</si>
  <si>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</si>
  <si>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</si>
  <si>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</si>
  <si>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</si>
  <si>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</si>
  <si>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</si>
  <si>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</si>
  <si>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</si>
  <si>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</si>
  <si>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</si>
  <si>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</si>
  <si>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</si>
  <si>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</si>
  <si>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</si>
  <si>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</si>
  <si>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</si>
  <si>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</si>
  <si>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</si>
  <si>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</si>
  <si>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</si>
  <si>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</si>
  <si>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</si>
  <si>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</si>
  <si>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</si>
  <si>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</si>
  <si>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</si>
  <si>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</si>
  <si>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</si>
  <si>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</si>
  <si>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</si>
  <si>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</si>
  <si>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</si>
  <si>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</si>
  <si>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</si>
  <si>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</si>
  <si>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</si>
  <si>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</si>
  <si>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</si>
  <si>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</si>
  <si>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</si>
  <si>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</si>
  <si>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</si>
  <si>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</si>
  <si>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</si>
  <si>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</si>
  <si>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</si>
  <si>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</si>
  <si>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</si>
  <si>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</si>
  <si>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</si>
  <si>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</si>
  <si>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</si>
  <si>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</si>
  <si>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</si>
  <si>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</si>
  <si>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</si>
  <si>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</si>
  <si>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</si>
  <si>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</si>
  <si>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</si>
  <si>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</si>
  <si>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</si>
  <si>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</si>
  <si>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</si>
  <si>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</si>
  <si>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</si>
  <si>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</si>
  <si>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</si>
  <si>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</si>
  <si>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</si>
  <si>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</si>
  <si>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</si>
  <si>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</si>
  <si>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</si>
  <si>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</si>
  <si>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</si>
  <si>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</si>
  <si>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</si>
  <si>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</si>
  <si>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</si>
  <si>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</si>
  <si>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</si>
  <si>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</si>
  <si>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</si>
  <si>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</si>
  <si>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</si>
  <si>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</si>
  <si>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</si>
  <si>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</si>
  <si>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</si>
  <si>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</si>
  <si>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</si>
  <si>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</si>
  <si>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</si>
  <si>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</si>
  <si>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</si>
  <si>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</si>
  <si>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</si>
  <si>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</si>
  <si>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</si>
  <si>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</si>
  <si>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</si>
  <si>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</si>
  <si>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</si>
  <si>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</si>
  <si>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</si>
  <si>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</si>
  <si>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</si>
  <si>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</si>
  <si>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</si>
  <si>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</si>
  <si>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</si>
  <si>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</si>
  <si>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</si>
  <si>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</si>
  <si>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</si>
  <si>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</si>
  <si>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</si>
  <si>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</si>
  <si>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</si>
  <si>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</si>
  <si>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</si>
  <si>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</si>
  <si>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</si>
  <si>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</si>
  <si>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</si>
  <si>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</si>
  <si>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</si>
  <si>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</si>
  <si>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</si>
  <si>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</si>
  <si>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</si>
  <si>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</si>
  <si>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</si>
  <si>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</si>
  <si>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</si>
  <si>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</si>
  <si>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</si>
  <si>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</si>
  <si>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</si>
  <si>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</si>
  <si>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</si>
  <si>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</si>
  <si>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</si>
  <si>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</si>
  <si>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</si>
  <si>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</si>
  <si>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</si>
  <si>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</si>
  <si>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</si>
  <si>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</si>
  <si>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</si>
  <si>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</si>
  <si>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</si>
  <si>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</si>
  <si>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</si>
  <si>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</si>
  <si>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</si>
  <si>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</si>
  <si>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</si>
  <si>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</si>
  <si>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</si>
  <si>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</si>
  <si>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</si>
  <si>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</si>
  <si>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</si>
  <si>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</si>
  <si>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</si>
  <si>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</si>
  <si>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</si>
  <si>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</si>
  <si>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</si>
  <si>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</si>
  <si>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</si>
  <si>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</si>
  <si>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</si>
  <si>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</si>
  <si>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</si>
  <si>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</si>
  <si>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</si>
  <si>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</si>
  <si>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</si>
  <si>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</si>
  <si>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</si>
  <si>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</si>
  <si>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</si>
  <si>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</si>
  <si>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</si>
  <si>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</si>
  <si>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</si>
  <si>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</si>
  <si>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</si>
  <si>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</si>
  <si>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</si>
  <si>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</si>
  <si>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</si>
  <si>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</si>
  <si>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</si>
  <si>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</si>
  <si>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</si>
  <si>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</si>
  <si>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</si>
  <si>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</si>
  <si>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</si>
  <si>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</si>
  <si>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</si>
  <si>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</si>
  <si>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</si>
  <si>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</si>
  <si>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</si>
  <si>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</si>
  <si>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</si>
  <si>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</si>
  <si>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</si>
  <si>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</si>
  <si>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</si>
  <si>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</si>
  <si>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</si>
  <si>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</si>
  <si>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</si>
  <si>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</si>
  <si>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</si>
  <si>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</si>
  <si>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</si>
  <si>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</si>
  <si>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</si>
  <si>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</si>
  <si>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</si>
  <si>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</si>
  <si>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</si>
  <si>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</si>
  <si>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</si>
  <si>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</si>
  <si>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</si>
  <si>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</si>
  <si>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</si>
  <si>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</si>
  <si>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</si>
  <si>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</si>
  <si>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</si>
  <si>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</si>
  <si>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</si>
  <si>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</si>
  <si>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</si>
  <si>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</si>
  <si>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</si>
  <si>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</si>
  <si>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</si>
  <si>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</si>
  <si>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</si>
  <si>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</si>
  <si>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</si>
  <si>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</si>
  <si>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</si>
  <si>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</si>
  <si>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</si>
  <si>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</si>
  <si>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</si>
  <si>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</si>
  <si>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</si>
  <si>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</si>
  <si>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</si>
  <si>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</si>
  <si>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</si>
  <si>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</si>
  <si>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</si>
  <si>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</si>
  <si>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</si>
  <si>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</si>
  <si>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</si>
  <si>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</si>
  <si>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</si>
  <si>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</si>
  <si>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</si>
  <si>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</si>
  <si>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</si>
  <si>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</si>
  <si>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</si>
  <si>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</si>
  <si>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</si>
  <si>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</si>
  <si>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</si>
  <si>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</si>
  <si>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</si>
  <si>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</si>
  <si>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</si>
  <si>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</si>
  <si>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</si>
  <si>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</si>
  <si>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</si>
  <si>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</si>
  <si>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</si>
  <si>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</si>
  <si>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</si>
  <si>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</si>
  <si>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</si>
  <si>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</si>
  <si>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</si>
  <si>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</si>
  <si>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</si>
  <si>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</si>
  <si>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</si>
  <si>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</si>
  <si>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</si>
  <si>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</si>
  <si>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</si>
  <si>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</si>
  <si>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</si>
  <si>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</si>
  <si>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</si>
  <si>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</si>
  <si>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</si>
  <si>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</si>
  <si>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</si>
  <si>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</si>
  <si>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</si>
  <si>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</si>
  <si>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</si>
  <si>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</si>
  <si>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</si>
  <si>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</si>
  <si>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</si>
  <si>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</si>
  <si>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</si>
  <si>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</si>
  <si>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</si>
  <si>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</si>
  <si>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</si>
  <si>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</si>
  <si>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</si>
  <si>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</si>
  <si>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</si>
  <si>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</si>
  <si>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</si>
  <si>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</si>
  <si>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</si>
  <si>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</si>
  <si>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</si>
  <si>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</si>
  <si>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</si>
  <si>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</si>
  <si>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</si>
  <si>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</si>
  <si>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</si>
  <si>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</si>
  <si>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</si>
  <si>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</si>
  <si>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</si>
  <si>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</si>
  <si>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</si>
  <si>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</si>
  <si>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</si>
  <si>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</si>
  <si>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</si>
  <si>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</si>
  <si>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</si>
  <si>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</si>
  <si>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</si>
  <si>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</si>
  <si>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</si>
  <si>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</si>
  <si>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</si>
  <si>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</si>
  <si>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</si>
  <si>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</si>
  <si>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</si>
  <si>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</si>
  <si>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</si>
  <si>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</si>
  <si>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</si>
  <si>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</si>
  <si>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</si>
  <si>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</si>
  <si>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</si>
  <si>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</si>
  <si>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</si>
  <si>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</si>
  <si>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</si>
  <si>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</si>
  <si>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</si>
  <si>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</si>
  <si>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</si>
  <si>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</si>
  <si>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</si>
  <si>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</si>
  <si>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</si>
  <si>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</si>
  <si>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</si>
  <si>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</si>
  <si>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</si>
  <si>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</si>
  <si>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</si>
  <si>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</si>
  <si>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</si>
  <si>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</si>
  <si>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</si>
  <si>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</si>
  <si>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</si>
  <si>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</si>
  <si>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</si>
  <si>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</si>
  <si>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</si>
  <si>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</si>
  <si>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</si>
  <si>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</si>
  <si>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</si>
  <si>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</si>
  <si>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</si>
  <si>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</si>
  <si>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</si>
  <si>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</si>
  <si>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</si>
  <si>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</si>
  <si>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</si>
  <si>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</si>
  <si>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</si>
  <si>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</si>
  <si>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</si>
  <si>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</si>
  <si>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</si>
  <si>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</si>
  <si>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</si>
  <si>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</si>
  <si>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</si>
  <si>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</si>
  <si>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</si>
  <si>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</si>
  <si>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</si>
  <si>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</si>
  <si>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</si>
  <si>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</si>
  <si>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</si>
  <si>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</si>
  <si>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</si>
  <si>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</si>
  <si>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</si>
  <si>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</si>
  <si>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</si>
  <si>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</si>
  <si>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</si>
  <si>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</si>
  <si>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</si>
  <si>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</si>
  <si>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</si>
  <si>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</si>
  <si>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</si>
  <si>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</si>
  <si>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</si>
  <si>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</si>
  <si>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</si>
  <si>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</si>
  <si>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</si>
  <si>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</si>
  <si>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</si>
  <si>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</si>
  <si>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</si>
  <si>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</si>
  <si>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</si>
  <si>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</si>
  <si>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</si>
  <si>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</si>
  <si>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</si>
  <si>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</si>
  <si>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</si>
  <si>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</si>
  <si>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</si>
  <si>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</si>
  <si>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</si>
  <si>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</si>
  <si>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</si>
  <si>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</si>
  <si>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</si>
  <si>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</si>
  <si>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</si>
  <si>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</si>
  <si>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</si>
  <si>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</si>
  <si>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</si>
  <si>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</si>
  <si>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</si>
  <si>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</si>
  <si>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</si>
  <si>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</si>
  <si>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</si>
  <si>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</si>
  <si>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</si>
  <si>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</si>
  <si>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</si>
  <si>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</si>
  <si>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</si>
  <si>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</si>
  <si>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</si>
  <si>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</si>
  <si>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</si>
  <si>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</si>
  <si>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</si>
  <si>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</si>
  <si>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</si>
  <si>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</si>
  <si>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</si>
  <si>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</si>
  <si>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</si>
  <si>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</si>
  <si>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</si>
  <si>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</si>
  <si>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</si>
  <si>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</si>
  <si>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</si>
  <si>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</si>
  <si>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</si>
  <si>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</si>
  <si>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</si>
  <si>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</si>
  <si>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</si>
  <si>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</si>
  <si>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</si>
  <si>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</si>
  <si>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</si>
  <si>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</si>
  <si>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</si>
  <si>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</si>
  <si>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</si>
  <si>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</si>
  <si>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</si>
  <si>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</si>
  <si>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</si>
  <si>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</si>
  <si>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</si>
  <si>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</si>
  <si>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</si>
  <si>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</si>
  <si>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</si>
  <si>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</si>
  <si>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</si>
  <si>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</si>
  <si>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</si>
  <si>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</si>
  <si>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</si>
  <si>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</si>
  <si>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</si>
  <si>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</si>
  <si>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</si>
  <si>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</si>
  <si>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</si>
  <si>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</si>
  <si>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</si>
  <si>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</si>
  <si>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</si>
  <si>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</si>
  <si>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</si>
  <si>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</si>
  <si>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</si>
  <si>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</si>
  <si>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</si>
  <si>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</si>
  <si>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</si>
  <si>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</si>
  <si>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</si>
  <si>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</si>
  <si>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</si>
  <si>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</si>
  <si>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</si>
  <si>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</si>
  <si>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</si>
  <si>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</si>
  <si>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</si>
  <si>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</si>
  <si>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</si>
  <si>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</si>
  <si>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</si>
  <si>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</si>
  <si>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</si>
  <si>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</si>
  <si>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</si>
  <si>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</si>
  <si>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</si>
  <si>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</si>
  <si>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</si>
  <si>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</si>
  <si>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</si>
  <si>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</si>
  <si>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</si>
  <si>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</si>
  <si>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</si>
  <si>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</si>
  <si>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</si>
  <si>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</si>
  <si>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</si>
  <si>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</si>
  <si>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</si>
  <si>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</si>
  <si>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</si>
  <si>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</si>
  <si>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</si>
  <si>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</si>
  <si>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</si>
  <si>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</si>
  <si>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</si>
  <si>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</si>
  <si>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</si>
  <si>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</si>
  <si>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</si>
  <si>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</si>
  <si>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</si>
  <si>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</si>
  <si>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</si>
  <si>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</si>
  <si>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</si>
  <si>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</si>
  <si>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</si>
  <si>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</si>
  <si>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</si>
  <si>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</si>
  <si>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</si>
  <si>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</si>
  <si>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</si>
  <si>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</si>
  <si>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</si>
  <si>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</si>
  <si>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</si>
  <si>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</si>
  <si>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</si>
  <si>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</si>
  <si>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</si>
  <si>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</si>
  <si>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</si>
  <si>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</si>
  <si>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</si>
  <si>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</si>
  <si>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</si>
  <si>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</si>
  <si>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</si>
  <si>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</si>
  <si>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</si>
  <si>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</si>
  <si>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</si>
  <si>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</si>
  <si>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</si>
  <si>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</si>
  <si>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</si>
  <si>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</si>
  <si>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</si>
  <si>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</si>
  <si>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</si>
  <si>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</si>
  <si>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</si>
  <si>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</si>
  <si>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</si>
  <si>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</si>
  <si>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</si>
  <si>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</si>
  <si>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</si>
  <si>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</si>
  <si>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</si>
  <si>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</si>
  <si>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</si>
  <si>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</si>
  <si>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</si>
  <si>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</si>
  <si>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</si>
  <si>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</si>
  <si>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</si>
  <si>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</si>
  <si>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</si>
  <si>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</si>
  <si>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</si>
  <si>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</si>
  <si>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</si>
  <si>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</si>
  <si>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</si>
  <si>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</si>
  <si>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</si>
  <si>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</si>
  <si>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</si>
  <si>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</si>
  <si>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</si>
  <si>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</si>
  <si>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</si>
  <si>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</si>
  <si>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</si>
  <si>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</si>
  <si>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</si>
  <si>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</si>
  <si>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</si>
  <si>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</si>
  <si>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</si>
  <si>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</si>
  <si>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</si>
  <si>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</si>
  <si>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</si>
  <si>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</si>
  <si>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</si>
  <si>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</si>
  <si>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</si>
  <si>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</si>
  <si>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</si>
  <si>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</si>
  <si>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</si>
  <si>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</si>
  <si>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</si>
  <si>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</si>
  <si>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</si>
  <si>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</si>
  <si>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</si>
  <si>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</si>
  <si>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</si>
  <si>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</si>
  <si>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</si>
  <si>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</si>
  <si>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</si>
  <si>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</si>
  <si>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</si>
  <si>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</si>
  <si>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</si>
  <si>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</si>
  <si>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</si>
  <si>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</si>
  <si>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</si>
  <si>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</si>
  <si>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</si>
  <si>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</si>
  <si>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</si>
  <si>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</si>
  <si>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</si>
  <si>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</si>
  <si>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</si>
  <si>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</si>
  <si>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</si>
  <si>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</si>
  <si>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</si>
  <si>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</si>
  <si>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</si>
  <si>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</si>
  <si>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</si>
  <si>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</si>
  <si>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</si>
  <si>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</si>
  <si>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</si>
  <si>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</si>
  <si>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</si>
  <si>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</si>
  <si>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</si>
  <si>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</si>
  <si>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</si>
  <si>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</si>
  <si>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</si>
  <si>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</si>
  <si>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</si>
  <si>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</si>
  <si>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</si>
  <si>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</si>
  <si>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</si>
  <si>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</si>
  <si>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</si>
  <si>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</si>
  <si>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</si>
  <si>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</si>
  <si>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</si>
  <si>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</si>
  <si>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</si>
  <si>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</si>
  <si>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</si>
  <si>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</si>
  <si>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</si>
  <si>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</si>
  <si>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</si>
  <si>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</si>
  <si>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</si>
  <si>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</si>
  <si>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</si>
  <si>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</si>
  <si>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</si>
  <si>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</si>
  <si>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</si>
  <si>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</si>
  <si>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</si>
  <si>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</si>
  <si>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</si>
  <si>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</si>
  <si>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</si>
  <si>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</si>
  <si>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</si>
  <si>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</si>
  <si>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</si>
  <si>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</si>
  <si>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</si>
  <si>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</si>
  <si>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</si>
  <si>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</si>
  <si>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</si>
  <si>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</si>
  <si>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</si>
  <si>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</si>
  <si>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</si>
  <si>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</si>
  <si>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</si>
  <si>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</si>
  <si>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</si>
  <si>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</si>
  <si>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</si>
  <si>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</si>
  <si>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</si>
  <si>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</si>
  <si>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</si>
  <si>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</si>
  <si>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</si>
  <si>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</si>
  <si>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</si>
  <si>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</si>
  <si>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</si>
  <si>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</si>
  <si>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</si>
  <si>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</si>
  <si>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</si>
  <si>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</si>
  <si>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</si>
  <si>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</si>
  <si>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</si>
  <si>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</si>
  <si>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</si>
  <si>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</si>
  <si>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</si>
  <si>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</si>
  <si>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</si>
  <si>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</si>
  <si>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</si>
  <si>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</si>
  <si>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</si>
  <si>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</si>
  <si>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</si>
  <si>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</si>
  <si>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</si>
  <si>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</si>
  <si>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</si>
  <si>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</si>
  <si>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</si>
  <si>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</si>
  <si>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</si>
  <si>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</si>
  <si>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</si>
  <si>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</si>
  <si>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</si>
  <si>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</si>
  <si>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</si>
  <si>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</si>
  <si>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</si>
  <si>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</si>
  <si>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</si>
  <si>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</si>
  <si>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</si>
  <si>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</si>
  <si>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</si>
  <si>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</si>
  <si>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</si>
  <si>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</si>
  <si>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</si>
  <si>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</si>
  <si>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</si>
  <si>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</si>
  <si>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</si>
  <si>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</si>
  <si>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</si>
  <si>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</si>
  <si>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</si>
  <si>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</si>
  <si>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</si>
  <si>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</si>
  <si>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</si>
  <si>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</si>
  <si>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</si>
  <si>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</si>
  <si>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</si>
  <si>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</si>
  <si>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</si>
  <si>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</si>
  <si>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</si>
  <si>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</si>
  <si>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</si>
  <si>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</si>
  <si>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</si>
  <si>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</si>
  <si>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</si>
  <si>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</si>
  <si>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</si>
  <si>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</si>
  <si>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</si>
  <si>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</si>
  <si>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</si>
  <si>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</si>
  <si>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</si>
  <si>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</si>
  <si>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</si>
  <si>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</si>
  <si>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</si>
  <si>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</si>
  <si>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</si>
  <si>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</si>
  <si>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</si>
  <si>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</si>
  <si>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</si>
  <si>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</si>
  <si>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</si>
  <si>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</si>
  <si>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</si>
  <si>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</si>
  <si>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</si>
  <si>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</si>
  <si>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</si>
  <si>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</si>
  <si>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</si>
  <si>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</si>
  <si>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</si>
  <si>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</si>
  <si>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</si>
  <si>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</si>
  <si>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</si>
  <si>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</si>
  <si>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</si>
  <si>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</si>
  <si>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</si>
  <si>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</si>
  <si>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</si>
  <si>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</si>
  <si>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</si>
  <si>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</si>
  <si>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</si>
  <si>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</si>
  <si>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</si>
  <si>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</si>
  <si>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</si>
  <si>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</si>
  <si>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</si>
  <si>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</si>
  <si>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</si>
  <si>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</si>
  <si>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</si>
  <si>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</si>
  <si>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</si>
  <si>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</si>
  <si>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</si>
  <si>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</si>
  <si>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</si>
  <si>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</si>
  <si>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</si>
  <si>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</si>
  <si>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</si>
  <si>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</si>
  <si>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</si>
  <si>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</si>
  <si>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</si>
  <si>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</si>
  <si>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</si>
  <si>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</si>
  <si>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</si>
  <si>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</si>
  <si>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</si>
  <si>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</si>
  <si>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</si>
  <si>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</si>
  <si>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</si>
  <si>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</si>
  <si>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</si>
  <si>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</si>
  <si>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</si>
  <si>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</si>
  <si>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</si>
  <si>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</si>
  <si>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</si>
  <si>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</si>
  <si>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</si>
  <si>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</si>
  <si>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</si>
  <si>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</si>
  <si>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</si>
  <si>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</si>
  <si>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</si>
  <si>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</si>
  <si>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</si>
  <si>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</si>
  <si>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</si>
  <si>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</si>
  <si>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</si>
  <si>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</si>
  <si>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</si>
  <si>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</si>
  <si>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</si>
  <si>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</si>
  <si>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</si>
  <si>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</si>
  <si>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</si>
  <si>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</si>
  <si>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</si>
  <si>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</si>
  <si>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</si>
  <si>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</si>
  <si>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</si>
  <si>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</si>
  <si>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</si>
  <si>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</si>
  <si>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</si>
  <si>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</si>
  <si>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</si>
  <si>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</si>
  <si>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</si>
  <si>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</si>
  <si>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</si>
  <si>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</si>
  <si>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</si>
  <si>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</si>
  <si>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</si>
  <si>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</si>
  <si>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</si>
  <si>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</si>
  <si>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</si>
  <si>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</si>
  <si>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</si>
  <si>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</si>
  <si>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</si>
  <si>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</si>
  <si>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</si>
  <si>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</si>
  <si>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</si>
  <si>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</si>
  <si>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</si>
  <si>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</si>
  <si>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</si>
  <si>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</si>
  <si>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</si>
  <si>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</si>
  <si>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</si>
  <si>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</si>
  <si>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</si>
  <si>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</si>
  <si>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</si>
  <si>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</si>
  <si>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</si>
  <si>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</si>
  <si>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</si>
  <si>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</si>
  <si>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</si>
  <si>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</si>
  <si>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</si>
  <si>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</si>
  <si>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</si>
  <si>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</si>
  <si>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</si>
  <si>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</si>
  <si>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</si>
  <si>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</si>
  <si>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</si>
  <si>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</si>
  <si>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</si>
  <si>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</si>
  <si>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</si>
  <si>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</si>
  <si>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</si>
  <si>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</si>
  <si>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</si>
  <si>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</si>
  <si>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</si>
  <si>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</si>
  <si>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</si>
  <si>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</si>
  <si>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</si>
  <si>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</si>
  <si>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</si>
  <si>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</si>
  <si>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</si>
  <si>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</si>
  <si>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</si>
  <si>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</si>
  <si>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</si>
  <si>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</si>
  <si>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</si>
  <si>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</si>
  <si>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</si>
  <si>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</si>
  <si>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</si>
  <si>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</si>
  <si>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</si>
  <si>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</si>
  <si>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</si>
  <si>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</si>
  <si>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</si>
  <si>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</si>
  <si>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</si>
  <si>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</si>
  <si>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</si>
  <si>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</si>
  <si>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</si>
  <si>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</si>
  <si>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</si>
  <si>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</si>
  <si>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</si>
  <si>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</si>
  <si>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</si>
  <si>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</si>
  <si>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</si>
  <si>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</si>
  <si>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</si>
  <si>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</si>
  <si>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</si>
  <si>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</si>
  <si>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</si>
  <si>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</si>
  <si>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</si>
  <si>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</si>
  <si>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</si>
  <si>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</si>
  <si>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</si>
  <si>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</si>
  <si>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</si>
  <si>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</si>
  <si>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</si>
  <si>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</si>
  <si>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</si>
  <si>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</si>
  <si>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</si>
  <si>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</si>
  <si>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</si>
  <si>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</si>
  <si>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</si>
  <si>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</si>
  <si>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</si>
  <si>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</si>
  <si>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</si>
  <si>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</si>
  <si>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</si>
  <si>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</si>
  <si>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</si>
  <si>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</si>
  <si>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</si>
  <si>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</si>
  <si>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</si>
  <si>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</si>
  <si>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</si>
  <si>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</si>
  <si>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</si>
  <si>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</si>
  <si>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</si>
  <si>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</si>
  <si>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</si>
  <si>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</si>
  <si>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</si>
  <si>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</si>
  <si>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</si>
  <si>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</si>
  <si>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</si>
  <si>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</si>
  <si>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</si>
  <si>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</si>
  <si>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</si>
  <si>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</si>
  <si>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</si>
  <si>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</si>
  <si>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</si>
  <si>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</si>
  <si>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</si>
  <si>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</si>
  <si>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</si>
  <si>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</si>
  <si>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</si>
  <si>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</si>
  <si>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</si>
  <si>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</si>
  <si>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</si>
  <si>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</si>
  <si>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</si>
  <si>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</si>
  <si>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</si>
  <si>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</si>
  <si>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</si>
  <si>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</si>
  <si>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</si>
  <si>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</si>
  <si>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</si>
  <si>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</si>
  <si>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</si>
  <si>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</si>
  <si>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</si>
  <si>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</si>
  <si>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</si>
  <si>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</si>
  <si>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</si>
  <si>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</si>
  <si>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</si>
  <si>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</si>
  <si>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</si>
  <si>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</si>
  <si>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</si>
  <si>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</si>
  <si>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</si>
  <si>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</si>
  <si>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</si>
  <si>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</si>
  <si>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</si>
  <si>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</si>
  <si>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</si>
  <si>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</si>
  <si>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</si>
  <si>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</si>
  <si>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</si>
  <si>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</si>
  <si>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</si>
  <si>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</si>
  <si>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</si>
  <si>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</si>
  <si>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</si>
  <si>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</si>
  <si>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</si>
  <si>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</si>
  <si>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</si>
  <si>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</si>
  <si>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</si>
  <si>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</si>
  <si>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</si>
  <si>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</si>
  <si>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</si>
  <si>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</si>
  <si>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</si>
  <si>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</si>
  <si>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</si>
  <si>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</si>
  <si>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</si>
  <si>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</si>
  <si>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</si>
  <si>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</si>
  <si>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</si>
  <si>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</si>
  <si>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</si>
  <si>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</si>
  <si>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</si>
  <si>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</si>
  <si>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</si>
  <si>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</si>
  <si>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</si>
  <si>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</si>
  <si>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</si>
  <si>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</si>
  <si>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</si>
  <si>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</si>
  <si>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</si>
  <si>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</si>
  <si>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</si>
  <si>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</si>
  <si>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</si>
  <si>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</si>
  <si>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</si>
  <si>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</si>
  <si>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</si>
  <si>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</si>
  <si>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</si>
  <si>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</si>
  <si>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</si>
  <si>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</si>
  <si>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</si>
  <si>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</si>
  <si>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</si>
  <si>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</si>
  <si>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</si>
  <si>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</si>
  <si>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</si>
  <si>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</si>
  <si>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</si>
  <si>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</si>
  <si>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</si>
  <si>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</si>
  <si>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</si>
  <si>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</si>
  <si>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</si>
  <si>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</si>
  <si>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</si>
  <si>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</si>
  <si>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</si>
  <si>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</si>
  <si>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</si>
  <si>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</si>
  <si>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</si>
  <si>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</si>
  <si>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</si>
  <si>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</si>
  <si>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</si>
  <si>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</si>
  <si>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</si>
  <si>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</si>
  <si>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</si>
  <si>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</si>
  <si>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</si>
  <si>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</si>
  <si>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</si>
  <si>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</si>
  <si>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</si>
  <si>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</si>
  <si>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</si>
  <si>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</si>
  <si>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</si>
  <si>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</si>
  <si>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</si>
  <si>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</si>
  <si>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</si>
  <si>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</si>
  <si>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</si>
  <si>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</si>
  <si>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</si>
  <si>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</si>
  <si>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</si>
  <si>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</si>
  <si>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</si>
  <si>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</si>
  <si>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</si>
  <si>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</si>
  <si>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</si>
  <si>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</si>
  <si>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</si>
  <si>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</si>
  <si>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</si>
  <si>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</si>
  <si>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</si>
  <si>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</si>
  <si>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</si>
  <si>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</si>
  <si>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</si>
  <si>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</si>
  <si>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</si>
  <si>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</si>
  <si>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</si>
  <si>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</si>
  <si>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</si>
  <si>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</si>
  <si>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</si>
  <si>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</si>
  <si>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</si>
  <si>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</si>
  <si>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</si>
  <si>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</si>
  <si>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</si>
  <si>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</si>
  <si>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</si>
  <si>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</si>
  <si>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</si>
  <si>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</si>
  <si>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</si>
  <si>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</si>
  <si>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</si>
  <si>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</si>
  <si>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</si>
  <si>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</si>
  <si>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</si>
  <si>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</si>
  <si>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</si>
  <si>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</si>
  <si>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</si>
  <si>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</si>
  <si>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</si>
  <si>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</si>
  <si>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</si>
  <si>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</si>
  <si>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</si>
  <si>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</si>
  <si>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</si>
  <si>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</si>
  <si>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</si>
  <si>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</si>
  <si>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</si>
  <si>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</si>
  <si>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</si>
  <si>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</si>
  <si>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</si>
  <si>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</si>
  <si>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</si>
  <si>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</si>
  <si>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</si>
  <si>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</si>
  <si>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</si>
  <si>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</si>
  <si>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</si>
  <si>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</si>
  <si>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</si>
  <si>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</si>
  <si>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</si>
  <si>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</si>
  <si>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</si>
  <si>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</si>
  <si>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</si>
  <si>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</si>
  <si>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</si>
  <si>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</si>
  <si>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</si>
  <si>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</si>
  <si>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</si>
  <si>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</si>
  <si>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</si>
  <si>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</si>
  <si>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</si>
  <si>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</si>
  <si>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</si>
  <si>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</si>
  <si>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</si>
  <si>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</si>
  <si>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</si>
  <si>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</si>
  <si>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</si>
  <si>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</si>
  <si>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</si>
  <si>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</si>
  <si>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</si>
  <si>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</si>
  <si>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</si>
  <si>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</si>
  <si>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</si>
  <si>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</si>
  <si>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</si>
  <si>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</si>
  <si>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</si>
  <si>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</si>
  <si>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</si>
  <si>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</si>
  <si>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</si>
  <si>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</si>
  <si>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</si>
  <si>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</si>
  <si>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</si>
  <si>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</si>
  <si>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</si>
  <si>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</si>
  <si>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</si>
  <si>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</si>
  <si>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</si>
  <si>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</si>
  <si>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</si>
  <si>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</si>
  <si>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</si>
  <si>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</si>
  <si>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</si>
  <si>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</si>
  <si>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</si>
  <si>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</si>
  <si>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</si>
  <si>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</si>
  <si>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</si>
  <si>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</si>
  <si>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</si>
  <si>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</si>
  <si>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</si>
  <si>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</si>
  <si>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</si>
  <si>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</si>
  <si>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</si>
  <si>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</si>
  <si>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</si>
  <si>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</si>
  <si>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</si>
  <si>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</si>
  <si>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</si>
  <si>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</si>
  <si>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</si>
  <si>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</si>
  <si>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</si>
  <si>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</si>
  <si>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</si>
  <si>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</si>
  <si>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</si>
  <si>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</si>
  <si>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</si>
  <si>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</si>
  <si>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</si>
  <si>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</si>
  <si>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</si>
  <si>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</si>
  <si>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</si>
  <si>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</si>
  <si>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</si>
  <si>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</si>
  <si>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</si>
  <si>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</si>
  <si>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</si>
  <si>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</si>
  <si>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</si>
  <si>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</si>
  <si>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</si>
  <si>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</si>
  <si>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</si>
  <si>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</si>
  <si>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</si>
  <si>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</si>
  <si>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</si>
  <si>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</si>
  <si>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</si>
  <si>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</si>
  <si>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</si>
  <si>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</si>
  <si>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</si>
  <si>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</si>
  <si>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</si>
  <si>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</si>
  <si>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</si>
  <si>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</si>
  <si>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</si>
  <si>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</si>
  <si>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</si>
  <si>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</si>
  <si>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</si>
  <si>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</si>
  <si>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</si>
  <si>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</si>
  <si>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</si>
  <si>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</si>
  <si>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</si>
  <si>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</si>
  <si>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</si>
  <si>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</si>
  <si>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</si>
  <si>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</si>
  <si>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</si>
  <si>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</si>
  <si>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</si>
  <si>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</si>
  <si>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</si>
  <si>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</si>
  <si>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</si>
  <si>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</si>
  <si>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</si>
  <si>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</si>
  <si>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</si>
  <si>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</si>
  <si>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</si>
  <si>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</si>
  <si>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</si>
  <si>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</si>
  <si>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</si>
  <si>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</si>
  <si>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</si>
  <si>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</si>
  <si>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</si>
  <si>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</si>
  <si>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</si>
  <si>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</si>
  <si>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</si>
  <si>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</si>
  <si>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</si>
  <si>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</si>
  <si>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</si>
  <si>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</si>
  <si>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</si>
  <si>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</si>
  <si>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</si>
  <si>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</si>
  <si>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</si>
  <si>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</si>
  <si>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</si>
  <si>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</si>
  <si>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</si>
  <si>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</si>
  <si>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</si>
  <si>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</si>
  <si>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</si>
  <si>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</si>
  <si>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</si>
  <si>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</si>
  <si>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</si>
  <si>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</si>
  <si>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</si>
  <si>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</si>
  <si>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</si>
  <si>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</si>
  <si>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</si>
  <si>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</si>
  <si>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</si>
  <si>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</si>
  <si>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</si>
  <si>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</si>
  <si>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</si>
  <si>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</si>
  <si>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</si>
  <si>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</si>
  <si>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</si>
  <si>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</si>
  <si>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</si>
  <si>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</si>
  <si>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</si>
  <si>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</si>
  <si>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</si>
  <si>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</si>
  <si>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</si>
  <si>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</si>
  <si>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</si>
  <si>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</si>
  <si>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</si>
  <si>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</si>
  <si>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</si>
  <si>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</si>
  <si>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</si>
  <si>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</si>
  <si>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</si>
  <si>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</si>
  <si>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</si>
  <si>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</si>
  <si>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</si>
  <si>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</si>
  <si>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</si>
  <si>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</si>
  <si>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</si>
  <si>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</si>
  <si>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</si>
  <si>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</si>
  <si>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</si>
  <si>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</si>
  <si>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</si>
  <si>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</si>
  <si>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</si>
  <si>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</si>
  <si>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</si>
  <si>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</si>
  <si>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</si>
  <si>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</si>
  <si>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</si>
  <si>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</si>
  <si>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</si>
  <si>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</si>
  <si>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</si>
  <si>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</si>
  <si>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</si>
  <si>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</si>
  <si>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</si>
  <si>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</si>
  <si>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</si>
  <si>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</si>
  <si>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</si>
  <si>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</si>
  <si>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</si>
  <si>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</si>
  <si>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</si>
  <si>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</si>
  <si>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</si>
  <si>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</si>
  <si>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</si>
  <si>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</si>
  <si>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</si>
  <si>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</si>
  <si>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</si>
  <si>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</si>
  <si>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</si>
  <si>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</si>
  <si>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</si>
  <si>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</si>
  <si>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</si>
  <si>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</si>
  <si>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</si>
  <si>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</si>
  <si>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</si>
  <si>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</si>
  <si>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</si>
  <si>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</si>
  <si>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</si>
  <si>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</si>
  <si>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</si>
  <si>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</si>
  <si>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</si>
  <si>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</si>
  <si>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</si>
  <si>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</si>
  <si>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</si>
  <si>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</si>
  <si>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</si>
  <si>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</si>
  <si>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</si>
  <si>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</si>
  <si>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</si>
  <si>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</si>
  <si>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</si>
  <si>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</si>
  <si>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</si>
  <si>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</si>
  <si>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</si>
  <si>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</si>
  <si>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</si>
  <si>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</si>
  <si>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</si>
  <si>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</si>
  <si>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</si>
  <si>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</si>
  <si>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</si>
  <si>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</si>
  <si>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</si>
  <si>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</si>
  <si>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</si>
  <si>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</si>
  <si>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</si>
  <si>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</si>
  <si>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</si>
  <si>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</si>
  <si>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</si>
  <si>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</si>
  <si>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</si>
  <si>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</si>
  <si>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</si>
  <si>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</si>
  <si>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</si>
  <si>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</si>
  <si>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</si>
  <si>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</si>
  <si>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</si>
  <si>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</si>
  <si>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</si>
  <si>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</si>
  <si>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</si>
  <si>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</si>
  <si>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</si>
  <si>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</si>
  <si>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</si>
  <si>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</si>
  <si>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</si>
  <si>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</si>
  <si>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</si>
  <si>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</si>
  <si>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</si>
  <si>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</si>
  <si>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</si>
  <si>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</si>
  <si>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</si>
  <si>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</si>
  <si>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</si>
  <si>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</si>
  <si>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</si>
  <si>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</si>
  <si>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</si>
  <si>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</si>
  <si>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</si>
  <si>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</si>
  <si>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</si>
  <si>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</si>
  <si>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</si>
  <si>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</si>
  <si>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</si>
  <si>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</si>
  <si>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</si>
  <si>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</si>
  <si>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</si>
  <si>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</si>
  <si>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</si>
  <si>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</si>
  <si>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</si>
  <si>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</si>
  <si>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</si>
  <si>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</si>
  <si>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</si>
  <si>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</si>
  <si>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</si>
  <si>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</si>
  <si>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</si>
  <si>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</si>
  <si>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</si>
  <si>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</si>
  <si>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</si>
  <si>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</si>
  <si>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</si>
  <si>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</si>
  <si>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</si>
  <si>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</si>
  <si>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</si>
  <si>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</si>
  <si>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</si>
  <si>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</si>
  <si>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</si>
  <si>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</si>
  <si>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</si>
  <si>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</si>
  <si>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</si>
  <si>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</si>
  <si>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</si>
  <si>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</si>
  <si>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</si>
  <si>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</si>
  <si>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</si>
  <si>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</si>
  <si>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</si>
  <si>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</si>
  <si>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</si>
  <si>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</si>
  <si>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</si>
  <si>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</si>
  <si>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</si>
  <si>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</si>
  <si>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</si>
  <si>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</si>
  <si>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</si>
  <si>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</si>
  <si>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</si>
  <si>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</si>
  <si>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</si>
  <si>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</si>
  <si>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</si>
  <si>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</si>
  <si>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</si>
  <si>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</si>
  <si>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</si>
  <si>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</si>
  <si>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</si>
  <si>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</si>
  <si>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</si>
  <si>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</si>
  <si>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</si>
  <si>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</si>
  <si>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</si>
  <si>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</si>
  <si>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</si>
  <si>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</si>
  <si>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</si>
  <si>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</si>
  <si>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</si>
  <si>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</si>
  <si>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</si>
  <si>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</si>
  <si>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</si>
  <si>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</si>
  <si>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</si>
  <si>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</si>
  <si>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</si>
  <si>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</si>
  <si>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</si>
  <si>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</si>
  <si>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</si>
  <si>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</si>
  <si>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</si>
  <si>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</si>
  <si>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</si>
  <si>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</si>
  <si>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</si>
  <si>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</si>
  <si>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</si>
  <si>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</si>
  <si>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</si>
  <si>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</si>
  <si>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</si>
  <si>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</si>
  <si>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</si>
  <si>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</si>
  <si>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</si>
  <si>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</si>
  <si>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</si>
  <si>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</si>
  <si>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</si>
  <si>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</si>
  <si>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</si>
  <si>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</si>
  <si>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</si>
  <si>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</si>
  <si>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</si>
  <si>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</si>
  <si>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</si>
  <si>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</si>
  <si>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</si>
  <si>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</si>
  <si>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</si>
  <si>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</si>
  <si>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</si>
  <si>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</si>
  <si>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</si>
  <si>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</si>
  <si>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</si>
  <si>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</si>
  <si>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</si>
  <si>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</si>
  <si>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</si>
  <si>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</si>
  <si>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</si>
  <si>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</si>
  <si>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</si>
  <si>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</si>
  <si>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</si>
  <si>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</si>
  <si>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</si>
  <si>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</si>
  <si>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</si>
  <si>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</si>
  <si>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</si>
  <si>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</si>
  <si>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</si>
  <si>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</si>
  <si>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</si>
  <si>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</si>
  <si>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</si>
  <si>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</si>
  <si>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</si>
  <si>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</si>
  <si>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</si>
  <si>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</si>
  <si>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</si>
  <si>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</si>
  <si>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</si>
  <si>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</si>
  <si>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</si>
  <si>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</si>
  <si>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</si>
  <si>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</si>
  <si>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</si>
  <si>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</si>
  <si>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</si>
  <si>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</si>
  <si>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</si>
  <si>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</si>
  <si>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</si>
  <si>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</si>
  <si>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</si>
  <si>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</si>
  <si>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</si>
  <si>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</si>
  <si>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</si>
  <si>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</si>
  <si>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</si>
  <si>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</si>
  <si>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</si>
  <si>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</si>
  <si>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</si>
  <si>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</si>
  <si>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</si>
  <si>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</si>
  <si>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</si>
  <si>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</si>
  <si>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</si>
  <si>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</si>
  <si>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</si>
  <si>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</si>
  <si>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</si>
  <si>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</si>
  <si>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</si>
  <si>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</si>
  <si>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</si>
  <si>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</si>
  <si>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</si>
  <si>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</si>
  <si>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</si>
  <si>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</si>
  <si>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</si>
  <si>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</si>
  <si>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</si>
  <si>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</si>
  <si>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</si>
  <si>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</si>
  <si>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</si>
  <si>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</si>
  <si>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</si>
  <si>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</si>
  <si>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</si>
  <si>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</si>
  <si>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</si>
  <si>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</si>
  <si>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</si>
  <si>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</si>
  <si>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</si>
  <si>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</si>
  <si>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</si>
  <si>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</si>
  <si>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</si>
  <si>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</si>
  <si>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</si>
  <si>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</si>
  <si>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</si>
  <si>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</si>
  <si>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</si>
  <si>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</si>
  <si>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</si>
  <si>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</si>
  <si>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</si>
  <si>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</si>
  <si>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</si>
  <si>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</si>
  <si>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</si>
  <si>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</si>
  <si>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</si>
  <si>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</si>
  <si>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</si>
  <si>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</si>
  <si>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</si>
  <si>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</si>
  <si>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</si>
  <si>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</si>
  <si>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</si>
  <si>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</si>
  <si>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</si>
  <si>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</si>
  <si>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</si>
  <si>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</si>
  <si>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</si>
  <si>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</si>
  <si>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</si>
  <si>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</si>
  <si>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</si>
  <si>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</si>
  <si>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</si>
  <si>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</si>
  <si>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</si>
  <si>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</si>
  <si>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</si>
  <si>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</si>
  <si>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</si>
  <si>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</si>
  <si>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</si>
  <si>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</si>
  <si>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</si>
  <si>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</si>
  <si>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</si>
  <si>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</si>
  <si>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</si>
  <si>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</si>
  <si>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</si>
  <si>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</si>
  <si>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</si>
  <si>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</si>
  <si>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</si>
  <si>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</si>
  <si>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</si>
  <si>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</si>
  <si>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</si>
  <si>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</si>
  <si>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</si>
  <si>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</si>
  <si>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</si>
  <si>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</si>
  <si>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</si>
  <si>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</si>
  <si>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</si>
  <si>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</si>
  <si>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</si>
  <si>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</si>
  <si>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</si>
  <si>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</si>
  <si>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</si>
  <si>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</si>
  <si>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</si>
  <si>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</si>
  <si>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</si>
  <si>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</si>
  <si>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</si>
  <si>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</si>
  <si>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</si>
  <si>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</si>
  <si>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</si>
  <si>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</si>
  <si>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</si>
  <si>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</si>
  <si>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</si>
  <si>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</si>
  <si>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</si>
  <si>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</si>
  <si>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</si>
  <si>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</si>
  <si>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</si>
  <si>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</si>
  <si>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</si>
  <si>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</si>
  <si>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</si>
  <si>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</si>
  <si>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</si>
  <si>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</si>
  <si>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</si>
  <si>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</si>
  <si>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</si>
  <si>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</si>
  <si>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</si>
  <si>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</si>
  <si>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</si>
  <si>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</si>
  <si>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</si>
  <si>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</si>
  <si>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</si>
  <si>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</si>
  <si>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</si>
  <si>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</si>
  <si>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</si>
  <si>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</si>
  <si>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</si>
  <si>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</si>
  <si>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</si>
  <si>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</si>
  <si>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</si>
  <si>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</si>
  <si>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</si>
  <si>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</si>
  <si>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</si>
  <si>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</si>
  <si>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</si>
  <si>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</si>
  <si>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</si>
  <si>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</si>
  <si>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</si>
  <si>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</si>
  <si>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</si>
  <si>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</si>
  <si>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</si>
  <si>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</si>
  <si>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</si>
  <si>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</si>
  <si>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</si>
  <si>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</si>
  <si>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</si>
  <si>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</si>
  <si>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</si>
  <si>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</si>
  <si>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</si>
  <si>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</si>
  <si>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</si>
  <si>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</si>
  <si>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</si>
  <si>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</si>
  <si>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</si>
  <si>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</si>
  <si>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</si>
  <si>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</si>
  <si>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</si>
  <si>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</si>
  <si>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</si>
  <si>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</si>
  <si>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</si>
  <si>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</si>
  <si>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</si>
  <si>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</si>
  <si>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</si>
  <si>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</si>
  <si>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</si>
  <si>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</si>
  <si>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</si>
  <si>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</si>
  <si>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</si>
  <si>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</si>
  <si>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</si>
  <si>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</si>
  <si>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</si>
  <si>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</si>
  <si>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</si>
  <si>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</si>
  <si>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</si>
  <si>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</si>
  <si>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</si>
  <si>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</si>
  <si>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</si>
  <si>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</si>
  <si>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</si>
  <si>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</si>
  <si>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</si>
  <si>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</si>
  <si>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</si>
  <si>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</si>
  <si>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</si>
  <si>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</si>
  <si>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</si>
  <si>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</si>
  <si>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</si>
  <si>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</si>
  <si>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</si>
  <si>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</si>
  <si>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</si>
  <si>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</si>
  <si>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</si>
  <si>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</si>
  <si>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</si>
  <si>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</si>
  <si>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</si>
  <si>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</si>
  <si>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</si>
  <si>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</si>
  <si>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</si>
  <si>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</si>
  <si>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</si>
  <si>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</si>
  <si>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</si>
  <si>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</si>
  <si>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</si>
  <si>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</si>
  <si>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</si>
  <si>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</si>
  <si>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</si>
  <si>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</si>
  <si>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</si>
  <si>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</si>
  <si>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</si>
  <si>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</si>
  <si>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</si>
  <si>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</si>
  <si>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</si>
  <si>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</si>
  <si>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</si>
  <si>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</si>
  <si>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</si>
  <si>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</si>
  <si>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</si>
  <si>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</si>
  <si>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</si>
  <si>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</si>
  <si>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</si>
  <si>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</si>
  <si>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</si>
  <si>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</si>
  <si>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</si>
  <si>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</si>
  <si>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</si>
  <si>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</si>
  <si>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</si>
  <si>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</si>
  <si>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</si>
  <si>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</si>
  <si>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</si>
  <si>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</si>
  <si>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</si>
  <si>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</si>
  <si>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</si>
  <si>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</si>
  <si>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</si>
  <si>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</si>
  <si>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</si>
  <si>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</si>
  <si>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</si>
  <si>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</si>
  <si>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</si>
  <si>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</si>
  <si>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</si>
  <si>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</si>
  <si>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</si>
  <si>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</si>
  <si>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</si>
  <si>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</si>
  <si>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</si>
  <si>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</si>
  <si>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</si>
  <si>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</si>
  <si>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</si>
  <si>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</si>
  <si>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</si>
  <si>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</si>
  <si>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</si>
  <si>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</si>
  <si>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</si>
  <si>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</si>
  <si>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</si>
  <si>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</si>
  <si>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</si>
  <si>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</si>
  <si>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</si>
  <si>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</si>
  <si>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</si>
  <si>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</si>
  <si>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</si>
  <si>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</si>
  <si>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</si>
  <si>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</si>
  <si>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</si>
  <si>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</si>
  <si>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</si>
  <si>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</si>
  <si>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</si>
  <si>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</si>
  <si>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</si>
  <si>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</si>
  <si>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</si>
  <si>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</si>
  <si>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</si>
  <si>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</si>
  <si>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</si>
  <si>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</si>
  <si>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</si>
  <si>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</si>
  <si>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</si>
  <si>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</si>
  <si>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</si>
  <si>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</si>
  <si>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</si>
  <si>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</si>
  <si>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</si>
  <si>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</si>
  <si>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</si>
  <si>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</si>
  <si>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</si>
  <si>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</si>
  <si>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</si>
  <si>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</si>
  <si>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</si>
  <si>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</si>
  <si>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</si>
  <si>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</si>
  <si>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</si>
  <si>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</si>
  <si>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</si>
  <si>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</si>
  <si>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</si>
  <si>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</si>
  <si>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</si>
  <si>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</si>
  <si>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</si>
  <si>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</si>
  <si>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</si>
  <si>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</si>
  <si>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</si>
  <si>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</si>
  <si>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</si>
  <si>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</si>
  <si>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</si>
  <si>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</si>
  <si>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</si>
  <si>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</si>
  <si>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</si>
  <si>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</si>
  <si>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</si>
  <si>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</si>
  <si>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</si>
  <si>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</si>
  <si>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</si>
  <si>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</si>
  <si>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</si>
  <si>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</si>
  <si>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</si>
  <si>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</si>
  <si>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</si>
  <si>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</si>
  <si>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</si>
  <si>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</si>
  <si>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</si>
  <si>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</si>
  <si>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</si>
  <si>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</si>
  <si>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</si>
  <si>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</si>
  <si>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</si>
  <si>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</si>
  <si>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</si>
  <si>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</si>
  <si>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</si>
  <si>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</si>
  <si>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</si>
  <si>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</si>
  <si>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</si>
  <si>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</si>
  <si>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</si>
  <si>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</si>
  <si>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</si>
  <si>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</si>
  <si>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</si>
  <si>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</si>
  <si>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</si>
  <si>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</si>
  <si>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</si>
  <si>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</si>
  <si>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</si>
  <si>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</si>
  <si>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</si>
  <si>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</si>
  <si>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</si>
  <si>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</si>
  <si>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</si>
  <si>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</si>
  <si>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</si>
  <si>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</si>
  <si>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</si>
  <si>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</si>
  <si>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</si>
  <si>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</si>
  <si>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</si>
  <si>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</si>
  <si>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</si>
  <si>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</si>
  <si>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</si>
  <si>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</si>
  <si>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</si>
  <si>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</si>
  <si>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</si>
  <si>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</si>
  <si>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</si>
  <si>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</si>
  <si>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</si>
  <si>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</si>
  <si>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</si>
  <si>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</si>
  <si>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</si>
  <si>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</si>
  <si>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</si>
  <si>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</si>
  <si>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</si>
  <si>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</si>
  <si>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</si>
  <si>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</si>
  <si>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</si>
  <si>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</si>
  <si>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</si>
  <si>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</si>
  <si>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</si>
  <si>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</si>
  <si>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</si>
  <si>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</si>
  <si>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</si>
  <si>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</si>
  <si>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</si>
  <si>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</si>
  <si>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</si>
  <si>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</si>
  <si>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</si>
  <si>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</si>
  <si>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</si>
  <si>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</si>
  <si>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</si>
  <si>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</si>
  <si>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</si>
  <si>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</si>
  <si>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</si>
  <si>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</si>
  <si>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</si>
  <si>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</si>
  <si>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</si>
  <si>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</si>
  <si>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</si>
  <si>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</si>
  <si>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</si>
  <si>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</si>
  <si>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</si>
  <si>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</si>
  <si>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</si>
  <si>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</si>
  <si>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</si>
  <si>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</si>
  <si>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</si>
  <si>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</si>
  <si>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</si>
  <si>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</si>
  <si>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</si>
  <si>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</si>
  <si>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</si>
  <si>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</si>
  <si>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</si>
  <si>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</si>
  <si>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</si>
  <si>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</si>
  <si>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</si>
  <si>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</si>
  <si>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</si>
  <si>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</si>
  <si>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</si>
  <si>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</si>
  <si>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</si>
  <si>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</si>
  <si>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</si>
  <si>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</si>
  <si>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</si>
  <si>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</si>
  <si>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</si>
  <si>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</si>
  <si>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</si>
  <si>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</si>
  <si>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</si>
  <si>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</si>
  <si>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</si>
  <si>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</si>
  <si>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</si>
  <si>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</si>
  <si>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</si>
  <si>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</si>
  <si>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</si>
  <si>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</si>
  <si>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</si>
  <si>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</si>
  <si>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</si>
  <si>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</si>
  <si>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</si>
  <si>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</si>
  <si>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</si>
  <si>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</si>
  <si>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</si>
  <si>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</si>
  <si>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</si>
  <si>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</si>
  <si>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</si>
  <si>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</si>
  <si>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</si>
  <si>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</si>
  <si>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</si>
  <si>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</si>
  <si>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</si>
  <si>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</si>
  <si>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</si>
  <si>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</si>
  <si>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</si>
  <si>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</si>
  <si>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</si>
  <si>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</si>
  <si>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</si>
  <si>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</si>
  <si>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</si>
  <si>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</si>
  <si>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</si>
  <si>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</si>
  <si>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</si>
  <si>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</si>
  <si>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</si>
  <si>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</si>
  <si>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</si>
  <si>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</si>
  <si>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</si>
  <si>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</si>
  <si>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</si>
  <si>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</si>
  <si>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</si>
  <si>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</si>
  <si>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</si>
  <si>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</si>
  <si>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</si>
  <si>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</si>
  <si>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</si>
  <si>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</si>
  <si>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</si>
  <si>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</si>
  <si>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</si>
  <si>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</si>
  <si>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</si>
  <si>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</si>
  <si>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</si>
  <si>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</si>
  <si>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</si>
  <si>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</si>
  <si>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</si>
  <si>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</si>
  <si>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</si>
  <si>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</si>
  <si>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</si>
  <si>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</si>
  <si>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</si>
  <si>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</si>
  <si>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</si>
  <si>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</si>
  <si>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</si>
  <si>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</si>
  <si>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</si>
  <si>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</si>
  <si>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</si>
  <si>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</si>
  <si>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</si>
  <si>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</si>
  <si>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</si>
  <si>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</si>
  <si>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</si>
  <si>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</si>
  <si>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</si>
  <si>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</si>
  <si>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</si>
  <si>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</si>
  <si>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</si>
  <si>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</si>
  <si>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</si>
  <si>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</si>
  <si>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</si>
  <si>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</si>
  <si>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</si>
  <si>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</si>
  <si>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</si>
  <si>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</si>
  <si>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</si>
  <si>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</si>
  <si>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</si>
  <si>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</si>
  <si>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</si>
  <si>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</si>
  <si>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</si>
  <si>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</si>
  <si>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</si>
  <si>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</si>
  <si>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</si>
  <si>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</si>
  <si>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</si>
  <si>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</si>
  <si>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</si>
  <si>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</si>
  <si>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</si>
  <si>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</si>
  <si>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</si>
  <si>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</si>
  <si>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</si>
  <si>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</si>
  <si>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</si>
  <si>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</si>
  <si>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</si>
  <si>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</si>
  <si>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</si>
  <si>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</si>
  <si>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</si>
  <si>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</si>
  <si>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</si>
  <si>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</si>
  <si>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</si>
  <si>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</si>
  <si>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</si>
  <si>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</si>
  <si>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</si>
  <si>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</si>
  <si>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</si>
  <si>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</si>
  <si>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</si>
  <si>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</si>
  <si>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</si>
  <si>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</si>
  <si>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</si>
  <si>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</si>
  <si>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</si>
  <si>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</si>
  <si>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</si>
  <si>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</si>
  <si>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</si>
  <si>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</si>
  <si>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</si>
  <si>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</si>
  <si>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</si>
  <si>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</si>
  <si>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</si>
  <si>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</si>
  <si>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</si>
  <si>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</si>
  <si>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</si>
  <si>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</si>
  <si>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</si>
  <si>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</si>
  <si>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</si>
  <si>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</si>
  <si>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</si>
  <si>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</si>
  <si>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</si>
  <si>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</si>
  <si>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</si>
  <si>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</si>
  <si>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</si>
  <si>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</si>
  <si>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</si>
  <si>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</si>
  <si>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</si>
  <si>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</si>
  <si>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</si>
  <si>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</si>
  <si>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</si>
  <si>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</si>
  <si>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</si>
  <si>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</si>
  <si>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</si>
  <si>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</si>
  <si>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</si>
  <si>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</si>
  <si>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</si>
  <si>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</si>
  <si>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</si>
  <si>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</si>
  <si>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</si>
  <si>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</si>
  <si>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</si>
  <si>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</si>
  <si>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</si>
  <si>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</si>
  <si>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</si>
  <si>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</si>
  <si>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</si>
  <si>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</si>
  <si>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</si>
  <si>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</si>
  <si>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</si>
  <si>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</si>
  <si>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</si>
  <si>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</si>
  <si>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</si>
  <si>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</si>
  <si>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</si>
  <si>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</si>
  <si>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</si>
  <si>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</si>
  <si>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</si>
  <si>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</si>
  <si>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</si>
  <si>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</si>
  <si>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</si>
  <si>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</si>
  <si>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</si>
  <si>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</si>
  <si>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</si>
  <si>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</si>
  <si>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</si>
  <si>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</si>
  <si>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</si>
  <si>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</si>
  <si>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</si>
  <si>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</si>
  <si>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</si>
  <si>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</si>
  <si>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</si>
  <si>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</si>
  <si>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</si>
  <si>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</si>
  <si>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</si>
  <si>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</si>
  <si>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</si>
  <si>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</si>
  <si>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</si>
  <si>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</si>
  <si>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</si>
  <si>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</si>
  <si>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</si>
  <si>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</si>
  <si>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</si>
  <si>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</si>
  <si>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</si>
  <si>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</si>
  <si>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</si>
  <si>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</si>
  <si>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</si>
  <si>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</si>
  <si>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</si>
  <si>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</si>
  <si>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</si>
  <si>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</si>
  <si>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</si>
  <si>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</si>
  <si>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</si>
  <si>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</si>
  <si>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</si>
  <si>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</si>
  <si>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</si>
  <si>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</si>
  <si>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</si>
  <si>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</si>
  <si>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</si>
  <si>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</si>
  <si>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</si>
  <si>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</si>
  <si>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</si>
  <si>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</si>
  <si>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</si>
  <si>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</si>
  <si>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</si>
  <si>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</si>
  <si>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</si>
  <si>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</si>
  <si>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</si>
  <si>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</si>
  <si>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</si>
  <si>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</si>
  <si>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</si>
  <si>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</si>
  <si>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</si>
  <si>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</si>
  <si>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</si>
  <si>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</si>
  <si>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</si>
  <si>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</si>
  <si>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</si>
  <si>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</si>
  <si>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</si>
  <si>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</si>
  <si>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</si>
  <si>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</si>
  <si>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</si>
  <si>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</si>
  <si>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</si>
  <si>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</si>
  <si>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</si>
  <si>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</si>
  <si>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</si>
  <si>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</si>
  <si>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</si>
  <si>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</si>
  <si>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</si>
  <si>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</si>
  <si>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</si>
  <si>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</si>
  <si>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</si>
  <si>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</si>
  <si>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</si>
  <si>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</si>
  <si>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</si>
  <si>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</si>
  <si>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</si>
  <si>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</si>
  <si>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</si>
  <si>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</si>
  <si>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</si>
  <si>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</si>
  <si>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</si>
  <si>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</si>
  <si>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</si>
  <si>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</si>
  <si>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</si>
  <si>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</si>
  <si>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</si>
  <si>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</si>
  <si>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</si>
  <si>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</si>
  <si>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</si>
  <si>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</si>
  <si>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</si>
  <si>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</si>
  <si>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</si>
  <si>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</si>
  <si>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</si>
  <si>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</si>
  <si>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</si>
  <si>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</si>
  <si>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</si>
  <si>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</si>
  <si>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</si>
  <si>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</si>
  <si>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</si>
  <si>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</si>
  <si>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</si>
  <si>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</si>
  <si>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</si>
  <si>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</si>
  <si>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</si>
  <si>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</si>
  <si>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</si>
  <si>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</si>
  <si>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</si>
  <si>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</si>
  <si>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</si>
  <si>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</si>
  <si>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</si>
  <si>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</si>
  <si>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</si>
  <si>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</si>
  <si>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</si>
  <si>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</si>
  <si>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</si>
  <si>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</si>
  <si>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</si>
  <si>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</si>
  <si>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</si>
  <si>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</si>
  <si>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</si>
  <si>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</si>
  <si>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</si>
  <si>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</si>
  <si>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</si>
  <si>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</si>
  <si>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</si>
  <si>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</si>
  <si>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</si>
  <si>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</si>
  <si>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</si>
  <si>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</si>
  <si>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</si>
  <si>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</si>
  <si>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</si>
  <si>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</si>
  <si>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</si>
  <si>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</si>
  <si>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</si>
  <si>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</si>
  <si>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</si>
  <si>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</si>
  <si>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</si>
  <si>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</si>
  <si>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</si>
  <si>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</si>
  <si>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</si>
  <si>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</si>
  <si>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</si>
  <si>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</si>
  <si>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</si>
  <si>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</si>
  <si>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</si>
  <si>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</si>
  <si>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</si>
  <si>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</si>
  <si>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</si>
  <si>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</si>
  <si>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</si>
  <si>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</si>
  <si>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</si>
  <si>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</si>
  <si>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</si>
  <si>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</si>
  <si>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</si>
  <si>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</si>
  <si>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</si>
  <si>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</si>
  <si>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</si>
  <si>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</si>
  <si>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</si>
  <si>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</si>
  <si>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</si>
  <si>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</si>
  <si>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</si>
  <si>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</si>
  <si>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</si>
  <si>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</si>
  <si>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</si>
  <si>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</si>
  <si>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</si>
  <si>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</si>
  <si>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</si>
  <si>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</si>
  <si>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</si>
  <si>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</si>
  <si>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</si>
  <si>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</si>
  <si>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</si>
  <si>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</si>
  <si>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</si>
  <si>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</si>
  <si>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</si>
  <si>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</si>
  <si>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</si>
  <si>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</si>
  <si>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</si>
  <si>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</si>
  <si>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</si>
  <si>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</si>
  <si>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</si>
  <si>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</si>
  <si>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</si>
  <si>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</si>
  <si>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</si>
  <si>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</si>
  <si>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</si>
  <si>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</si>
  <si>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</si>
  <si>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</si>
  <si>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</si>
  <si>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</si>
  <si>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</si>
  <si>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</si>
  <si>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</si>
  <si>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</si>
  <si>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</si>
  <si>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</si>
  <si>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</si>
  <si>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</si>
  <si>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</si>
  <si>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</si>
  <si>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</si>
  <si>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</si>
  <si>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</si>
  <si>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</si>
  <si>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</si>
  <si>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</si>
  <si>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</si>
  <si>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</si>
  <si>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</si>
  <si>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</si>
  <si>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</si>
  <si>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</si>
  <si>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</si>
  <si>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</si>
  <si>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</si>
  <si>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</si>
  <si>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</si>
  <si>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</si>
  <si>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</si>
  <si>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</si>
  <si>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</si>
  <si>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</si>
  <si>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</si>
  <si>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</si>
  <si>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</si>
  <si>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</si>
  <si>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</si>
  <si>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</si>
  <si>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</si>
  <si>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</si>
  <si>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</si>
  <si>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</si>
  <si>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</si>
  <si>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</si>
  <si>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</si>
  <si>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</si>
  <si>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</si>
  <si>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</si>
  <si>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</si>
  <si>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</si>
  <si>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</si>
  <si>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</si>
  <si>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</si>
  <si>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</si>
  <si>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</si>
  <si>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</si>
  <si>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</si>
  <si>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</si>
  <si>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</si>
  <si>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</si>
  <si>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</si>
  <si>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</si>
  <si>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</si>
  <si>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</si>
  <si>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</si>
  <si>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</si>
  <si>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</si>
  <si>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</si>
  <si>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</si>
  <si>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</si>
  <si>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</si>
  <si>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</si>
  <si>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</si>
  <si>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</si>
  <si>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</si>
  <si>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</si>
  <si>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</si>
  <si>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</si>
  <si>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</si>
  <si>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</si>
  <si>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</si>
  <si>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</si>
  <si>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</si>
  <si>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</si>
  <si>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</si>
  <si>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</si>
  <si>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</si>
  <si>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</si>
  <si>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</si>
  <si>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</si>
  <si>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</si>
  <si>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</si>
  <si>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</si>
  <si>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</si>
  <si>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</si>
  <si>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</si>
  <si>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</si>
  <si>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</si>
  <si>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</si>
  <si>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</si>
  <si>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</si>
  <si>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</si>
  <si>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</si>
  <si>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</si>
  <si>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</si>
  <si>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</si>
  <si>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</si>
  <si>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</si>
  <si>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</si>
  <si>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</si>
  <si>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</si>
  <si>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</si>
  <si>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</si>
  <si>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</si>
  <si>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</si>
  <si>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</si>
  <si>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</si>
  <si>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</si>
  <si>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</si>
  <si>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</si>
  <si>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</si>
  <si>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</si>
  <si>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</si>
  <si>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</si>
  <si>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</si>
  <si>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</si>
  <si>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</si>
  <si>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</si>
  <si>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</si>
  <si>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</si>
  <si>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</si>
  <si>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</si>
  <si>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</si>
  <si>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</si>
  <si>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</si>
  <si>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</si>
  <si>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</si>
  <si>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</si>
  <si>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</si>
  <si>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</si>
  <si>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</si>
  <si>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</si>
  <si>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</si>
  <si>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</si>
  <si>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</si>
  <si>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</si>
  <si>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</si>
  <si>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</si>
  <si>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</si>
  <si>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</si>
  <si>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</si>
  <si>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</si>
  <si>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</si>
  <si>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</si>
  <si>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</si>
  <si>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</si>
  <si>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</si>
  <si>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</si>
  <si>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</si>
  <si>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</si>
  <si>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</si>
  <si>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</si>
  <si>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</si>
  <si>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</si>
  <si>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</si>
  <si>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</si>
  <si>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</si>
  <si>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</si>
  <si>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</si>
  <si>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</si>
  <si>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</si>
  <si>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</si>
  <si>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</si>
  <si>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</si>
  <si>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</si>
  <si>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</si>
  <si>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</si>
  <si>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</si>
  <si>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</si>
  <si>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</si>
  <si>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</si>
  <si>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</si>
  <si>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</si>
  <si>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</si>
  <si>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</si>
  <si>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</si>
  <si>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</si>
  <si>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</si>
  <si>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</si>
  <si>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</si>
  <si>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</si>
  <si>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</si>
  <si>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</si>
  <si>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</si>
  <si>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</si>
  <si>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</si>
  <si>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</si>
  <si>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</si>
  <si>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</si>
  <si>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</si>
  <si>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</si>
  <si>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</si>
  <si>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</si>
  <si>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</si>
  <si>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</si>
  <si>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</si>
  <si>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</si>
  <si>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</si>
  <si>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</si>
  <si>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</si>
  <si>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</si>
  <si>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</si>
  <si>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</si>
  <si>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</si>
  <si>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</si>
  <si>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</si>
  <si>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</si>
  <si>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</si>
  <si>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</si>
  <si>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</si>
  <si>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</si>
  <si>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</si>
  <si>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</si>
  <si>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</si>
  <si>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</si>
  <si>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</si>
  <si>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</si>
  <si>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</si>
  <si>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</si>
  <si>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</si>
  <si>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</si>
  <si>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</si>
  <si>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</si>
  <si>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</si>
  <si>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</si>
  <si>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</si>
  <si>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</si>
  <si>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</si>
  <si>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</si>
  <si>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</si>
  <si>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</si>
  <si>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</si>
  <si>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</si>
  <si>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</si>
  <si>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</si>
  <si>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</si>
  <si>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</si>
  <si>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</si>
  <si>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</si>
  <si>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</si>
  <si>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</si>
  <si>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</si>
  <si>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</si>
  <si>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</si>
  <si>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</si>
  <si>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</si>
  <si>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</si>
  <si>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</si>
  <si>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</si>
  <si>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</si>
  <si>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</si>
  <si>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</si>
  <si>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</si>
  <si>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</si>
  <si>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</si>
  <si>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</si>
  <si>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</si>
  <si>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</si>
  <si>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</si>
  <si>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</si>
  <si>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</si>
  <si>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</si>
  <si>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</si>
  <si>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</si>
  <si>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</si>
  <si>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</si>
  <si>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</si>
  <si>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</si>
  <si>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</si>
  <si>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</si>
  <si>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</si>
  <si>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</si>
  <si>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</si>
  <si>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</si>
  <si>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</si>
  <si>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</si>
  <si>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</si>
  <si>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</si>
  <si>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</si>
  <si>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</si>
  <si>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</si>
  <si>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</si>
  <si>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</si>
  <si>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</si>
  <si>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</si>
  <si>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</si>
  <si>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</si>
  <si>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</si>
  <si>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</si>
  <si>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</si>
  <si>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</si>
  <si>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</si>
  <si>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</si>
  <si>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</si>
  <si>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</si>
  <si>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</si>
  <si>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</si>
  <si>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</si>
  <si>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</si>
  <si>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</si>
  <si>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</si>
  <si>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</si>
  <si>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</si>
  <si>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</si>
  <si>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</si>
  <si>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</si>
  <si>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</si>
  <si>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</si>
  <si>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</si>
  <si>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</si>
  <si>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</si>
  <si>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</si>
  <si>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</si>
  <si>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</si>
  <si>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</si>
  <si>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</si>
  <si>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</si>
  <si>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</si>
  <si>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</si>
  <si>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</si>
  <si>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</si>
  <si>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</si>
  <si>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</si>
  <si>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</si>
  <si>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</si>
  <si>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</si>
  <si>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</si>
  <si>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</si>
  <si>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</si>
  <si>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</si>
  <si>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</si>
  <si>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</si>
  <si>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</si>
  <si>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</si>
  <si>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</si>
  <si>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</si>
  <si>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</si>
  <si>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</si>
  <si>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</si>
  <si>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</si>
  <si>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</si>
  <si>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</si>
  <si>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</si>
  <si>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</si>
  <si>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</si>
  <si>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</si>
  <si>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</si>
  <si>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</si>
  <si>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</si>
  <si>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</si>
  <si>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</si>
  <si>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</si>
  <si>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</si>
  <si>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</si>
  <si>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</si>
  <si>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</si>
  <si>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</si>
  <si>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</si>
  <si>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</si>
  <si>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</si>
  <si>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</si>
  <si>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</si>
  <si>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</si>
  <si>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</si>
  <si>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</si>
  <si>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</si>
  <si>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</si>
  <si>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</si>
  <si>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</si>
  <si>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</si>
  <si>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</si>
  <si>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</si>
  <si>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</si>
  <si>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</si>
  <si>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</si>
  <si>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</si>
  <si>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</si>
  <si>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</si>
  <si>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</si>
  <si>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</si>
  <si>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</si>
  <si>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</si>
  <si>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</si>
  <si>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</si>
  <si>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</si>
  <si>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</si>
  <si>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</si>
  <si>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</si>
  <si>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</si>
  <si>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</si>
  <si>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</si>
  <si>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</si>
  <si>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</si>
  <si>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</si>
  <si>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</si>
  <si>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</si>
  <si>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</si>
  <si>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</si>
  <si>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</si>
  <si>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</si>
  <si>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</si>
  <si>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</si>
  <si>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</si>
  <si>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</si>
  <si>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</si>
  <si>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</si>
  <si>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</si>
  <si>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</si>
  <si>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</si>
  <si>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</si>
  <si>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</si>
  <si>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</si>
  <si>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</si>
  <si>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</si>
  <si>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</si>
  <si>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</si>
  <si>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</si>
  <si>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</si>
  <si>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</si>
  <si>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</si>
  <si>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</si>
  <si>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</si>
  <si>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</si>
  <si>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</si>
  <si>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</si>
  <si>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</si>
  <si>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</si>
  <si>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</si>
  <si>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</si>
  <si>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</si>
  <si>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</si>
  <si>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</si>
  <si>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</si>
  <si>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</si>
  <si>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</si>
  <si>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</si>
  <si>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</si>
  <si>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</si>
  <si>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</si>
  <si>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</si>
  <si>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</si>
  <si>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</si>
  <si>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</si>
  <si>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</si>
  <si>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</si>
  <si>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</si>
  <si>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</si>
  <si>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</si>
  <si>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</si>
  <si>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</si>
  <si>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</si>
  <si>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</si>
  <si>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</si>
  <si>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</si>
  <si>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</si>
  <si>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</si>
  <si>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</si>
  <si>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</si>
  <si>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</si>
  <si>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</si>
  <si>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</si>
  <si>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</si>
  <si>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</si>
  <si>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</si>
  <si>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</si>
  <si>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</si>
  <si>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</si>
  <si>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</si>
  <si>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</si>
  <si>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</si>
  <si>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</si>
  <si>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</si>
  <si>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</si>
  <si>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</si>
  <si>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</si>
  <si>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</si>
  <si>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</si>
  <si>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</si>
  <si>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</si>
  <si>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</si>
  <si>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</si>
  <si>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</si>
  <si>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</si>
  <si>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</si>
  <si>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</si>
  <si>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</si>
  <si>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</si>
  <si>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</si>
  <si>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</si>
  <si>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</si>
  <si>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</si>
  <si>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</si>
  <si>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</si>
  <si>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</si>
  <si>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</si>
  <si>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</si>
  <si>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</si>
  <si>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</si>
  <si>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</si>
  <si>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</si>
  <si>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</si>
  <si>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</si>
  <si>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</si>
  <si>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</si>
  <si>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</si>
  <si>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</si>
  <si>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</si>
  <si>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</si>
  <si>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</si>
  <si>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</si>
  <si>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</si>
  <si>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</si>
  <si>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</si>
  <si>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</si>
  <si>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</si>
  <si>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</si>
  <si>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</si>
  <si>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</si>
  <si>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</si>
  <si>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</si>
  <si>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</si>
  <si>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</si>
  <si>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</si>
  <si>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</si>
  <si>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</si>
  <si>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</si>
  <si>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</si>
  <si>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</si>
  <si>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</si>
  <si>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</si>
  <si>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</si>
  <si>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</si>
  <si>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</si>
  <si>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</si>
  <si>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</si>
  <si>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</si>
  <si>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</si>
  <si>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</si>
  <si>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</si>
  <si>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</si>
  <si>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</si>
  <si>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</si>
  <si>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</si>
  <si>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</si>
  <si>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</si>
  <si>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</si>
  <si>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</si>
  <si>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</si>
  <si>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</si>
  <si>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</si>
  <si>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</si>
  <si>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</si>
  <si>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</si>
  <si>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</si>
  <si>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</si>
  <si>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</si>
  <si>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</si>
  <si>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</si>
  <si>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</si>
  <si>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</si>
  <si>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</si>
  <si>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</si>
  <si>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</si>
  <si>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</si>
  <si>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</si>
  <si>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</si>
  <si>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</si>
  <si>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</si>
  <si>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</si>
  <si>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</si>
  <si>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</si>
  <si>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</si>
  <si>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</si>
  <si>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</si>
  <si>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</si>
  <si>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</si>
  <si>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</si>
  <si>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</si>
  <si>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</si>
  <si>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</si>
  <si>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</si>
  <si>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</si>
  <si>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</si>
  <si>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</si>
  <si>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</si>
  <si>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</si>
  <si>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</si>
  <si>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</si>
  <si>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</si>
  <si>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</si>
  <si>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</si>
  <si>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</si>
  <si>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</si>
  <si>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</si>
  <si>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</si>
  <si>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</si>
  <si>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</si>
  <si>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</si>
  <si>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</si>
  <si>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</si>
  <si>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</si>
  <si>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</si>
  <si>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</si>
  <si>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</si>
  <si>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</si>
  <si>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</si>
  <si>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</si>
  <si>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</si>
  <si>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</si>
  <si>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</si>
  <si>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</si>
  <si>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</si>
  <si>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</si>
  <si>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</si>
  <si>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</si>
  <si>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</si>
  <si>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</si>
  <si>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</si>
  <si>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</si>
  <si>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</si>
  <si>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</si>
  <si>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</si>
  <si>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</si>
  <si>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</si>
  <si>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</si>
  <si>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</si>
  <si>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</si>
  <si>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</si>
  <si>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</si>
  <si>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</si>
  <si>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</si>
  <si>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</si>
  <si>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</si>
  <si>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</si>
  <si>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</si>
  <si>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</si>
  <si>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</si>
  <si>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</si>
  <si>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</si>
  <si>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</si>
  <si>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</si>
  <si>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</si>
  <si>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</si>
  <si>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</si>
  <si>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</si>
  <si>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</si>
  <si>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</si>
  <si>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</si>
  <si>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</si>
  <si>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</si>
  <si>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</si>
  <si>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</si>
  <si>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</si>
  <si>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</si>
  <si>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</si>
  <si>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</si>
  <si>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</si>
  <si>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</si>
  <si>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</si>
  <si>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</si>
  <si>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</si>
  <si>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</si>
  <si>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</si>
  <si>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</si>
  <si>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</si>
  <si>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</si>
  <si>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</si>
  <si>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</si>
  <si>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</si>
  <si>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</si>
  <si>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</si>
  <si>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</si>
  <si>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</si>
  <si>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</si>
  <si>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</si>
  <si>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</si>
  <si>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</si>
  <si>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</si>
  <si>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</si>
  <si>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</si>
  <si>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</si>
  <si>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</si>
  <si>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</si>
  <si>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</si>
  <si>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</si>
  <si>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</si>
  <si>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</si>
  <si>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</si>
  <si>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</si>
  <si>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</si>
  <si>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</si>
  <si>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</si>
  <si>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</si>
  <si>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</si>
  <si>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</si>
  <si>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</si>
  <si>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</si>
  <si>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</si>
  <si>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</si>
  <si>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</si>
  <si>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</si>
  <si>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</si>
  <si>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</si>
  <si>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</si>
  <si>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</si>
  <si>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</si>
  <si>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</si>
  <si>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</si>
  <si>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</si>
  <si>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</si>
  <si>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</si>
  <si>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</si>
  <si>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</si>
  <si>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</si>
  <si>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</si>
  <si>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</si>
  <si>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</si>
  <si>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</si>
  <si>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</si>
  <si>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</si>
  <si>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</si>
  <si>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</si>
  <si>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</si>
  <si>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</si>
  <si>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</si>
  <si>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</si>
  <si>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</si>
  <si>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</si>
  <si>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</si>
  <si>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</si>
  <si>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</si>
  <si>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</si>
  <si>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</si>
  <si>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</si>
  <si>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</si>
  <si>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</si>
  <si>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</si>
  <si>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</si>
  <si>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</si>
  <si>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</si>
  <si>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</si>
  <si>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</si>
  <si>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</si>
  <si>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</si>
  <si>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</si>
  <si>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</si>
  <si>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</si>
  <si>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</si>
  <si>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</si>
  <si>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</si>
  <si>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</si>
  <si>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</si>
  <si>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</si>
  <si>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</si>
  <si>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</si>
  <si>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</si>
  <si>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</si>
  <si>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</si>
  <si>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</si>
  <si>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</si>
  <si>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</si>
  <si>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</si>
  <si>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</si>
  <si>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</si>
  <si>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</si>
  <si>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</si>
  <si>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</si>
  <si>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</si>
  <si>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</si>
  <si>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</si>
  <si>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</si>
  <si>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</si>
  <si>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</si>
  <si>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</si>
  <si>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</si>
  <si>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</si>
  <si>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</si>
  <si>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</si>
  <si>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</si>
  <si>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</si>
  <si>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</si>
  <si>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</si>
  <si>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</si>
  <si>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</si>
  <si>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</si>
  <si>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</si>
  <si>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</si>
  <si>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</si>
  <si>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</si>
  <si>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</si>
  <si>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</si>
  <si>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</si>
  <si>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</si>
  <si>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</si>
  <si>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</si>
  <si>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</si>
  <si>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</si>
  <si>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</si>
  <si>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</si>
  <si>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</si>
  <si>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</si>
  <si>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</si>
  <si>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</si>
  <si>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</si>
  <si>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</si>
  <si>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</si>
  <si>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</si>
  <si>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</si>
  <si>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</si>
  <si>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</si>
  <si>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</si>
  <si>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</si>
  <si>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</si>
  <si>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</si>
  <si>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</si>
  <si>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</si>
  <si>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</si>
  <si>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</si>
  <si>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</si>
  <si>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</si>
  <si>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</si>
  <si>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</si>
  <si>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</si>
  <si>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</si>
  <si>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</si>
  <si>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</si>
  <si>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</si>
  <si>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</si>
  <si>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</si>
  <si>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</si>
  <si>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</si>
  <si>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</si>
  <si>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</si>
  <si>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</si>
  <si>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</si>
  <si>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</si>
  <si>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</si>
  <si>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</si>
  <si>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</si>
  <si>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</si>
  <si>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</si>
  <si>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</si>
  <si>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</si>
  <si>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</si>
  <si>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</si>
  <si>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</si>
  <si>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</si>
  <si>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</si>
  <si>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</si>
  <si>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</si>
  <si>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</si>
  <si>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</si>
  <si>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</si>
  <si>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</si>
  <si>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</si>
  <si>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</si>
  <si>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</si>
  <si>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</si>
  <si>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</si>
  <si>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</si>
  <si>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</si>
  <si>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</si>
  <si>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</si>
  <si>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</si>
  <si>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</si>
  <si>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</si>
  <si>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</si>
  <si>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</si>
  <si>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</si>
  <si>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</si>
  <si>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</si>
  <si>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</si>
  <si>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</si>
  <si>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</si>
  <si>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</si>
  <si>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</si>
  <si>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</si>
  <si>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</si>
  <si>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</si>
  <si>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</si>
  <si>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</si>
  <si>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</si>
  <si>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</si>
  <si>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</si>
  <si>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</si>
  <si>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</si>
  <si>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</si>
  <si>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</si>
  <si>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</si>
  <si>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</si>
  <si>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</si>
  <si>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</si>
  <si>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</si>
  <si>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</si>
  <si>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</si>
  <si>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</si>
  <si>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</si>
  <si>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</si>
  <si>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</si>
  <si>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</si>
  <si>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</si>
  <si>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</si>
  <si>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</si>
  <si>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</si>
  <si>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</si>
  <si>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</si>
  <si>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</si>
  <si>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</si>
  <si>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</si>
  <si>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</si>
  <si>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</si>
  <si>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</si>
  <si>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</si>
  <si>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</si>
  <si>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</si>
  <si>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</si>
  <si>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</si>
  <si>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</si>
  <si>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</si>
  <si>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</si>
  <si>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</si>
  <si>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</si>
  <si>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</si>
  <si>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</si>
  <si>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</si>
  <si>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</si>
  <si>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</si>
  <si>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</si>
  <si>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</si>
  <si>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</si>
  <si>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</si>
  <si>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</si>
  <si>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</si>
  <si>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</si>
  <si>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</si>
  <si>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</si>
  <si>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</si>
  <si>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</si>
  <si>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</si>
  <si>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</si>
  <si>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</si>
  <si>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</si>
  <si>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</si>
  <si>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</si>
  <si>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</si>
  <si>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</si>
  <si>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</si>
  <si>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</si>
  <si>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</si>
  <si>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</si>
  <si>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</si>
  <si>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</si>
  <si>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</si>
  <si>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</si>
  <si>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</si>
  <si>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</si>
  <si>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</si>
  <si>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</si>
  <si>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</si>
  <si>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</si>
  <si>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</si>
  <si>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</si>
  <si>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</si>
  <si>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</si>
  <si>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</si>
  <si>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</si>
  <si>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</si>
  <si>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</si>
  <si>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</si>
  <si>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</si>
  <si>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</si>
  <si>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</si>
  <si>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</si>
  <si>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</si>
  <si>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</si>
  <si>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</si>
  <si>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</si>
  <si>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</si>
  <si>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</si>
  <si>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</si>
  <si>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</si>
  <si>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</si>
  <si>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</si>
  <si>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</si>
  <si>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</si>
  <si>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</si>
  <si>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</si>
  <si>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</si>
  <si>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</si>
  <si>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</si>
  <si>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</si>
  <si>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</si>
  <si>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</si>
  <si>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</si>
  <si>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</si>
  <si>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</si>
  <si>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</si>
  <si>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</si>
  <si>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</si>
  <si>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</si>
  <si>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</si>
  <si>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</si>
  <si>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</si>
  <si>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</si>
  <si>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</si>
  <si>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</si>
  <si>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</si>
  <si>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</si>
  <si>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</si>
  <si>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</si>
  <si>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</si>
  <si>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</si>
  <si>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</si>
  <si>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</si>
  <si>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</si>
  <si>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</si>
  <si>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</si>
  <si>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</si>
  <si>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</si>
  <si>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</si>
  <si>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</si>
  <si>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</si>
  <si>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</si>
  <si>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</si>
  <si>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</si>
  <si>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</si>
  <si>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</si>
  <si>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</si>
  <si>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</si>
  <si>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</si>
  <si>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</si>
  <si>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</si>
  <si>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</si>
  <si>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</si>
  <si>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</si>
  <si>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</si>
  <si>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</si>
  <si>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</si>
  <si>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</si>
  <si>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</si>
  <si>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</si>
  <si>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</si>
  <si>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</si>
  <si>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</si>
  <si>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</si>
  <si>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</si>
  <si>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</si>
  <si>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</si>
  <si>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</si>
  <si>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</si>
  <si>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</si>
  <si>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</si>
  <si>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</si>
  <si>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</si>
  <si>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</si>
  <si>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</si>
  <si>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</si>
  <si>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</si>
  <si>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</si>
  <si>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</si>
  <si>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</si>
  <si>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</si>
  <si>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</si>
  <si>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</si>
  <si>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</si>
  <si>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</si>
  <si>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</si>
  <si>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</si>
  <si>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</si>
  <si>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</si>
  <si>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</si>
  <si>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</si>
  <si>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</si>
  <si>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</si>
  <si>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</si>
  <si>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</si>
  <si>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</si>
  <si>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</si>
  <si>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</si>
  <si>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</si>
  <si>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</si>
  <si>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</si>
  <si>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</si>
  <si>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</si>
  <si>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</si>
  <si>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</si>
  <si>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</si>
  <si>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</si>
  <si>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</si>
  <si>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</si>
  <si>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</si>
  <si>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</si>
  <si>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</si>
  <si>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</si>
  <si>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</si>
  <si>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</si>
  <si>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</si>
  <si>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</si>
  <si>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</si>
  <si>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</si>
  <si>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</si>
  <si>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</si>
  <si>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</si>
  <si>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</si>
  <si>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</si>
  <si>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</si>
  <si>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</si>
  <si>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</si>
  <si>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</si>
  <si>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</si>
  <si>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</si>
  <si>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</si>
  <si>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</si>
  <si>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</si>
  <si>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</si>
  <si>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</si>
  <si>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</si>
  <si>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</si>
  <si>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</si>
  <si>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</si>
  <si>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</si>
  <si>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</si>
  <si>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</si>
  <si>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</si>
  <si>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</si>
  <si>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</si>
  <si>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</si>
  <si>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</si>
  <si>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</si>
  <si>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</si>
  <si>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</si>
  <si>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</si>
  <si>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</si>
  <si>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</si>
  <si>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</si>
  <si>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</si>
  <si>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</si>
  <si>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</si>
  <si>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</si>
  <si>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</si>
  <si>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</si>
  <si>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</si>
  <si>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</si>
  <si>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</si>
  <si>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</si>
  <si>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</si>
  <si>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</si>
  <si>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</si>
  <si>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</si>
  <si>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</si>
  <si>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</si>
  <si>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</si>
  <si>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</si>
  <si>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</si>
  <si>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</si>
  <si>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</si>
  <si>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</si>
  <si>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</si>
  <si>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</si>
  <si>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</si>
  <si>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</si>
  <si>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</si>
  <si>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</si>
  <si>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</si>
  <si>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</si>
  <si>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</si>
  <si>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</si>
  <si>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</si>
  <si>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</si>
  <si>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</si>
  <si>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</si>
  <si>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</si>
  <si>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</si>
  <si>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</si>
  <si>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</si>
  <si>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</si>
  <si>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</si>
  <si>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</si>
  <si>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</si>
  <si>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</si>
  <si>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</si>
  <si>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</si>
  <si>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</si>
  <si>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</si>
  <si>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</si>
  <si>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</si>
  <si>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</si>
  <si>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</si>
  <si>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</si>
  <si>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</si>
  <si>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</si>
  <si>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</si>
  <si>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</si>
  <si>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</si>
  <si>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</si>
  <si>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</si>
  <si>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</si>
  <si>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</si>
  <si>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</si>
  <si>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</si>
  <si>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</si>
  <si>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</si>
  <si>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</si>
  <si>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</si>
  <si>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</si>
  <si>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</si>
  <si>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</si>
  <si>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</si>
  <si>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</si>
  <si>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</si>
  <si>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</si>
  <si>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</si>
  <si>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</si>
  <si>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</si>
  <si>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</si>
  <si>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</si>
  <si>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</si>
  <si>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</si>
  <si>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</si>
  <si>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</si>
  <si>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</si>
  <si>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</si>
  <si>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</si>
  <si>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</si>
  <si>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</si>
  <si>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</si>
  <si>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</si>
  <si>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</si>
  <si>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</si>
  <si>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</si>
  <si>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</si>
  <si>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</si>
  <si>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</si>
  <si>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</si>
  <si>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</si>
  <si>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</si>
  <si>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</si>
  <si>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</si>
  <si>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</si>
  <si>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</si>
  <si>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</si>
  <si>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</si>
  <si>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</si>
  <si>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</si>
  <si>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</si>
  <si>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</si>
  <si>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</si>
  <si>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</si>
  <si>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</si>
  <si>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</si>
  <si>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</si>
  <si>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</si>
  <si>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</si>
  <si>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</si>
  <si>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</si>
  <si>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</si>
  <si>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</si>
  <si>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</si>
  <si>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</si>
  <si>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</si>
  <si>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</si>
  <si>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</si>
  <si>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</si>
  <si>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</si>
  <si>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</si>
  <si>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</si>
  <si>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</si>
  <si>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</si>
  <si>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</si>
  <si>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</si>
  <si>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</si>
  <si>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</si>
  <si>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</si>
  <si>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</si>
  <si>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</si>
  <si>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</si>
  <si>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</si>
  <si>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</si>
  <si>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</si>
  <si>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</si>
  <si>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</si>
  <si>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</si>
  <si>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</si>
  <si>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</si>
  <si>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</si>
  <si>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</si>
  <si>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</si>
  <si>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</si>
  <si>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</si>
  <si>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</si>
  <si>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</si>
  <si>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</si>
  <si>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</si>
  <si>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</si>
  <si>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</si>
  <si>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</si>
  <si>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</si>
  <si>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</si>
  <si>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</si>
  <si>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</si>
  <si>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</si>
  <si>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</si>
  <si>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</si>
  <si>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</si>
  <si>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</si>
  <si>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</si>
  <si>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</si>
  <si>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</si>
  <si>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</si>
  <si>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</si>
  <si>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</si>
  <si>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</si>
  <si>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</si>
  <si>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</si>
  <si>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</si>
  <si>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</si>
  <si>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</si>
  <si>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</si>
  <si>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</si>
  <si>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</si>
  <si>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</si>
  <si>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</si>
  <si>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</si>
  <si>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</si>
  <si>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</si>
  <si>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</si>
  <si>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</si>
  <si>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</si>
  <si>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</si>
  <si>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</si>
  <si>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</si>
  <si>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</si>
  <si>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</si>
  <si>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</si>
  <si>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</si>
  <si>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</si>
  <si>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</si>
  <si>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</si>
  <si>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</si>
  <si>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</si>
  <si>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</si>
  <si>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</si>
  <si>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</si>
  <si>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</si>
  <si>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</si>
  <si>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</si>
  <si>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</si>
  <si>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</si>
  <si>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</si>
  <si>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</si>
  <si>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</si>
  <si>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</si>
  <si>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</si>
  <si>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</si>
  <si>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</si>
  <si>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</si>
  <si>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</si>
  <si>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</si>
  <si>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</si>
  <si>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</si>
  <si>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</si>
  <si>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</si>
  <si>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</si>
  <si>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</si>
  <si>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</si>
  <si>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</si>
  <si>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</si>
  <si>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</si>
  <si>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</si>
  <si>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</si>
  <si>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</si>
  <si>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</si>
  <si>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</si>
  <si>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</si>
  <si>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</si>
  <si>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</si>
  <si>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</si>
  <si>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</si>
  <si>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</si>
  <si>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</si>
  <si>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</si>
  <si>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</si>
  <si>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</si>
  <si>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</si>
  <si>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</si>
  <si>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</si>
  <si>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</si>
  <si>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</si>
  <si>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</si>
  <si>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</si>
  <si>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</si>
  <si>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</si>
  <si>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</si>
  <si>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</si>
  <si>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</si>
  <si>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</si>
  <si>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</si>
  <si>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</si>
  <si>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</si>
  <si>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</si>
  <si>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</si>
  <si>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</si>
  <si>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</si>
  <si>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</si>
  <si>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</si>
  <si>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</si>
  <si>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</si>
  <si>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</si>
  <si>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</si>
  <si>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</si>
  <si>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</si>
  <si>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</si>
  <si>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</si>
  <si>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</si>
  <si>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</si>
  <si>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</si>
  <si>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</si>
  <si>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</si>
  <si>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</si>
  <si>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</si>
  <si>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</si>
  <si>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</si>
  <si>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</si>
  <si>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</si>
  <si>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</si>
  <si>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</si>
  <si>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</si>
  <si>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</si>
  <si>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</si>
  <si>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</si>
  <si>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</si>
  <si>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</si>
  <si>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</si>
  <si>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</si>
  <si>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</si>
  <si>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</si>
  <si>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</si>
  <si>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</si>
  <si>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</si>
  <si>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</si>
  <si>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</si>
  <si>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</si>
  <si>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</si>
  <si>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</si>
  <si>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</si>
  <si>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</si>
  <si>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</si>
  <si>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</si>
  <si>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</si>
  <si>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</si>
  <si>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</si>
  <si>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</si>
  <si>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</si>
  <si>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</si>
  <si>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</si>
  <si>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</si>
  <si>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</si>
  <si>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</si>
  <si>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</si>
  <si>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</si>
  <si>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</si>
  <si>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</si>
  <si>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</si>
  <si>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</si>
  <si>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</si>
  <si>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</si>
  <si>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</si>
  <si>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</si>
  <si>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</si>
  <si>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</si>
  <si>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</si>
  <si>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</si>
  <si>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</si>
  <si>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</si>
  <si>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</si>
  <si>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</si>
  <si>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</si>
  <si>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</si>
  <si>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</si>
  <si>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</si>
  <si>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</si>
  <si>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</si>
  <si>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</si>
  <si>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</si>
  <si>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</si>
  <si>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</si>
  <si>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</si>
  <si>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</si>
  <si>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</si>
  <si>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</si>
  <si>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</si>
  <si>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</si>
  <si>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</si>
  <si>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</si>
  <si>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</si>
  <si>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</si>
  <si>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</si>
  <si>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</si>
  <si>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</si>
  <si>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</si>
  <si>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</si>
  <si>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</si>
  <si>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</si>
  <si>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</si>
  <si>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</si>
  <si>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</si>
  <si>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</si>
  <si>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</si>
  <si>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</si>
  <si>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</si>
  <si>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</si>
  <si>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</si>
  <si>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</si>
  <si>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</si>
  <si>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</si>
  <si>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</si>
  <si>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</si>
  <si>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</si>
  <si>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</si>
  <si>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</si>
  <si>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</si>
  <si>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</si>
  <si>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</si>
  <si>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</si>
  <si>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</si>
  <si>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</si>
  <si>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</si>
  <si>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</si>
  <si>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</si>
  <si>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</si>
  <si>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</si>
  <si>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</si>
  <si>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</si>
  <si>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</si>
  <si>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</si>
  <si>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</si>
  <si>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</si>
  <si>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</si>
  <si>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</si>
  <si>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</si>
  <si>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</si>
  <si>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</si>
  <si>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</si>
  <si>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</si>
  <si>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</si>
  <si>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</si>
  <si>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</si>
  <si>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</si>
  <si>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</si>
  <si>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</si>
  <si>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</si>
  <si>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</si>
  <si>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</si>
  <si>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</si>
  <si>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</si>
  <si>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</si>
  <si>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</si>
  <si>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</si>
  <si>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</si>
  <si>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</si>
  <si>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</si>
  <si>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</si>
  <si>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</si>
  <si>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</si>
  <si>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</si>
  <si>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</si>
  <si>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</si>
  <si>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</si>
  <si>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</si>
  <si>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</si>
  <si>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</si>
  <si>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</si>
  <si>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</si>
  <si>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</si>
  <si>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</si>
  <si>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</si>
  <si>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</si>
  <si>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</si>
  <si>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</si>
  <si>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</si>
  <si>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</si>
  <si>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</si>
  <si>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</si>
  <si>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</si>
  <si>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</si>
  <si>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</si>
  <si>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</si>
  <si>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</si>
  <si>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</si>
  <si>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</si>
  <si>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</si>
  <si>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</si>
  <si>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</si>
  <si>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</si>
  <si>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</si>
  <si>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</si>
  <si>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</si>
  <si>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</si>
  <si>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</si>
  <si>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</si>
  <si>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</si>
  <si>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</si>
  <si>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</si>
  <si>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</si>
  <si>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</si>
  <si>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</si>
  <si>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</si>
  <si>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</si>
  <si>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</si>
  <si>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</si>
  <si>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</si>
  <si>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</si>
  <si>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</si>
  <si>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</si>
  <si>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</si>
  <si>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</si>
  <si>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</si>
  <si>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</si>
  <si>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</si>
  <si>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</si>
  <si>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</si>
  <si>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</si>
  <si>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</si>
  <si>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</si>
  <si>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</si>
  <si>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</si>
  <si>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</si>
  <si>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</si>
  <si>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</si>
  <si>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</si>
  <si>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</si>
  <si>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</si>
  <si>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</si>
  <si>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</si>
  <si>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</si>
  <si>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</si>
  <si>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</si>
  <si>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</si>
  <si>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</si>
  <si>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</si>
  <si>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</si>
  <si>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</si>
  <si>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</si>
  <si>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</si>
  <si>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</si>
  <si>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</si>
  <si>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</si>
  <si>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</si>
  <si>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</si>
  <si>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</si>
  <si>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</si>
  <si>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</si>
  <si>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</si>
  <si>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</si>
  <si>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</si>
  <si>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</si>
  <si>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</si>
  <si>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</si>
  <si>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</si>
  <si>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</si>
  <si>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</si>
  <si>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</si>
  <si>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</si>
  <si>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</si>
  <si>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</si>
  <si>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</si>
  <si>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</si>
  <si>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</si>
  <si>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</si>
  <si>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</si>
  <si>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</si>
  <si>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</si>
  <si>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</si>
  <si>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</si>
  <si>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</si>
  <si>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</si>
  <si>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</si>
  <si>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</si>
  <si>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</si>
  <si>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</si>
  <si>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</si>
  <si>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</si>
  <si>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</si>
  <si>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</si>
  <si>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</si>
  <si>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</si>
  <si>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</si>
  <si>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</si>
  <si>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</si>
  <si>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</si>
  <si>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</si>
  <si>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</si>
  <si>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</si>
  <si>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</si>
  <si>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</si>
  <si>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</si>
  <si>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</si>
  <si>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</si>
  <si>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</si>
  <si>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</si>
  <si>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</si>
  <si>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</si>
  <si>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</si>
  <si>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</si>
  <si>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</si>
  <si>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</si>
  <si>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</si>
  <si>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</si>
  <si>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</si>
  <si>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</si>
  <si>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</si>
  <si>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</si>
  <si>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</si>
  <si>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</si>
  <si>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</si>
  <si>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</si>
  <si>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</si>
  <si>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</si>
  <si>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</si>
  <si>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</si>
  <si>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</si>
  <si>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</si>
  <si>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</si>
  <si>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</si>
  <si>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</si>
  <si>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</si>
  <si>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</si>
  <si>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</si>
  <si>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</si>
  <si>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</si>
  <si>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</si>
  <si>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</si>
  <si>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</si>
  <si>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</si>
  <si>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</si>
  <si>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</si>
  <si>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</si>
  <si>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</si>
  <si>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</si>
  <si>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</si>
  <si>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</si>
  <si>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</si>
  <si>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</si>
  <si>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</si>
  <si>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</si>
  <si>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</si>
  <si>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</si>
  <si>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</si>
  <si>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</si>
  <si>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</si>
  <si>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</si>
  <si>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</si>
  <si>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</si>
  <si>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</si>
  <si>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</si>
  <si>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</si>
  <si>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</si>
  <si>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</si>
  <si>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</si>
  <si>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</si>
  <si>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</si>
  <si>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</si>
  <si>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</si>
  <si>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</si>
  <si>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</si>
  <si>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</si>
  <si>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</si>
  <si>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</si>
  <si>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</si>
  <si>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</si>
  <si>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</si>
  <si>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</si>
  <si>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</si>
  <si>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</si>
  <si>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</si>
  <si>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</si>
  <si>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</si>
  <si>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</si>
  <si>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</si>
  <si>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</si>
  <si>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</si>
  <si>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</si>
  <si>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</si>
  <si>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</si>
  <si>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</si>
  <si>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</si>
  <si>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</si>
  <si>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</si>
  <si>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</si>
  <si>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</si>
  <si>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</si>
  <si>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</si>
  <si>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</si>
  <si>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</si>
  <si>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</si>
  <si>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</si>
  <si>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</si>
  <si>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</si>
  <si>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</si>
  <si>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</si>
  <si>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</si>
  <si>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</si>
  <si>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</si>
  <si>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</si>
  <si>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</si>
  <si>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</si>
  <si>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</si>
  <si>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</si>
  <si>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</si>
  <si>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</si>
  <si>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</si>
  <si>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</si>
  <si>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</si>
  <si>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</si>
  <si>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</si>
  <si>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</si>
  <si>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</si>
  <si>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</si>
  <si>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</si>
  <si>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</si>
  <si>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</si>
  <si>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</si>
  <si>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</si>
  <si>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</si>
  <si>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</si>
  <si>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</si>
  <si>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</si>
  <si>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</si>
  <si>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</si>
  <si>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</si>
  <si>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</si>
  <si>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</si>
  <si>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</si>
  <si>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</si>
  <si>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</si>
  <si>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</si>
  <si>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</si>
  <si>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</si>
  <si>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</si>
  <si>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</si>
  <si>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</si>
  <si>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</si>
  <si>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</si>
  <si>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</si>
  <si>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</si>
  <si>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</si>
  <si>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</si>
  <si>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</si>
  <si>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</si>
  <si>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</si>
  <si>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</si>
  <si>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</si>
  <si>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</si>
  <si>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</si>
  <si>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</si>
  <si>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</si>
  <si>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</si>
  <si>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</si>
  <si>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</si>
  <si>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</si>
  <si>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</si>
  <si>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</si>
  <si>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</si>
  <si>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</si>
  <si>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</si>
  <si>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</si>
  <si>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</si>
  <si>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</si>
  <si>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</si>
  <si>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</si>
  <si>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</si>
  <si>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</si>
  <si>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</si>
  <si>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</si>
  <si>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</si>
  <si>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</si>
  <si>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</si>
  <si>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</si>
  <si>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</si>
  <si>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</si>
  <si>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</si>
  <si>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</si>
  <si>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</si>
  <si>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</si>
  <si>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</si>
  <si>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</si>
  <si>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</si>
  <si>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</si>
  <si>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</si>
  <si>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</si>
  <si>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</si>
  <si>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</si>
  <si>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</si>
  <si>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</si>
  <si>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</si>
  <si>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</si>
  <si>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</si>
  <si>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</si>
  <si>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</si>
  <si>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</si>
  <si>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</si>
  <si>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</si>
  <si>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</si>
  <si>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</si>
  <si>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</si>
  <si>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</si>
  <si>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</si>
  <si>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</si>
  <si>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</si>
  <si>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</si>
  <si>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</si>
  <si>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</si>
  <si>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</si>
  <si>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</si>
  <si>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</si>
  <si>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</si>
  <si>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</si>
  <si>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</si>
  <si>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</si>
  <si>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</si>
  <si>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</si>
  <si>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</si>
  <si>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</si>
  <si>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</si>
  <si>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</si>
  <si>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</si>
  <si>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</si>
  <si>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</si>
  <si>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</si>
  <si>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</si>
  <si>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</si>
  <si>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</si>
  <si>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</si>
  <si>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</si>
  <si>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</si>
  <si>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</si>
  <si>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</si>
  <si>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</si>
  <si>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</si>
  <si>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</si>
  <si>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</si>
  <si>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</si>
  <si>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</si>
  <si>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</si>
  <si>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</si>
  <si>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</si>
  <si>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</si>
  <si>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</si>
  <si>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</si>
  <si>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</si>
  <si>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</si>
  <si>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</si>
  <si>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</si>
  <si>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</si>
  <si>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</si>
  <si>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</si>
  <si>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</si>
  <si>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</si>
  <si>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</si>
  <si>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</si>
  <si>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</si>
  <si>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</si>
  <si>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</si>
  <si>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</si>
  <si>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</si>
  <si>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</si>
  <si>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</si>
  <si>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</si>
  <si>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</si>
  <si>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</si>
  <si>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</si>
  <si>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</si>
  <si>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</si>
  <si>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</si>
  <si>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</si>
  <si>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</si>
  <si>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</si>
  <si>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</si>
  <si>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</si>
  <si>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</si>
  <si>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</si>
  <si>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</si>
  <si>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</si>
  <si>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</si>
  <si>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</si>
  <si>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</si>
  <si>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</si>
  <si>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</si>
  <si>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</si>
  <si>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</si>
  <si>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</si>
  <si>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</si>
  <si>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</si>
  <si>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</si>
  <si>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</si>
  <si>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</si>
  <si>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</si>
  <si>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</si>
  <si>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</si>
  <si>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</si>
  <si>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</si>
  <si>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</si>
  <si>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</si>
  <si>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</si>
  <si>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</si>
  <si>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</si>
  <si>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</si>
  <si>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</si>
  <si>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</si>
  <si>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</si>
  <si>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</si>
  <si>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</si>
  <si>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</si>
  <si>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</si>
  <si>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</si>
  <si>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</si>
  <si>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</si>
  <si>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</si>
  <si>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</si>
  <si>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</si>
  <si>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</si>
  <si>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</si>
  <si>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</si>
  <si>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</si>
  <si>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</si>
  <si>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</si>
  <si>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</si>
  <si>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</si>
  <si>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</si>
  <si>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</si>
  <si>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</si>
  <si>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</si>
  <si>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</si>
  <si>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</si>
  <si>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</si>
  <si>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</si>
  <si>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</si>
  <si>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</si>
  <si>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</si>
  <si>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</si>
  <si>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</si>
  <si>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</si>
  <si>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</si>
  <si>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</si>
  <si>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</si>
  <si>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</si>
  <si>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</si>
  <si>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</si>
  <si>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</si>
  <si>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</si>
  <si>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</si>
  <si>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</si>
  <si>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</si>
  <si>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</si>
  <si>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</si>
  <si>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</si>
  <si>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</si>
  <si>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</si>
  <si>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</si>
  <si>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</si>
  <si>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</si>
  <si>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</si>
  <si>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</si>
  <si>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</si>
  <si>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</si>
  <si>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</si>
  <si>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</si>
  <si>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</si>
  <si>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</si>
  <si>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</si>
  <si>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</si>
  <si>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</si>
  <si>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</si>
  <si>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</si>
  <si>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</si>
  <si>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</si>
  <si>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</si>
  <si>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</si>
  <si>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</si>
  <si>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</si>
  <si>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</si>
  <si>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</si>
  <si>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</si>
  <si>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</si>
  <si>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</si>
  <si>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</si>
  <si>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</si>
  <si>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</si>
  <si>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</si>
  <si>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</si>
  <si>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</si>
  <si>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</si>
  <si>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</si>
  <si>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</si>
  <si>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</si>
  <si>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</si>
  <si>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</si>
  <si>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</si>
  <si>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</si>
  <si>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</si>
  <si>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</si>
  <si>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</si>
  <si>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</si>
  <si>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</si>
  <si>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</si>
  <si>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</si>
  <si>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</si>
  <si>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</si>
  <si>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</si>
  <si>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</si>
  <si>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</si>
  <si>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</si>
  <si>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</si>
  <si>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</si>
  <si>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</si>
  <si>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</si>
  <si>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</si>
  <si>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</si>
  <si>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</si>
  <si>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</si>
  <si>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</si>
  <si>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</si>
  <si>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</si>
  <si>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</si>
  <si>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</si>
  <si>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</si>
  <si>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</si>
  <si>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</si>
  <si>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</si>
  <si>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</si>
  <si>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</si>
  <si>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</si>
  <si>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</si>
  <si>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</si>
  <si>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</si>
  <si>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</si>
  <si>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</si>
  <si>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</si>
  <si>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</si>
  <si>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</si>
  <si>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</si>
  <si>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</si>
  <si>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</si>
  <si>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</si>
  <si>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</si>
  <si>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</si>
  <si>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</si>
  <si>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</si>
  <si>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</si>
  <si>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</si>
  <si>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</si>
  <si>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</si>
  <si>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</si>
  <si>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</si>
  <si>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</si>
  <si>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</si>
  <si>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</si>
  <si>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</si>
  <si>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</si>
  <si>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</si>
  <si>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</si>
  <si>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</si>
  <si>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</si>
  <si>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</si>
  <si>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</si>
  <si>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</si>
  <si>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</si>
  <si>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</si>
  <si>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</si>
  <si>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</si>
  <si>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</si>
  <si>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</si>
  <si>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</si>
  <si>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</si>
  <si>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</si>
  <si>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</si>
  <si>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</si>
  <si>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</si>
  <si>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</si>
  <si>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</si>
  <si>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</si>
  <si>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</si>
  <si>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</si>
  <si>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</si>
  <si>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</si>
  <si>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</si>
  <si>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</si>
  <si>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</si>
  <si>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</si>
  <si>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</si>
  <si>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</si>
  <si>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</si>
  <si>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</si>
  <si>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</si>
  <si>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</si>
  <si>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</si>
  <si>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</si>
  <si>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</si>
  <si>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</si>
  <si>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</si>
  <si>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</si>
  <si>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</si>
  <si>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</si>
  <si>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</si>
  <si>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</si>
  <si>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</si>
  <si>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</si>
  <si>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</si>
  <si>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</si>
  <si>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</si>
  <si>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</si>
  <si>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</si>
  <si>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</si>
  <si>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</si>
  <si>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</si>
  <si>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</si>
  <si>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</si>
  <si>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</si>
  <si>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</si>
  <si>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</si>
  <si>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</si>
  <si>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</si>
  <si>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</si>
  <si>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</si>
  <si>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</si>
  <si>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</si>
  <si>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</si>
  <si>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</si>
  <si>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</si>
  <si>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</si>
  <si>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</si>
  <si>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</si>
  <si>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</si>
  <si>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</si>
  <si>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</si>
  <si>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</si>
  <si>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</si>
  <si>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</si>
  <si>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</si>
  <si>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</si>
  <si>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</si>
  <si>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</si>
  <si>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</si>
  <si>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</si>
  <si>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</si>
  <si>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</si>
  <si>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</si>
  <si>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</si>
  <si>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</si>
  <si>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</si>
  <si>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</si>
  <si>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</si>
  <si>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</si>
  <si>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</si>
  <si>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</si>
  <si>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</si>
  <si>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</si>
  <si>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</si>
  <si>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</si>
  <si>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</si>
  <si>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</si>
  <si>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</si>
  <si>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</si>
  <si>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</si>
  <si>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</si>
  <si>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</si>
  <si>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</si>
  <si>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</si>
  <si>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</si>
  <si>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</si>
  <si>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</si>
  <si>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</si>
  <si>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</si>
  <si>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</si>
  <si>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</si>
  <si>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</si>
  <si>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</si>
  <si>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</si>
  <si>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</si>
  <si>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</si>
  <si>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</si>
  <si>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</si>
  <si>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</si>
  <si>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</si>
  <si>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</si>
  <si>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</si>
  <si>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</si>
  <si>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</si>
  <si>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</si>
  <si>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</si>
  <si>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</si>
  <si>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</si>
  <si>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</si>
  <si>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</si>
  <si>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</si>
  <si>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</si>
  <si>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</si>
  <si>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</si>
  <si>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</si>
  <si>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</si>
  <si>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</si>
  <si>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</si>
  <si>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</si>
  <si>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</si>
  <si>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</si>
  <si>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</si>
  <si>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</si>
  <si>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</si>
  <si>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</si>
  <si>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</si>
  <si>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</si>
  <si>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</si>
  <si>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</si>
  <si>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</si>
  <si>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</si>
  <si>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</si>
  <si>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</si>
  <si>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</si>
  <si>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</si>
  <si>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</si>
  <si>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</si>
  <si>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</si>
  <si>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</si>
  <si>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</si>
  <si>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</si>
  <si>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</si>
  <si>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</si>
  <si>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</si>
  <si>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</si>
  <si>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</si>
  <si>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</si>
  <si>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</si>
  <si>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</si>
  <si>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</si>
  <si>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</si>
  <si>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</si>
  <si>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</si>
  <si>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</si>
  <si>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</si>
  <si>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</si>
  <si>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</si>
  <si>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</si>
  <si>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</si>
  <si>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</si>
  <si>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</si>
  <si>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</si>
  <si>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</si>
  <si>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</si>
  <si>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</si>
  <si>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</si>
  <si>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</si>
  <si>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</si>
  <si>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</si>
  <si>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</si>
  <si>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</si>
  <si>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</si>
  <si>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</si>
  <si>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</si>
  <si>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</si>
  <si>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</si>
  <si>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</si>
  <si>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</si>
  <si>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</si>
  <si>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</si>
  <si>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</si>
  <si>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</si>
  <si>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</si>
  <si>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</si>
  <si>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</si>
  <si>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</si>
  <si>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</si>
  <si>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</si>
  <si>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</si>
  <si>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</si>
  <si>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</si>
  <si>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</si>
  <si>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</si>
  <si>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</si>
  <si>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</si>
  <si>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</si>
  <si>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</si>
  <si>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</si>
  <si>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</si>
  <si>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</si>
  <si>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</si>
  <si>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</si>
  <si>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</si>
  <si>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</si>
  <si>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</si>
  <si>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</si>
  <si>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</si>
  <si>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</si>
  <si>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</si>
  <si>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</si>
  <si>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</si>
  <si>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</si>
  <si>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</si>
  <si>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</si>
  <si>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</si>
  <si>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</si>
  <si>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</si>
  <si>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</si>
  <si>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</si>
  <si>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</si>
  <si>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</si>
  <si>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</si>
  <si>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</si>
  <si>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</si>
  <si>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</si>
  <si>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</si>
  <si>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</si>
  <si>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</si>
  <si>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</si>
  <si>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</si>
  <si>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</si>
  <si>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</si>
  <si>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</si>
  <si>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</si>
  <si>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</si>
  <si>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</si>
  <si>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</si>
  <si>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</si>
  <si>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</si>
  <si>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</si>
  <si>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</si>
  <si>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</si>
  <si>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</si>
  <si>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</si>
  <si>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</si>
  <si>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</si>
  <si>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</si>
  <si>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</si>
  <si>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</si>
  <si>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</si>
  <si>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</si>
  <si>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</si>
  <si>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</si>
  <si>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</si>
  <si>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</si>
  <si>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</si>
  <si>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</si>
  <si>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</si>
  <si>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</si>
  <si>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</si>
  <si>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</si>
  <si>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</si>
  <si>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</si>
  <si>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</si>
  <si>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</si>
  <si>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</si>
  <si>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</si>
  <si>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</si>
  <si>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</si>
  <si>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</si>
  <si>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</si>
  <si>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</si>
  <si>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</si>
  <si>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</si>
  <si>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</si>
  <si>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</si>
  <si>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</si>
  <si>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</si>
  <si>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</si>
  <si>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</si>
  <si>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</si>
  <si>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</si>
  <si>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</si>
  <si>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</si>
  <si>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</si>
  <si>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</si>
  <si>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</si>
  <si>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</si>
  <si>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</si>
  <si>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</si>
  <si>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</si>
  <si>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</si>
  <si>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</si>
  <si>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</si>
  <si>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</si>
  <si>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</si>
  <si>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</si>
  <si>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</si>
  <si>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</si>
  <si>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</si>
  <si>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</si>
  <si>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</si>
  <si>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</si>
  <si>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</si>
  <si>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</si>
  <si>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</si>
  <si>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</si>
  <si>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</si>
  <si>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</si>
  <si>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</si>
  <si>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</si>
  <si>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</si>
  <si>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</si>
  <si>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</si>
  <si>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</si>
  <si>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</si>
  <si>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</si>
  <si>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</si>
  <si>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</si>
  <si>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</si>
  <si>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</si>
  <si>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</si>
  <si>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</si>
  <si>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</si>
  <si>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</si>
  <si>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</si>
  <si>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</si>
  <si>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</si>
  <si>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</si>
  <si>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</si>
  <si>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</si>
  <si>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</si>
  <si>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</si>
  <si>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</si>
  <si>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</si>
  <si>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</si>
  <si>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</si>
  <si>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</si>
  <si>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</si>
  <si>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</si>
  <si>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</si>
  <si>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</si>
  <si>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</si>
  <si>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</si>
  <si>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</si>
  <si>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</si>
  <si>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</si>
  <si>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</si>
  <si>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</si>
  <si>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</si>
  <si>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</si>
  <si>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</si>
  <si>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</si>
  <si>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</si>
  <si>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</si>
  <si>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</si>
  <si>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</si>
  <si>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</si>
  <si>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</si>
  <si>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</si>
  <si>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</si>
  <si>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</si>
  <si>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</si>
  <si>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</si>
  <si>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</si>
  <si>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</si>
  <si>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</si>
  <si>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</si>
  <si>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</si>
  <si>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</si>
  <si>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</si>
  <si>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</si>
  <si>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</si>
  <si>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</si>
  <si>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</si>
  <si>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</si>
  <si>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</si>
  <si>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</si>
  <si>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</si>
  <si>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</si>
  <si>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</si>
  <si>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</si>
  <si>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</si>
  <si>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</si>
  <si>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</si>
  <si>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</si>
  <si>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</si>
  <si>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</si>
  <si>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</si>
  <si>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</si>
  <si>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</si>
  <si>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</si>
  <si>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</si>
  <si>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</si>
  <si>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</si>
  <si>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</si>
  <si>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</si>
  <si>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</si>
  <si>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</si>
  <si>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</si>
  <si>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</si>
  <si>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</si>
  <si>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</si>
  <si>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</si>
  <si>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</si>
  <si>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</si>
  <si>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</si>
  <si>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</si>
  <si>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</si>
  <si>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</si>
  <si>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</si>
  <si>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</si>
  <si>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</si>
  <si>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</si>
  <si>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</si>
  <si>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</si>
  <si>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</si>
  <si>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</si>
  <si>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</si>
  <si>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</si>
  <si>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</si>
  <si>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</si>
  <si>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</si>
  <si>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</si>
  <si>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</si>
  <si>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</si>
  <si>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</si>
  <si>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</si>
  <si>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</si>
  <si>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</si>
  <si>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</si>
  <si>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</si>
  <si>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</si>
  <si>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</si>
  <si>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</si>
  <si>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</si>
  <si>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</si>
  <si>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</si>
  <si>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</si>
  <si>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</si>
  <si>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</si>
  <si>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</si>
  <si>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</si>
  <si>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</si>
  <si>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</si>
  <si>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</si>
  <si>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</si>
  <si>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</si>
  <si>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</si>
  <si>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</si>
  <si>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</si>
  <si>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</si>
  <si>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</si>
  <si>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</si>
  <si>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</si>
  <si>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</si>
  <si>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</si>
  <si>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</si>
  <si>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</si>
  <si>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</si>
  <si>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</si>
  <si>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</si>
  <si>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</si>
  <si>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</si>
  <si>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</si>
  <si>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</si>
  <si>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</si>
  <si>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</si>
  <si>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</si>
  <si>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</si>
  <si>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</si>
  <si>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</si>
  <si>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</si>
  <si>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</si>
  <si>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</si>
  <si>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</si>
  <si>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</si>
  <si>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</si>
  <si>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</si>
  <si>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</si>
  <si>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</si>
  <si>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</si>
  <si>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</si>
  <si>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</si>
  <si>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</si>
  <si>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</si>
  <si>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</si>
  <si>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</si>
  <si>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</si>
  <si>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</si>
  <si>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</si>
  <si>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</si>
  <si>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</si>
  <si>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</si>
  <si>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</si>
  <si>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</si>
  <si>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</si>
  <si>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</si>
  <si>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</si>
  <si>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</si>
  <si>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</si>
  <si>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</si>
  <si>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</si>
  <si>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</si>
  <si>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</si>
  <si>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</si>
  <si>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</si>
  <si>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</si>
  <si>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</si>
  <si>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</si>
  <si>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</si>
  <si>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</si>
  <si>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</si>
  <si>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</si>
  <si>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</si>
  <si>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</si>
  <si>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</si>
  <si>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</si>
  <si>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</si>
  <si>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</si>
  <si>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</si>
  <si>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</si>
  <si>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</si>
  <si>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</si>
  <si>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</si>
  <si>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</si>
  <si>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</si>
  <si>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</si>
  <si>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</si>
  <si>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</si>
  <si>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</si>
  <si>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</si>
  <si>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</si>
  <si>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</si>
  <si>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</si>
  <si>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</si>
  <si>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</si>
  <si>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</si>
  <si>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</si>
  <si>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</si>
  <si>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</si>
  <si>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</si>
  <si>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</si>
  <si>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</si>
  <si>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</si>
  <si>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</si>
  <si>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</si>
  <si>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</si>
  <si>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</si>
  <si>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</si>
  <si>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</si>
  <si>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</si>
  <si>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</si>
  <si>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</si>
  <si>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</si>
  <si>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</si>
  <si>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</si>
  <si>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</si>
  <si>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</si>
  <si>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</si>
  <si>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</si>
  <si>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</si>
  <si>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</si>
  <si>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</si>
  <si>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</si>
  <si>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</si>
  <si>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</si>
  <si>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</si>
  <si>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</si>
  <si>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</si>
  <si>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</si>
  <si>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</si>
  <si>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</si>
  <si>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</si>
  <si>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</si>
  <si>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</si>
  <si>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</si>
  <si>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</si>
  <si>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</si>
  <si>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</si>
  <si>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</si>
  <si>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</si>
  <si>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</si>
  <si>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</si>
  <si>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</si>
  <si>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</si>
  <si>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</si>
  <si>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</si>
  <si>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</si>
  <si>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</si>
  <si>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</si>
  <si>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</si>
  <si>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</si>
  <si>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</si>
  <si>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</si>
  <si>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</si>
  <si>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</si>
  <si>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</si>
  <si>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</si>
  <si>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</si>
  <si>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</si>
  <si>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</si>
  <si>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</si>
  <si>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</si>
  <si>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</si>
  <si>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</si>
  <si>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</si>
  <si>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</si>
  <si>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</si>
  <si>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</si>
  <si>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</si>
  <si>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</si>
  <si>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</si>
  <si>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</si>
  <si>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</si>
  <si>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</si>
  <si>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</si>
  <si>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</si>
  <si>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</si>
  <si>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</si>
  <si>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</si>
  <si>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</si>
  <si>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</si>
  <si>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</si>
  <si>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</si>
  <si>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</si>
  <si>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</si>
  <si>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</si>
  <si>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</si>
  <si>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</si>
  <si>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</si>
  <si>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</si>
  <si>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</si>
  <si>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</si>
  <si>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</si>
  <si>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</si>
  <si>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</si>
  <si>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</si>
  <si>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</si>
  <si>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</si>
  <si>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</si>
  <si>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</si>
  <si>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</si>
  <si>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</si>
  <si>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</si>
  <si>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</si>
  <si>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</si>
  <si>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</si>
  <si>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</si>
  <si>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</si>
  <si>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</si>
  <si>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</si>
  <si>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</si>
  <si>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</si>
  <si>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</si>
  <si>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</si>
  <si>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</si>
  <si>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</si>
  <si>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</si>
  <si>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</si>
  <si>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</si>
  <si>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</si>
  <si>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</si>
  <si>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</si>
  <si>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</si>
  <si>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</si>
  <si>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</si>
  <si>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</si>
  <si>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</si>
  <si>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</si>
  <si>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</si>
  <si>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</si>
  <si>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</si>
  <si>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</si>
  <si>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</si>
  <si>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</si>
  <si>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</si>
  <si>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</si>
  <si>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</si>
  <si>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</si>
  <si>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</si>
  <si>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</si>
  <si>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</si>
  <si>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</si>
  <si>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</si>
  <si>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</si>
  <si>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</si>
  <si>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</si>
  <si>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</si>
  <si>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</si>
  <si>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</si>
  <si>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</si>
  <si>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</si>
  <si>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</si>
  <si>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</si>
  <si>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</si>
  <si>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</si>
  <si>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</si>
  <si>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</si>
  <si>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</si>
  <si>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</si>
  <si>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</si>
  <si>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</si>
  <si>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</si>
  <si>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</si>
  <si>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</si>
  <si>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</si>
  <si>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</si>
  <si>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</si>
  <si>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</si>
  <si>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</si>
  <si>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</si>
  <si>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</si>
  <si>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</si>
  <si>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</si>
  <si>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</si>
  <si>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</si>
  <si>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</si>
  <si>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</si>
  <si>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</si>
  <si>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</si>
  <si>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</si>
  <si>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</si>
  <si>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</si>
  <si>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</si>
  <si>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</si>
  <si>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</si>
  <si>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</si>
  <si>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</si>
  <si>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</si>
  <si>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</si>
  <si>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</si>
  <si>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</si>
  <si>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</si>
  <si>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</si>
  <si>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</si>
  <si>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</si>
  <si>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</si>
  <si>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</si>
  <si>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</si>
  <si>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</si>
  <si>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</si>
  <si>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</si>
  <si>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</si>
  <si>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</si>
  <si>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</si>
  <si>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</si>
  <si>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</si>
  <si>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</si>
  <si>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</si>
  <si>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</si>
  <si>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</si>
  <si>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</si>
  <si>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</si>
  <si>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</si>
  <si>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</si>
  <si>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</si>
  <si>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</si>
  <si>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</si>
  <si>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</si>
  <si>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</si>
  <si>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</si>
  <si>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</si>
  <si>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</si>
  <si>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</si>
  <si>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</si>
  <si>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</si>
  <si>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</si>
  <si>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</si>
  <si>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</si>
  <si>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</si>
  <si>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</si>
  <si>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</si>
  <si>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</si>
  <si>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</si>
  <si>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</si>
  <si>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</si>
  <si>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</si>
  <si>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</si>
  <si>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</si>
  <si>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</si>
  <si>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</si>
  <si>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</si>
  <si>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</si>
  <si>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</si>
  <si>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</si>
  <si>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</si>
  <si>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</si>
  <si>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</si>
  <si>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</si>
  <si>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</si>
  <si>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</si>
  <si>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</si>
  <si>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</si>
  <si>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</si>
  <si>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</si>
  <si>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</si>
  <si>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</si>
  <si>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</si>
  <si>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</si>
  <si>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</si>
  <si>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</si>
  <si>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</si>
  <si>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</si>
  <si>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</si>
  <si>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</si>
  <si>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</si>
  <si>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</si>
  <si>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</si>
  <si>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</si>
  <si>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</si>
  <si>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</si>
  <si>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</si>
  <si>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</si>
  <si>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</si>
  <si>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</si>
  <si>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</si>
  <si>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</si>
  <si>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</si>
  <si>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</si>
  <si>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</si>
  <si>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</si>
  <si>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</si>
  <si>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</si>
  <si>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</si>
  <si>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</si>
  <si>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</si>
  <si>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</si>
  <si>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</si>
  <si>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</si>
  <si>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</si>
  <si>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</si>
  <si>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</si>
  <si>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</si>
  <si>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</si>
  <si>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</si>
  <si>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</si>
  <si>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</si>
  <si>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</si>
  <si>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</si>
  <si>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</si>
  <si>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</si>
  <si>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</si>
  <si>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</si>
  <si>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</si>
  <si>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</si>
  <si>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</si>
  <si>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</si>
  <si>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</si>
  <si>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</si>
  <si>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</si>
  <si>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</si>
  <si>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</si>
  <si>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</si>
  <si>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</si>
  <si>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</si>
  <si>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</si>
  <si>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</si>
  <si>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</si>
  <si>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</si>
  <si>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</si>
  <si>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</si>
  <si>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</si>
  <si>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</si>
  <si>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</si>
  <si>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</si>
  <si>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</si>
  <si>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</si>
  <si>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</si>
  <si>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</si>
  <si>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</si>
  <si>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</si>
  <si>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</si>
  <si>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</si>
  <si>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</si>
  <si>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</si>
  <si>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</si>
  <si>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</si>
  <si>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</si>
  <si>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</si>
  <si>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</si>
  <si>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</si>
  <si>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</si>
  <si>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</si>
  <si>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</si>
  <si>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</si>
  <si>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</si>
  <si>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</si>
  <si>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</si>
  <si>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</si>
  <si>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</si>
  <si>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</si>
  <si>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</si>
  <si>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</si>
  <si>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</si>
  <si>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</si>
  <si>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</si>
  <si>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</si>
  <si>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</si>
  <si>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</si>
  <si>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</si>
  <si>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</si>
  <si>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</si>
  <si>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</si>
  <si>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</si>
  <si>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</si>
  <si>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</si>
  <si>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</si>
  <si>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</si>
  <si>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</si>
  <si>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</si>
  <si>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</si>
  <si>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</si>
  <si>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</si>
  <si>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</si>
  <si>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</si>
  <si>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</si>
  <si>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</si>
  <si>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</si>
  <si>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</si>
  <si>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</si>
  <si>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</si>
  <si>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</si>
  <si>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</si>
  <si>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</si>
  <si>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</si>
  <si>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</si>
  <si>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</si>
  <si>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</si>
  <si>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</si>
  <si>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</si>
  <si>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</si>
  <si>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</si>
  <si>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</si>
  <si>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</si>
  <si>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</si>
  <si>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</si>
  <si>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</si>
  <si>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</si>
  <si>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</si>
  <si>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</si>
  <si>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</si>
  <si>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</si>
  <si>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</si>
  <si>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</si>
  <si>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</si>
  <si>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</si>
  <si>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</si>
  <si>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</si>
  <si>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</si>
  <si>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</si>
  <si>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</si>
  <si>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</si>
  <si>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</si>
  <si>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</si>
  <si>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</si>
  <si>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</si>
  <si>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</si>
  <si>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</si>
  <si>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</si>
  <si>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</si>
  <si>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</si>
  <si>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</si>
  <si>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</si>
  <si>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</si>
  <si>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</si>
  <si>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</si>
  <si>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</si>
  <si>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</si>
  <si>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</si>
  <si>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</si>
  <si>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</si>
  <si>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</si>
  <si>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</si>
  <si>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</si>
  <si>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</si>
  <si>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</si>
  <si>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</si>
  <si>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</si>
  <si>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</si>
  <si>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</si>
  <si>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</si>
  <si>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</si>
  <si>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</si>
  <si>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</si>
  <si>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</si>
  <si>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</si>
  <si>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</si>
  <si>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</si>
  <si>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</si>
  <si>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</si>
  <si>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</si>
  <si>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</si>
  <si>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</si>
  <si>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</si>
  <si>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</si>
  <si>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</si>
  <si>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</si>
  <si>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</si>
  <si>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</si>
  <si>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</si>
  <si>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</si>
  <si>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</si>
  <si>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</si>
  <si>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</si>
  <si>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</si>
  <si>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</si>
  <si>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</si>
  <si>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</si>
  <si>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</si>
  <si>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</si>
  <si>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</si>
  <si>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</si>
  <si>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</si>
  <si>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</si>
  <si>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</si>
  <si>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</si>
  <si>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</si>
  <si>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</si>
  <si>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</si>
  <si>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</si>
  <si>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</si>
  <si>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</si>
  <si>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</si>
  <si>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</si>
  <si>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</si>
  <si>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</si>
  <si>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</si>
  <si>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</si>
  <si>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</si>
  <si>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</si>
  <si>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</si>
  <si>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</si>
  <si>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</si>
  <si>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</si>
  <si>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</si>
  <si>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</si>
  <si>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</si>
  <si>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</si>
  <si>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</si>
  <si>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</si>
  <si>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</si>
  <si>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</si>
  <si>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</si>
  <si>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</si>
  <si>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</si>
  <si>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</si>
  <si>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</si>
  <si>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</si>
  <si>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</si>
  <si>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</si>
  <si>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</si>
  <si>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</si>
  <si>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</si>
  <si>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</si>
  <si>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</si>
  <si>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</si>
  <si>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</si>
  <si>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</si>
  <si>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</si>
  <si>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</si>
  <si>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</si>
  <si>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</si>
  <si>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</si>
  <si>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</si>
  <si>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</si>
  <si>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</si>
  <si>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</si>
  <si>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</si>
  <si>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</si>
  <si>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</si>
  <si>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</si>
  <si>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</si>
  <si>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</si>
  <si>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</si>
  <si>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</si>
  <si>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</si>
  <si>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</si>
  <si>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</si>
  <si>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</si>
  <si>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</si>
  <si>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</si>
  <si>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</si>
  <si>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</si>
  <si>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</si>
  <si>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</si>
  <si>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</si>
  <si>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</si>
  <si>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</si>
  <si>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</si>
  <si>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</si>
  <si>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</si>
  <si>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</si>
  <si>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</si>
  <si>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</si>
  <si>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</si>
  <si>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</si>
  <si>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</si>
  <si>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</si>
  <si>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</si>
  <si>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</si>
  <si>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</si>
  <si>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</si>
  <si>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</si>
  <si>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</si>
  <si>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</si>
  <si>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</si>
  <si>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</si>
  <si>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</si>
  <si>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</si>
  <si>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</si>
  <si>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</si>
  <si>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</si>
  <si>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</si>
  <si>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</si>
  <si>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</si>
  <si>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</si>
  <si>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</si>
  <si>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</si>
  <si>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</si>
  <si>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</si>
  <si>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</si>
  <si>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</si>
  <si>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</si>
  <si>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</si>
  <si>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</si>
  <si>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</si>
  <si>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</si>
  <si>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</si>
  <si>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</si>
  <si>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</si>
  <si>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</si>
  <si>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</si>
  <si>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</si>
  <si>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</si>
  <si>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</si>
  <si>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</si>
  <si>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</si>
  <si>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</si>
  <si>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</si>
  <si>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</si>
  <si>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</si>
  <si>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</si>
  <si>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</si>
  <si>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</si>
  <si>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</si>
  <si>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</si>
  <si>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</si>
  <si>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</si>
  <si>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</si>
  <si>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</si>
  <si>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</si>
  <si>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</si>
  <si>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</si>
  <si>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</si>
  <si>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</si>
  <si>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</si>
  <si>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</si>
  <si>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</si>
  <si>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</si>
  <si>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</si>
  <si>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</si>
  <si>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</si>
  <si>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</si>
  <si>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</si>
  <si>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</si>
  <si>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</si>
  <si>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</si>
  <si>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</si>
  <si>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</si>
  <si>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</si>
  <si>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</si>
  <si>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</si>
  <si>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</si>
  <si>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</si>
  <si>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</si>
  <si>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</si>
  <si>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</si>
  <si>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</si>
  <si>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</si>
  <si>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</si>
  <si>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</si>
  <si>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</si>
  <si>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</si>
  <si>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</si>
  <si>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</si>
  <si>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</si>
  <si>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</si>
  <si>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</si>
  <si>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</si>
  <si>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</si>
  <si>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</si>
  <si>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</si>
  <si>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</si>
  <si>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</si>
  <si>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</si>
  <si>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</si>
  <si>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</si>
  <si>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</si>
  <si>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</si>
  <si>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</si>
  <si>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</si>
  <si>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</si>
  <si>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</si>
  <si>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</si>
  <si>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</si>
  <si>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</si>
  <si>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</si>
  <si>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</si>
  <si>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</si>
  <si>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</si>
  <si>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</si>
  <si>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</si>
  <si>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</si>
  <si>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</si>
  <si>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</si>
  <si>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</si>
  <si>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</si>
  <si>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</si>
  <si>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</si>
  <si>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</si>
  <si>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</si>
  <si>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</si>
  <si>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</si>
  <si>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</si>
  <si>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</si>
  <si>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</si>
  <si>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</si>
  <si>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</si>
  <si>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</si>
  <si>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</si>
  <si>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</si>
  <si>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</si>
  <si>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</si>
  <si>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</si>
  <si>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</si>
  <si>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</si>
  <si>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</si>
  <si>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</si>
  <si>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</si>
  <si>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</si>
  <si>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</si>
  <si>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</si>
  <si>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</si>
  <si>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</si>
  <si>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</si>
  <si>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</si>
  <si>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</si>
  <si>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</si>
  <si>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</si>
  <si>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</si>
  <si>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</si>
  <si>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</si>
  <si>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</si>
  <si>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</si>
  <si>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</si>
  <si>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</si>
  <si>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</si>
  <si>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</si>
  <si>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</si>
  <si>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</si>
  <si>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</si>
  <si>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</si>
  <si>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</si>
  <si>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</si>
  <si>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</si>
  <si>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</si>
  <si>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</si>
  <si>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</si>
  <si>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</si>
  <si>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</si>
  <si>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</si>
  <si>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</si>
  <si>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</si>
  <si>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</si>
  <si>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</si>
  <si>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</si>
  <si>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</si>
  <si>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</si>
  <si>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</si>
  <si>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</si>
  <si>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</si>
  <si>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</si>
  <si>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</si>
  <si>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</si>
  <si>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</si>
  <si>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</si>
  <si>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</si>
  <si>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</si>
  <si>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</si>
  <si>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</si>
  <si>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</si>
  <si>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</si>
  <si>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</si>
  <si>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</si>
  <si>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</si>
  <si>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</si>
  <si>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</si>
  <si>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</si>
  <si>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</si>
  <si>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</si>
  <si>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</si>
  <si>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</si>
  <si>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</si>
  <si>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</si>
  <si>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</si>
  <si>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</si>
  <si>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</si>
  <si>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</si>
  <si>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</si>
  <si>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</si>
  <si>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</si>
  <si>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</si>
  <si>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</si>
  <si>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</si>
  <si>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</si>
  <si>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</si>
  <si>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</si>
  <si>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</si>
  <si>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</si>
  <si>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</si>
  <si>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</si>
  <si>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</si>
  <si>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</si>
  <si>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</si>
  <si>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</si>
  <si>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</si>
  <si>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</si>
  <si>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</si>
  <si>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</si>
  <si>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</si>
  <si>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</si>
  <si>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</si>
  <si>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</si>
  <si>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</si>
  <si>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</si>
  <si>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</si>
  <si>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</si>
  <si>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</si>
  <si>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</si>
  <si>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</si>
  <si>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</si>
  <si>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</si>
  <si>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</si>
  <si>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</si>
  <si>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</si>
  <si>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</si>
  <si>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</si>
  <si>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</si>
  <si>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</si>
  <si>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</si>
  <si>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</si>
  <si>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</si>
  <si>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</si>
  <si>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</si>
  <si>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</si>
  <si>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</si>
  <si>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</si>
  <si>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</si>
  <si>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</si>
  <si>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</si>
  <si>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</si>
  <si>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</si>
  <si>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</si>
  <si>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</si>
  <si>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</si>
  <si>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</si>
  <si>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</si>
  <si>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</si>
  <si>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</si>
  <si>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</si>
  <si>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</si>
  <si>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</si>
  <si>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</si>
  <si>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</si>
  <si>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</si>
  <si>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</si>
  <si>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</si>
  <si>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</si>
  <si>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</si>
  <si>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</si>
  <si>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</si>
  <si>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</si>
  <si>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</si>
  <si>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</si>
  <si>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</si>
  <si>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</si>
  <si>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</si>
  <si>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</si>
  <si>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</si>
  <si>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</si>
  <si>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</si>
  <si>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</si>
  <si>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</si>
  <si>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</si>
  <si>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</si>
  <si>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</si>
  <si>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</si>
  <si>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</si>
  <si>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</si>
  <si>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</si>
  <si>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</si>
  <si>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</si>
  <si>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</si>
  <si>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</si>
  <si>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</si>
  <si>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</si>
  <si>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</si>
  <si>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</si>
  <si>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</si>
  <si>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</si>
  <si>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</si>
  <si>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</si>
  <si>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</si>
  <si>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</si>
  <si>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</si>
  <si>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</si>
  <si>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</si>
  <si>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</si>
  <si>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</si>
  <si>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</si>
  <si>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</si>
  <si>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</si>
  <si>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</si>
  <si>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</si>
  <si>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</si>
  <si>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</si>
  <si>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</si>
  <si>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</si>
  <si>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</si>
  <si>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</si>
  <si>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</si>
  <si>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</si>
  <si>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</si>
  <si>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</si>
  <si>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</si>
  <si>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</si>
  <si>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</si>
  <si>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</si>
  <si>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</si>
  <si>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</si>
  <si>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</si>
  <si>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</si>
  <si>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</si>
  <si>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</si>
  <si>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</si>
  <si>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</si>
  <si>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</si>
  <si>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</si>
  <si>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</si>
  <si>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</si>
  <si>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</si>
  <si>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</si>
  <si>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</si>
  <si>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</si>
  <si>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</si>
  <si>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</si>
  <si>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</si>
  <si>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</si>
  <si>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</si>
  <si>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</si>
  <si>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</si>
  <si>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</si>
  <si>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</si>
  <si>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</si>
  <si>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</si>
  <si>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</si>
  <si>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</si>
  <si>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</si>
  <si>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</si>
  <si>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</si>
  <si>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</si>
  <si>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</si>
  <si>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</si>
  <si>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</si>
  <si>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</si>
  <si>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</si>
  <si>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</si>
  <si>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</si>
  <si>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</si>
  <si>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</si>
  <si>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</si>
  <si>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</si>
  <si>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</si>
  <si>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</si>
  <si>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</si>
  <si>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</si>
  <si>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</si>
  <si>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</si>
  <si>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</si>
  <si>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</si>
  <si>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</si>
  <si>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</si>
  <si>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</si>
  <si>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</si>
  <si>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</si>
  <si>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</si>
  <si>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</si>
  <si>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</si>
  <si>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</si>
  <si>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</si>
  <si>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</si>
  <si>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</si>
  <si>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</si>
  <si>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</si>
  <si>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</si>
  <si>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</si>
  <si>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</si>
  <si>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</si>
  <si>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</si>
  <si>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</si>
  <si>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</si>
  <si>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</si>
  <si>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</si>
  <si>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</si>
  <si>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</si>
  <si>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</si>
  <si>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</si>
  <si>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</si>
  <si>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</si>
  <si>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</si>
  <si>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</si>
  <si>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</si>
  <si>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</si>
  <si>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</si>
  <si>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</si>
  <si>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</si>
  <si>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</si>
  <si>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</si>
  <si>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</si>
  <si>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</si>
  <si>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</si>
  <si>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</si>
  <si>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</si>
  <si>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</si>
  <si>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</si>
  <si>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</si>
  <si>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</si>
  <si>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</si>
  <si>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</si>
  <si>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</si>
  <si>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</si>
  <si>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</si>
  <si>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</si>
  <si>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</si>
  <si>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</si>
  <si>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</si>
  <si>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</si>
  <si>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</si>
  <si>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</si>
  <si>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</si>
  <si>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</si>
  <si>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</si>
  <si>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</si>
  <si>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</si>
  <si>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</si>
  <si>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</si>
  <si>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</si>
  <si>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</si>
  <si>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</si>
  <si>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</si>
  <si>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</si>
  <si>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</si>
  <si>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</si>
  <si>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</si>
  <si>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</si>
  <si>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</si>
  <si>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</si>
  <si>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</si>
  <si>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</si>
  <si>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</si>
  <si>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</si>
  <si>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</si>
  <si>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</si>
  <si>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</si>
  <si>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</si>
  <si>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</si>
  <si>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</si>
  <si>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</si>
  <si>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</si>
  <si>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</si>
  <si>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</si>
  <si>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</si>
  <si>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</si>
  <si>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</si>
  <si>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</si>
  <si>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</si>
  <si>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</si>
  <si>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</si>
  <si>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</si>
  <si>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</si>
  <si>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</si>
  <si>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</si>
  <si>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</si>
  <si>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</si>
  <si>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</si>
  <si>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</si>
  <si>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</si>
  <si>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</si>
  <si>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</si>
  <si>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</si>
  <si>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</si>
  <si>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</si>
  <si>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</si>
  <si>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</si>
  <si>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</si>
  <si>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</si>
  <si>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</si>
  <si>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</si>
  <si>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</si>
  <si>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</si>
  <si>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</si>
  <si>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</si>
  <si>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</si>
  <si>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</si>
  <si>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</si>
  <si>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</si>
  <si>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</si>
  <si>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</si>
  <si>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</si>
  <si>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</si>
  <si>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</si>
  <si>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</si>
  <si>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</si>
  <si>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</si>
  <si>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</si>
  <si>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</si>
  <si>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</si>
  <si>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</si>
  <si>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</si>
  <si>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</si>
  <si>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</si>
  <si>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</si>
  <si>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</si>
  <si>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</si>
  <si>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</si>
  <si>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</si>
  <si>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</si>
  <si>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</si>
  <si>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</si>
  <si>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</si>
  <si>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</si>
  <si>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</si>
  <si>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</si>
  <si>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</si>
  <si>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</si>
  <si>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</si>
  <si>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</si>
  <si>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</si>
  <si>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</si>
  <si>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</si>
  <si>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</si>
  <si>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</si>
  <si>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</si>
  <si>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</si>
  <si>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</si>
  <si>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</si>
  <si>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</si>
  <si>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</si>
  <si>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</si>
  <si>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</si>
  <si>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</si>
  <si>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</si>
  <si>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</si>
  <si>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</si>
  <si>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</si>
  <si>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</si>
  <si>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</si>
  <si>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</si>
  <si>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</si>
  <si>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</si>
  <si>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</si>
  <si>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</si>
  <si>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</si>
  <si>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</si>
  <si>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</si>
  <si>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</si>
  <si>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</si>
  <si>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</si>
  <si>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</si>
  <si>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</si>
  <si>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</si>
  <si>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</si>
  <si>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</si>
  <si>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</si>
  <si>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</si>
  <si>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</si>
  <si>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</si>
  <si>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</si>
  <si>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</si>
  <si>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</si>
  <si>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</si>
  <si>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</si>
  <si>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</si>
  <si>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</si>
  <si>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</si>
  <si>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</si>
  <si>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</si>
  <si>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</si>
  <si>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</si>
  <si>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</si>
  <si>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</si>
  <si>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</si>
  <si>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</si>
  <si>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</si>
  <si>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</si>
  <si>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</si>
  <si>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</si>
  <si>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</si>
  <si>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</si>
  <si>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</si>
  <si>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</si>
  <si>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</si>
  <si>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</si>
  <si>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</si>
  <si>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</si>
  <si>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</si>
  <si>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</si>
  <si>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</si>
  <si>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</si>
  <si>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</si>
  <si>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</si>
  <si>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</si>
  <si>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</si>
  <si>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</si>
  <si>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</si>
  <si>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</si>
  <si>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</si>
  <si>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</si>
  <si>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</si>
  <si>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</si>
  <si>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</si>
  <si>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</si>
  <si>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</si>
  <si>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</si>
  <si>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</si>
  <si>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</si>
  <si>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</si>
  <si>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</si>
  <si>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</si>
  <si>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</si>
  <si>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</si>
  <si>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</si>
  <si>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</si>
  <si>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</si>
  <si>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</si>
  <si>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</si>
  <si>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</si>
  <si>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</si>
  <si>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</si>
  <si>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</si>
  <si>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</si>
  <si>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</si>
  <si>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</si>
  <si>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</si>
  <si>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</si>
  <si>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</si>
  <si>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</si>
  <si>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</si>
  <si>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</si>
  <si>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</si>
  <si>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</si>
  <si>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</si>
  <si>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</si>
  <si>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</si>
  <si>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</si>
  <si>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</si>
  <si>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</si>
  <si>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</si>
  <si>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</si>
  <si>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</si>
  <si>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</si>
  <si>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</si>
  <si>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</si>
  <si>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</si>
  <si>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</si>
  <si>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</si>
  <si>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</si>
  <si>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</si>
  <si>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</si>
  <si>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</si>
  <si>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</si>
  <si>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</si>
  <si>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</si>
  <si>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</si>
  <si>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</si>
  <si>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</si>
  <si>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</si>
  <si>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</si>
  <si>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</si>
  <si>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</si>
  <si>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</si>
  <si>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</si>
  <si>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</si>
  <si>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</si>
  <si>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</si>
  <si>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</si>
  <si>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</si>
  <si>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</si>
  <si>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</si>
  <si>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</si>
  <si>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</si>
  <si>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</si>
  <si>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</si>
  <si>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</si>
  <si>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</si>
  <si>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</si>
  <si>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</si>
  <si>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</si>
  <si>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</si>
  <si>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</si>
  <si>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</si>
  <si>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</si>
  <si>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</si>
  <si>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</si>
  <si>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</si>
  <si>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</si>
  <si>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</si>
  <si>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</si>
  <si>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</si>
  <si>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</si>
  <si>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</si>
  <si>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</si>
  <si>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</si>
  <si>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</si>
  <si>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</si>
  <si>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</si>
  <si>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</si>
  <si>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</si>
  <si>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</si>
  <si>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</si>
  <si>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</si>
  <si>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</si>
  <si>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</si>
  <si>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</si>
  <si>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</si>
  <si>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</si>
  <si>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</si>
  <si>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</si>
  <si>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</si>
  <si>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</si>
  <si>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</si>
  <si>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</si>
  <si>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</si>
  <si>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</si>
  <si>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</si>
  <si>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</si>
  <si>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</si>
  <si>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</si>
  <si>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</si>
  <si>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</si>
  <si>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</si>
  <si>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</si>
  <si>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</si>
  <si>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</si>
  <si>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</si>
  <si>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</si>
  <si>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</si>
  <si>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</si>
  <si>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</si>
  <si>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</si>
  <si>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</si>
  <si>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</si>
  <si>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</si>
  <si>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</si>
  <si>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</si>
  <si>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</si>
  <si>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</si>
  <si>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</si>
  <si>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</si>
  <si>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</si>
  <si>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</si>
  <si>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</si>
  <si>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</si>
  <si>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</si>
  <si>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</si>
  <si>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</si>
  <si>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</si>
  <si>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</si>
  <si>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</si>
  <si>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</si>
  <si>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</si>
  <si>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</si>
  <si>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</si>
  <si>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</si>
  <si>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</si>
  <si>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</si>
  <si>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</si>
  <si>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</si>
  <si>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</si>
  <si>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</si>
  <si>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</si>
  <si>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</si>
  <si>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</si>
  <si>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</si>
  <si>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</si>
  <si>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</si>
  <si>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</si>
  <si>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</si>
  <si>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</si>
  <si>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</si>
  <si>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</si>
  <si>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</si>
  <si>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</si>
  <si>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</si>
  <si>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</si>
  <si>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</si>
  <si>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</si>
  <si>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</si>
  <si>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</si>
  <si>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</si>
  <si>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</si>
  <si>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</si>
  <si>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</si>
  <si>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</si>
  <si>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</si>
  <si>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</si>
  <si>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</si>
  <si>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</si>
  <si>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</si>
  <si>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</si>
  <si>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</si>
  <si>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</si>
  <si>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</si>
  <si>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</si>
  <si>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</si>
  <si>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</si>
  <si>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</si>
  <si>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</si>
  <si>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</si>
  <si>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</si>
  <si>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</si>
  <si>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</si>
  <si>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</si>
  <si>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</si>
  <si>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</si>
  <si>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</si>
  <si>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</si>
  <si>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</si>
  <si>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</si>
  <si>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</si>
  <si>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</si>
  <si>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</si>
  <si>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</si>
  <si>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</si>
  <si>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</si>
  <si>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</si>
  <si>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</si>
  <si>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</si>
  <si>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</si>
  <si>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</si>
  <si>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</si>
  <si>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</si>
  <si>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</si>
  <si>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</si>
  <si>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</si>
  <si>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</si>
  <si>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</si>
  <si>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</si>
  <si>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</si>
  <si>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</si>
  <si>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</si>
  <si>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</si>
  <si>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</si>
  <si>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</si>
  <si>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</si>
  <si>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</si>
  <si>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</si>
  <si>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</si>
  <si>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</si>
  <si>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</si>
  <si>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</si>
  <si>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</si>
  <si>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</si>
  <si>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</si>
  <si>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</si>
  <si>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</si>
  <si>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</si>
  <si>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</si>
  <si>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</si>
  <si>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</si>
  <si>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</si>
  <si>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</si>
  <si>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</si>
  <si>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</si>
  <si>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</si>
  <si>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</si>
  <si>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</si>
  <si>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</si>
  <si>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</si>
  <si>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</si>
  <si>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</si>
  <si>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</si>
  <si>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</si>
  <si>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</si>
  <si>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</si>
  <si>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</si>
  <si>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</si>
  <si>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</si>
  <si>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</si>
  <si>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</si>
  <si>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</si>
  <si>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</si>
  <si>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</si>
  <si>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</si>
  <si>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</si>
  <si>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</si>
  <si>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</si>
  <si>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</si>
  <si>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</si>
  <si>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</si>
  <si>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</si>
  <si>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</si>
  <si>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</si>
  <si>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</si>
  <si>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</si>
  <si>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</si>
  <si>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</si>
  <si>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</si>
  <si>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</si>
  <si>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</si>
  <si>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</si>
  <si>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</si>
  <si>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</si>
  <si>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</si>
  <si>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</si>
  <si>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</si>
  <si>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</si>
  <si>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</si>
  <si>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</si>
  <si>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</si>
  <si>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</si>
  <si>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</si>
  <si>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</si>
  <si>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</si>
  <si>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</si>
  <si>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</si>
  <si>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</si>
  <si>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</si>
  <si>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</si>
  <si>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</si>
  <si>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</si>
  <si>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</si>
  <si>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</si>
  <si>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</si>
  <si>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</si>
  <si>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</si>
  <si>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</si>
  <si>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</si>
  <si>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</si>
  <si>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</si>
  <si>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</si>
  <si>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</si>
  <si>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</si>
  <si>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</si>
  <si>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</si>
  <si>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</si>
  <si>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</si>
  <si>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</si>
  <si>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</si>
  <si>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</si>
  <si>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</si>
  <si>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</si>
  <si>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</si>
  <si>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</si>
  <si>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</si>
  <si>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</si>
  <si>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</si>
  <si>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</si>
  <si>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</si>
  <si>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</si>
  <si>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</si>
  <si>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</si>
  <si>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</si>
  <si>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</si>
  <si>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</si>
  <si>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</si>
  <si>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</si>
  <si>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</si>
  <si>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</si>
  <si>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</si>
  <si>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</si>
  <si>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</si>
  <si>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</si>
  <si>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</si>
  <si>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</si>
  <si>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</si>
  <si>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</si>
  <si>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</si>
  <si>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</si>
  <si>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</si>
  <si>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</si>
  <si>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</si>
  <si>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</si>
  <si>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</si>
  <si>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</si>
  <si>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</si>
  <si>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</si>
  <si>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</si>
  <si>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</si>
  <si>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</si>
  <si>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</si>
  <si>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</si>
  <si>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</si>
  <si>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</si>
  <si>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</si>
  <si>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</si>
  <si>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</si>
  <si>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</si>
  <si>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</si>
  <si>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</si>
  <si>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</si>
  <si>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</si>
  <si>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</si>
  <si>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</si>
  <si>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</si>
  <si>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</si>
  <si>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</si>
  <si>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</si>
  <si>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</si>
  <si>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</si>
  <si>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</si>
  <si>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</si>
  <si>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</si>
  <si>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</si>
  <si>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</si>
  <si>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</si>
  <si>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</si>
  <si>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</si>
  <si>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</si>
  <si>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</si>
  <si>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</si>
  <si>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</si>
  <si>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</si>
  <si>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</si>
  <si>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</si>
  <si>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</si>
  <si>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</si>
  <si>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</si>
  <si>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</si>
  <si>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</si>
  <si>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</si>
  <si>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</si>
  <si>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</si>
  <si>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</si>
  <si>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</si>
  <si>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</si>
  <si>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</si>
  <si>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</si>
  <si>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</si>
  <si>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</si>
  <si>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</si>
  <si>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</si>
  <si>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</si>
  <si>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</si>
  <si>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</si>
  <si>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</si>
  <si>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</si>
  <si>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</si>
  <si>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</si>
  <si>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</si>
  <si>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</si>
  <si>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</si>
  <si>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</si>
  <si>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</si>
  <si>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</si>
  <si>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</si>
  <si>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</si>
  <si>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</si>
  <si>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</si>
  <si>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</si>
  <si>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</si>
  <si>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</si>
  <si>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</si>
  <si>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</si>
  <si>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</si>
  <si>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</si>
  <si>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</si>
  <si>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</si>
  <si>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</si>
  <si>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</si>
  <si>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</si>
  <si>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</si>
  <si>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</si>
  <si>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</si>
  <si>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</si>
  <si>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</si>
  <si>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</si>
  <si>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</si>
  <si>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</si>
  <si>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</si>
  <si>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</si>
  <si>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</si>
  <si>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</si>
  <si>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</si>
  <si>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</si>
  <si>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</si>
  <si>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</si>
  <si>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</si>
  <si>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</si>
  <si>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</si>
  <si>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</si>
  <si>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</si>
  <si>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</si>
  <si>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</si>
  <si>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</si>
  <si>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</si>
  <si>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</si>
  <si>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</si>
  <si>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</si>
  <si>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</si>
  <si>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</si>
  <si>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</si>
  <si>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</si>
  <si>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</si>
  <si>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</si>
  <si>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</si>
  <si>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</si>
  <si>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</si>
  <si>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</si>
  <si>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</si>
  <si>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</si>
  <si>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</si>
  <si>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</si>
  <si>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</si>
  <si>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</si>
  <si>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</si>
  <si>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</si>
  <si>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</si>
  <si>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</si>
  <si>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</si>
  <si>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</si>
  <si>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</si>
  <si>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</si>
  <si>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</si>
  <si>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</si>
  <si>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</si>
  <si>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</si>
  <si>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</si>
  <si>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</si>
  <si>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</si>
  <si>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</si>
  <si>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</si>
  <si>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</si>
  <si>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</si>
  <si>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</si>
  <si>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</si>
  <si>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</si>
  <si>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</si>
  <si>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</si>
  <si>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</si>
  <si>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</si>
  <si>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</si>
  <si>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</si>
  <si>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</si>
  <si>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</si>
  <si>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</si>
  <si>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</si>
  <si>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</si>
  <si>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</si>
  <si>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</si>
  <si>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</si>
  <si>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</si>
  <si>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</si>
  <si>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</si>
  <si>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</si>
  <si>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</si>
  <si>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</si>
  <si>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</si>
  <si>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</si>
  <si>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</si>
  <si>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</si>
  <si>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</si>
  <si>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</si>
  <si>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</si>
  <si>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</si>
  <si>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</si>
  <si>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</si>
  <si>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</si>
  <si>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</si>
  <si>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</si>
  <si>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</si>
  <si>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</si>
  <si>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</si>
  <si>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</si>
  <si>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</si>
  <si>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</si>
  <si>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</si>
  <si>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</si>
  <si>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</si>
  <si>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</si>
  <si>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</si>
  <si>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</si>
  <si>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</si>
  <si>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</si>
  <si>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</si>
  <si>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</si>
  <si>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</si>
  <si>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</si>
  <si>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</si>
  <si>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</si>
  <si>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</si>
  <si>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</si>
  <si>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</si>
  <si>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</si>
  <si>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</si>
  <si>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</si>
  <si>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</si>
  <si>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</si>
  <si>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</si>
  <si>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</si>
  <si>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</si>
  <si>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</si>
  <si>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</si>
  <si>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</si>
  <si>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</si>
  <si>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</si>
  <si>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</si>
  <si>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</si>
  <si>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</si>
  <si>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</si>
  <si>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</si>
  <si>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</si>
  <si>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</si>
  <si>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</si>
  <si>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</si>
  <si>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</si>
  <si>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</si>
  <si>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</si>
  <si>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</si>
  <si>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</si>
  <si>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</si>
  <si>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</si>
  <si>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</si>
  <si>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</si>
  <si>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</si>
  <si>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</si>
  <si>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</si>
  <si>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</si>
  <si>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</si>
  <si>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</si>
  <si>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</si>
  <si>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</si>
  <si>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</si>
  <si>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</si>
  <si>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</si>
  <si>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</si>
  <si>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</si>
  <si>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</si>
  <si>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</si>
  <si>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</si>
  <si>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</si>
  <si>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</si>
  <si>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</si>
  <si>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</si>
  <si>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</si>
  <si>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</si>
  <si>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</si>
  <si>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</si>
  <si>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</si>
  <si>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</si>
  <si>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</si>
  <si>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</si>
  <si>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</si>
  <si>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</si>
  <si>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</si>
  <si>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</si>
  <si>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</si>
  <si>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</si>
  <si>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</si>
  <si>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</si>
  <si>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</si>
  <si>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</si>
  <si>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</si>
  <si>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</si>
  <si>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</si>
  <si>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</si>
  <si>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</si>
  <si>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</si>
  <si>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</si>
  <si>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</si>
  <si>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</si>
  <si>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</si>
  <si>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</si>
  <si>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</si>
  <si>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</si>
  <si>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</si>
  <si>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</si>
  <si>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</si>
  <si>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</si>
  <si>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</si>
  <si>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</si>
  <si>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</si>
  <si>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</si>
  <si>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</si>
  <si>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</si>
  <si>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</si>
  <si>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</si>
  <si>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</si>
  <si>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</si>
  <si>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</si>
  <si>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</si>
  <si>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</si>
  <si>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</si>
  <si>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</si>
  <si>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</si>
  <si>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</si>
  <si>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</si>
  <si>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</si>
  <si>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</si>
  <si>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</si>
  <si>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</si>
  <si>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</si>
  <si>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</si>
  <si>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</si>
  <si>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</si>
  <si>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</si>
  <si>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</si>
  <si>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</si>
  <si>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</si>
  <si>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</si>
  <si>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</si>
  <si>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</si>
  <si>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</si>
  <si>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</si>
  <si>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</si>
  <si>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</si>
  <si>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</si>
  <si>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</si>
  <si>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</si>
  <si>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</si>
  <si>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</si>
  <si>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</si>
  <si>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</si>
  <si>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</si>
  <si>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</si>
  <si>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</si>
  <si>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</si>
  <si>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</si>
  <si>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</si>
  <si>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</si>
  <si>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</si>
  <si>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</si>
  <si>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</si>
  <si>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</si>
  <si>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</si>
  <si>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</si>
  <si>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</si>
  <si>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</si>
  <si>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</si>
  <si>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</si>
  <si>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</si>
  <si>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</si>
  <si>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</si>
  <si>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</si>
  <si>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</si>
  <si>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</si>
  <si>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</si>
  <si>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</si>
  <si>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</si>
  <si>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</si>
  <si>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</si>
  <si>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</si>
  <si>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</si>
  <si>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</si>
  <si>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</si>
  <si>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</si>
  <si>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</si>
  <si>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</si>
  <si>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</si>
  <si>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</si>
  <si>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</si>
  <si>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</si>
  <si>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</si>
  <si>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</si>
  <si>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</si>
  <si>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</si>
  <si>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</si>
  <si>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</si>
  <si>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</si>
  <si>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</si>
  <si>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</si>
  <si>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</si>
  <si>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</si>
  <si>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</si>
  <si>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</si>
  <si>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</si>
  <si>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</si>
  <si>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</si>
  <si>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</si>
  <si>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</si>
  <si>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</si>
  <si>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</si>
  <si>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</si>
  <si>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</si>
  <si>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</si>
  <si>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</si>
  <si>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</si>
  <si>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</si>
  <si>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</si>
  <si>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</si>
  <si>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</si>
  <si>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</si>
  <si>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</si>
  <si>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</si>
  <si>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</si>
  <si>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</si>
  <si>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</si>
  <si>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</si>
  <si>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</si>
  <si>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</si>
  <si>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</si>
  <si>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</si>
  <si>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</si>
  <si>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</si>
  <si>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</si>
  <si>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</si>
  <si>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</si>
  <si>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</si>
  <si>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</si>
  <si>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</si>
  <si>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</si>
  <si>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</si>
  <si>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</si>
  <si>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</si>
  <si>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</si>
  <si>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</si>
  <si>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</si>
  <si>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</si>
  <si>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</si>
  <si>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</si>
  <si>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</si>
  <si>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</si>
  <si>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</si>
  <si>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</si>
  <si>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</si>
  <si>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</si>
  <si>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</si>
  <si>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</si>
  <si>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</si>
  <si>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</si>
  <si>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</si>
  <si>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</si>
  <si>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</si>
  <si>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</si>
  <si>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</si>
  <si>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</si>
  <si>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</si>
  <si>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</si>
  <si>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</si>
  <si>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</si>
  <si>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</si>
  <si>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</si>
  <si>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</si>
  <si>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</si>
  <si>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</si>
  <si>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</si>
  <si>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</si>
  <si>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</si>
  <si>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</si>
  <si>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</si>
  <si>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</si>
  <si>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</si>
  <si>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</si>
  <si>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</si>
  <si>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</si>
  <si>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</si>
  <si>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</si>
  <si>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</si>
  <si>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</si>
  <si>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</si>
  <si>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</si>
  <si>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</si>
  <si>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</si>
  <si>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</si>
  <si>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</si>
  <si>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</si>
  <si>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</si>
  <si>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</si>
  <si>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</si>
  <si>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</si>
  <si>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</si>
  <si>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</si>
  <si>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</si>
  <si>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</si>
  <si>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</si>
  <si>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</si>
  <si>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</si>
  <si>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</si>
  <si>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</si>
  <si>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</si>
  <si>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</si>
  <si>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</si>
  <si>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</si>
  <si>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</si>
  <si>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</si>
  <si>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</si>
  <si>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</si>
  <si>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</si>
  <si>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</si>
  <si>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</si>
  <si>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</si>
  <si>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</si>
  <si>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</si>
  <si>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</si>
  <si>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</si>
  <si>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</si>
  <si>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</si>
  <si>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</si>
  <si>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</si>
  <si>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</si>
  <si>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</si>
  <si>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</si>
  <si>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</si>
  <si>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</si>
  <si>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</si>
  <si>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</si>
  <si>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</si>
  <si>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</si>
  <si>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</si>
  <si>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</si>
  <si>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</si>
  <si>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</si>
  <si>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</si>
  <si>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</si>
  <si>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</si>
  <si>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</si>
  <si>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</si>
  <si>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</si>
  <si>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</si>
  <si>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</si>
  <si>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</si>
  <si>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</si>
  <si>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</si>
  <si>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</si>
  <si>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</si>
  <si>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</si>
  <si>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</si>
  <si>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</si>
  <si>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</si>
  <si>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</si>
  <si>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</si>
  <si>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</si>
  <si>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</si>
  <si>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</si>
  <si>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</si>
  <si>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</si>
  <si>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</si>
  <si>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</si>
  <si>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</si>
  <si>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</si>
  <si>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</si>
  <si>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</si>
  <si>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</si>
  <si>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</si>
  <si>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</si>
  <si>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</si>
  <si>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</si>
  <si>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</si>
  <si>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</si>
  <si>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</si>
  <si>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</si>
  <si>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</si>
  <si>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</si>
  <si>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</si>
  <si>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</si>
  <si>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</si>
  <si>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</si>
  <si>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</si>
  <si>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</si>
  <si>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</si>
  <si>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</si>
  <si>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</si>
  <si>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</si>
  <si>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</si>
  <si>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</si>
  <si>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</si>
  <si>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</si>
  <si>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</si>
  <si>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</si>
  <si>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</si>
  <si>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</si>
  <si>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</si>
  <si>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</si>
  <si>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</si>
  <si>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</si>
  <si>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</si>
  <si>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</si>
  <si>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</si>
  <si>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</si>
  <si>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</si>
  <si>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</si>
  <si>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</si>
  <si>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</si>
  <si>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</si>
  <si>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</si>
  <si>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</si>
  <si>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</si>
  <si>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</si>
  <si>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</si>
  <si>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</si>
  <si>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</si>
  <si>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</si>
  <si>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</si>
  <si>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</si>
  <si>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</si>
  <si>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</si>
  <si>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</si>
  <si>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</si>
  <si>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</si>
  <si>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</si>
  <si>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</si>
  <si>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</si>
  <si>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</si>
  <si>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</si>
  <si>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</si>
  <si>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</si>
  <si>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</si>
  <si>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</si>
  <si>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</si>
  <si>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</si>
  <si>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</si>
  <si>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</si>
  <si>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</si>
  <si>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</si>
  <si>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</si>
  <si>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</si>
  <si>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</si>
  <si>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</si>
  <si>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</si>
  <si>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</si>
  <si>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</si>
  <si>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</si>
  <si>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</si>
  <si>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</si>
  <si>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</si>
  <si>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</si>
  <si>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</si>
  <si>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</si>
  <si>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</si>
  <si>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</si>
  <si>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</si>
  <si>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</si>
  <si>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</si>
  <si>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</si>
  <si>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</si>
  <si>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</si>
  <si>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</si>
  <si>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</si>
  <si>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</si>
  <si>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</si>
  <si>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</si>
  <si>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</si>
  <si>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</si>
  <si>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</si>
  <si>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</si>
  <si>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</si>
  <si>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</si>
  <si>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</si>
  <si>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</si>
  <si>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</si>
  <si>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</si>
  <si>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</si>
  <si>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</si>
  <si>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</si>
  <si>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</si>
  <si>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</si>
  <si>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</si>
  <si>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</si>
  <si>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</si>
  <si>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</si>
  <si>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</si>
  <si>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</si>
  <si>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</si>
  <si>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</si>
  <si>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</si>
  <si>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</si>
  <si>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</si>
  <si>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</si>
  <si>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</si>
  <si>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</si>
  <si>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</si>
  <si>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</si>
  <si>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</si>
  <si>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</si>
  <si>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</si>
  <si>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</si>
  <si>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</si>
  <si>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</si>
  <si>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</si>
  <si>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</si>
  <si>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</si>
  <si>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</si>
  <si>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</si>
  <si>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Apr</t>
  </si>
  <si>
    <t>Years</t>
  </si>
  <si>
    <t>Goal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</si>
  <si>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</si>
  <si>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</si>
  <si>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</si>
  <si>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</si>
  <si>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</si>
  <si>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</si>
  <si>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</si>
  <si>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</si>
  <si>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</si>
  <si>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</si>
  <si>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</si>
  <si>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</si>
  <si>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</si>
  <si>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</si>
  <si>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</si>
  <si>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</si>
  <si>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</si>
  <si>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</si>
  <si>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</si>
  <si>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</si>
  <si>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</si>
  <si>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</si>
  <si>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</si>
  <si>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</si>
  <si>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</si>
  <si>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</si>
  <si>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</si>
  <si>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Greater than 50000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</si>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</sst>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C17-B311-F8D1CADC95B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A-47AF-AE4E-CF89CEF1DA2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0A-47AF-AE4E-CF89CEF1D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4408319"/>
        <c:axId val="1674398751"/>
      </c:lineChart>
      <c:catAx>
        <c:axId val="167440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398751"/>
        <c:crosses val="autoZero"/>
        <c:auto val="1"/>
        <c:lblAlgn val="ctr"/>
        <c:lblOffset val="100"/>
        <c:noMultiLvlLbl val="0"/>
      </c:catAx>
      <c:valAx>
        <c:axId val="167439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40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C-420D-8B2C-77CB514F67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C-420D-8B2C-77CB514F67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C-420D-8B2C-77CB514F6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92143"/>
        <c:axId val="128773839"/>
      </c:lineChart>
      <c:catAx>
        <c:axId val="12879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73839"/>
        <c:crosses val="autoZero"/>
        <c:auto val="1"/>
        <c:lblAlgn val="ctr"/>
        <c:lblOffset val="100"/>
        <c:noMultiLvlLbl val="0"/>
      </c:catAx>
      <c:valAx>
        <c:axId val="12877383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9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4</xdr:row>
      <xdr:rowOff>28574</xdr:rowOff>
    </xdr:from>
    <xdr:to>
      <xdr:col>14</xdr:col>
      <xdr:colOff>215404</xdr:colOff>
      <xdr:row>19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A651D-252B-4F86-9A2D-1DF990844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14</xdr:row>
      <xdr:rowOff>28575</xdr:rowOff>
    </xdr:from>
    <xdr:to>
      <xdr:col>5</xdr:col>
      <xdr:colOff>1162050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CEFF9-29B3-4973-844F-16C497A89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Santos" refreshedDate="44219.979187731478" createdVersion="6" refreshedVersion="6" minRefreshableVersion="3" recordCount="4114" xr:uid="{3A9FCEF0-26F5-4793-AADC-AF36E86C3BA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86417-0548-4FCE-B776-7B375CDBB24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5:E19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selection activeCell="K1" sqref="A1:XF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140625" style="9" customWidth="1"/>
    <col min="16" max="16" width="17.28515625" customWidth="1"/>
    <col min="17" max="17" width="41.140625" customWidth="1"/>
    <col min="18" max="18" width="12.42578125" customWidth="1"/>
    <col min="19" max="19" width="21.42578125" style="17" customWidth="1"/>
    <col min="20" max="20" width="20.28515625" style="15" customWidth="1"/>
    <col min="21" max="21" width="12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4" t="s">
        <v>8366</v>
      </c>
      <c r="U1" s="19" t="s">
        <v>8368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cm="1">
        <f t="array" ref="P522">IFERROR(ROUND(E522/L522,2),no backers)</f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37704-F695-420F-B970-0C3EBB6513CE}">
  <dimension ref="A2:E19"/>
  <sheetViews>
    <sheetView tabSelected="1" workbookViewId="0">
      <selection activeCell="J22" sqref="J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8368</v>
      </c>
      <c r="B3" t="s">
        <v>8363</v>
      </c>
    </row>
    <row r="5" spans="1:5" x14ac:dyDescent="0.25">
      <c r="A5" s="12" t="s">
        <v>8364</v>
      </c>
      <c r="B5" s="12" t="s">
        <v>8360</v>
      </c>
    </row>
    <row r="6" spans="1:5" x14ac:dyDescent="0.25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8" t="s">
        <v>8370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8" t="s">
        <v>8371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8" t="s">
        <v>8372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8" t="s">
        <v>8367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8" t="s">
        <v>8373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8" t="s">
        <v>8374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8" t="s">
        <v>8375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8" t="s">
        <v>8376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8" t="s">
        <v>8377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8" t="s">
        <v>8378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8" t="s">
        <v>8379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8" t="s">
        <v>8380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8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D2257-3A47-4621-B3EC-87B8F5544A63}">
  <dimension ref="A1:H13"/>
  <sheetViews>
    <sheetView workbookViewId="0">
      <selection activeCell="M24" sqref="M2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8" s="19" customFormat="1" x14ac:dyDescent="0.25">
      <c r="A1" s="19" t="s">
        <v>8369</v>
      </c>
      <c r="B1" s="19" t="s">
        <v>8381</v>
      </c>
      <c r="C1" s="19" t="s">
        <v>8382</v>
      </c>
      <c r="D1" s="19" t="s">
        <v>8383</v>
      </c>
      <c r="E1" s="19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t="s">
        <v>8388</v>
      </c>
      <c r="B2">
        <f>COUNTIFS(Data!R:R,"plays",Data!$D:$D,"&lt;1000",Data!$F:$F,"Successful")</f>
        <v>141</v>
      </c>
      <c r="C2">
        <f>COUNTIFS(Data!R:R,"plays",Data!$D:$D,"&lt;1000",Data!$F:$F,"Failed")</f>
        <v>45</v>
      </c>
      <c r="D2">
        <f>COUNTIFS(Data!R:R,"plays",Data!$D:$D,"&lt;1000",Data!$F:$F,"Canceled")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(D2/E2)</f>
        <v>0</v>
      </c>
    </row>
    <row r="3" spans="1:8" x14ac:dyDescent="0.25">
      <c r="A3" t="s">
        <v>8389</v>
      </c>
      <c r="B3">
        <f>COUNTIFS(Data!R:R,"plays",Data!$D:$D,"&gt;=1000",Data!$D:$D,"&lt;=4999",Data!$F:$F,"Successful")</f>
        <v>388</v>
      </c>
      <c r="C3">
        <f>COUNTIFS(Data!R:R,"plays",Data!$D:$D,"&gt;=1000",Data!$D:$D,"&lt;=4999",Data!$F:$F,"Failed")</f>
        <v>146</v>
      </c>
      <c r="D3">
        <f>COUNTIFS(Data!R:R,"plays",Data!$D:$D,"&gt;=1000",Data!$D:$D,"&lt;=4999",Data!$F:$F,"Canceled")</f>
        <v>0</v>
      </c>
      <c r="E3">
        <f t="shared" ref="E3:E13" si="0">SUM(B3:D3)</f>
        <v>534</v>
      </c>
      <c r="F3" s="21">
        <f>(B3/E3)</f>
        <v>0.72659176029962547</v>
      </c>
      <c r="G3" s="21">
        <f t="shared" ref="G3:G13" si="1">(C3/E3)</f>
        <v>0.27340823970037453</v>
      </c>
      <c r="H3" s="21">
        <f t="shared" ref="H3:H13" si="2">(D3/E3)</f>
        <v>0</v>
      </c>
    </row>
    <row r="4" spans="1:8" x14ac:dyDescent="0.25">
      <c r="A4" t="s">
        <v>8390</v>
      </c>
      <c r="B4">
        <f>COUNTIFS(Data!R:R,"plays",Data!$D:$D,"&gt;=5000",Data!$D:$D,"&lt;=9999",Data!$F:$F,"Successful")</f>
        <v>93</v>
      </c>
      <c r="C4">
        <f>COUNTIFS(Data!R:R,"plays",Data!$D:$D,"&gt;=5000",Data!$D:$D,"&lt;=9999",Data!$F:$F,"Failed")</f>
        <v>76</v>
      </c>
      <c r="D4">
        <f>COUNTIFS(Data!R:R,"plays",Data!$D:$D,"&gt;=5000",Data!$D:$D,"&lt;=9999",Data!$F:$F,"Canceled")</f>
        <v>0</v>
      </c>
      <c r="E4">
        <f t="shared" si="0"/>
        <v>169</v>
      </c>
      <c r="F4" s="21">
        <f>(B4/E4)</f>
        <v>0.55029585798816572</v>
      </c>
      <c r="G4" s="21">
        <f t="shared" si="1"/>
        <v>0.44970414201183434</v>
      </c>
      <c r="H4" s="21">
        <f t="shared" si="2"/>
        <v>0</v>
      </c>
    </row>
    <row r="5" spans="1:8" x14ac:dyDescent="0.25">
      <c r="A5" t="s">
        <v>8391</v>
      </c>
      <c r="B5">
        <f>COUNTIFS(Data!R:R,"plays",Data!$D:$D,"&gt;=10000",Data!$D:$D,"&lt;=14999",Data!$F:$F,"Successful")</f>
        <v>39</v>
      </c>
      <c r="C5">
        <f>COUNTIFS(Data!R:R,"plays",Data!$D:$D,"&gt;=10000",Data!$D:$D,"&lt;=14999",Data!$F:$F,"Failed")</f>
        <v>33</v>
      </c>
      <c r="D5">
        <f>COUNTIFS(Data!R:R,"plays",Data!$D:$D,"&gt;=10000",Data!$D:$D,"&lt;=14999",Data!$F:$F,"Canceled")</f>
        <v>0</v>
      </c>
      <c r="E5">
        <f t="shared" si="0"/>
        <v>72</v>
      </c>
      <c r="F5" s="21">
        <f>(B5/E5)</f>
        <v>0.54166666666666663</v>
      </c>
      <c r="G5" s="21">
        <f t="shared" si="1"/>
        <v>0.45833333333333331</v>
      </c>
      <c r="H5" s="21">
        <f t="shared" si="2"/>
        <v>0</v>
      </c>
    </row>
    <row r="6" spans="1:8" x14ac:dyDescent="0.25">
      <c r="A6" t="s">
        <v>8392</v>
      </c>
      <c r="B6">
        <f>COUNTIFS(Data!R:R,"plays",Data!$D:$D,"&gt;=15000",Data!$D:$D,"&lt;=19999",Data!$F:$F,"Successful")</f>
        <v>12</v>
      </c>
      <c r="C6">
        <f>COUNTIFS(Data!R:R,"plays",Data!$D:$D,"&gt;=15000",Data!$D:$D,"&lt;=19999",Data!$F:$F,"Failed")</f>
        <v>12</v>
      </c>
      <c r="D6">
        <f>COUNTIFS(Data!R:R,"plays",Data!$D:$D,"&gt;=15000",Data!$D:$D,"&lt;=19999",Data!$F:$F,"Canceled")</f>
        <v>0</v>
      </c>
      <c r="E6">
        <f t="shared" si="0"/>
        <v>24</v>
      </c>
      <c r="F6" s="21">
        <f>(B6/E6)</f>
        <v>0.5</v>
      </c>
      <c r="G6" s="21">
        <f t="shared" si="1"/>
        <v>0.5</v>
      </c>
      <c r="H6" s="21">
        <f t="shared" si="2"/>
        <v>0</v>
      </c>
    </row>
    <row r="7" spans="1:8" x14ac:dyDescent="0.25">
      <c r="A7" t="s">
        <v>8398</v>
      </c>
      <c r="B7">
        <f>COUNTIFS(Data!R:R,"plays",Data!$D:$D,"&gt;=20000",Data!$D:$D,"&lt;=24999",Data!$F:$F,"Successful")</f>
        <v>9</v>
      </c>
      <c r="C7">
        <f>COUNTIFS(Data!R:R,"plays",Data!$D:$D,"&gt;=20000",Data!$D:$D,"&lt;=24999",Data!$F:$F,"Failed")</f>
        <v>11</v>
      </c>
      <c r="D7">
        <f>COUNTIFS(Data!R:R,"plays",Data!$D:$D,"&gt;=20000",Data!$D:$D,"&lt;=24999",Data!$F:$F,"Canceled")</f>
        <v>0</v>
      </c>
      <c r="E7">
        <f t="shared" si="0"/>
        <v>20</v>
      </c>
      <c r="F7" s="21">
        <f>(B7/E7)</f>
        <v>0.45</v>
      </c>
      <c r="G7" s="21">
        <f t="shared" si="1"/>
        <v>0.55000000000000004</v>
      </c>
      <c r="H7" s="21">
        <f t="shared" si="2"/>
        <v>0</v>
      </c>
    </row>
    <row r="8" spans="1:8" x14ac:dyDescent="0.25">
      <c r="A8" t="s">
        <v>8399</v>
      </c>
      <c r="B8">
        <f>COUNTIFS(Data!R:R,"plays",Data!$D:$D,"&gt;=25000",Data!$D:$D,"&lt;=29999",Data!$F:$F,"Successful")</f>
        <v>1</v>
      </c>
      <c r="C8">
        <f>COUNTIFS(Data!R:R,"plays",Data!$D:$D,"&gt;=25000",Data!$D:$D,"&lt;=29999",Data!$F:$F,"Failed")</f>
        <v>4</v>
      </c>
      <c r="D8">
        <f>COUNTIFS(Data!R:R,"plays",Data!$D:$D,"&gt;=25000",Data!$D:$D,"&lt;=29999",Data!$F:$F,"Canceled")</f>
        <v>0</v>
      </c>
      <c r="E8">
        <f t="shared" ref="E8" si="3">SUM(B8:D8)</f>
        <v>5</v>
      </c>
      <c r="F8" s="21">
        <f>(B8/E8)</f>
        <v>0.2</v>
      </c>
      <c r="G8" s="21">
        <f t="shared" ref="G8" si="4">(C8/E8)</f>
        <v>0.8</v>
      </c>
      <c r="H8" s="21">
        <f t="shared" ref="H8" si="5">(D8/E8)</f>
        <v>0</v>
      </c>
    </row>
    <row r="9" spans="1:8" x14ac:dyDescent="0.25">
      <c r="A9" t="s">
        <v>8393</v>
      </c>
      <c r="B9">
        <f>COUNTIFS(Data!R:R,"plays",Data!$D:$D,"&gt;=30000",Data!$D:$D,"&lt;=34999",Data!$F:$F,"Successful")</f>
        <v>3</v>
      </c>
      <c r="C9">
        <f>COUNTIFS(Data!R:R,"plays",Data!$D:$D,"&gt;=30000",Data!$D:$D,"&lt;=34999",Data!$F:$F,"Failed")</f>
        <v>8</v>
      </c>
      <c r="D9">
        <f>COUNTIFS(Data!R:R,"plays",Data!$D:$D,"&gt;=30000",Data!$D:$D,"&lt;=34999",Data!$F:$F,"Canceled")</f>
        <v>0</v>
      </c>
      <c r="E9">
        <f t="shared" si="0"/>
        <v>11</v>
      </c>
      <c r="F9" s="21">
        <f>(B9/E9)</f>
        <v>0.27272727272727271</v>
      </c>
      <c r="G9" s="21">
        <f t="shared" si="1"/>
        <v>0.72727272727272729</v>
      </c>
      <c r="H9" s="21">
        <f t="shared" si="2"/>
        <v>0</v>
      </c>
    </row>
    <row r="10" spans="1:8" x14ac:dyDescent="0.25">
      <c r="A10" t="s">
        <v>8394</v>
      </c>
      <c r="B10">
        <f>COUNTIFS(Data!R:R,"plays",Data!$D:$D,"&gt;=35000",Data!$D:$D,"&lt;=39999",Data!$F:$F,"Successful")</f>
        <v>4</v>
      </c>
      <c r="C10">
        <f>COUNTIFS(Data!R:R,"plays",Data!$D:$D,"&gt;=35000",Data!$D:$D,"&lt;=39999",Data!$F:$F,"Failed")</f>
        <v>2</v>
      </c>
      <c r="D10">
        <f>COUNTIFS(Data!R:R,"plays",Data!$D:$D,"&gt;=35000",Data!$D:$D,"&lt;=39999",Data!$F:$F,"Canceled")</f>
        <v>0</v>
      </c>
      <c r="E10">
        <f t="shared" si="0"/>
        <v>6</v>
      </c>
      <c r="F10" s="21">
        <f>(B10/E10)</f>
        <v>0.66666666666666663</v>
      </c>
      <c r="G10" s="21">
        <f t="shared" si="1"/>
        <v>0.33333333333333331</v>
      </c>
      <c r="H10" s="21">
        <f t="shared" si="2"/>
        <v>0</v>
      </c>
    </row>
    <row r="11" spans="1:8" x14ac:dyDescent="0.25">
      <c r="A11" t="s">
        <v>8395</v>
      </c>
      <c r="B11">
        <f>COUNTIFS(Data!R:R,"plays",Data!$D:$D,"&gt;=40000",Data!$D:$D,"&lt;=44999",Data!$F:$F,"Successful")</f>
        <v>2</v>
      </c>
      <c r="C11">
        <f>COUNTIFS(Data!R:R,"plays",Data!$D:$D,"&gt;=40000",Data!$D:$D,"&lt;=44999",Data!$F:$F,"Failed")</f>
        <v>1</v>
      </c>
      <c r="D11">
        <f>COUNTIFS(Data!R:R,"plays",Data!$D:$D,"&gt;=40000",Data!$D:$D,"&lt;=44999",Data!$F:$F,"Canceled")</f>
        <v>0</v>
      </c>
      <c r="E11">
        <f t="shared" si="0"/>
        <v>3</v>
      </c>
      <c r="F11" s="21">
        <f>(B11/E11)</f>
        <v>0.66666666666666663</v>
      </c>
      <c r="G11" s="21">
        <f t="shared" si="1"/>
        <v>0.33333333333333331</v>
      </c>
      <c r="H11" s="21">
        <f t="shared" si="2"/>
        <v>0</v>
      </c>
    </row>
    <row r="12" spans="1:8" x14ac:dyDescent="0.25">
      <c r="A12" t="s">
        <v>8396</v>
      </c>
      <c r="B12">
        <f>COUNTIFS(Data!R:R,"plays",Data!$D:$D,"&gt;=45000",Data!$D:$D,"&lt;=49999",Data!$F:$F,"Successful")</f>
        <v>0</v>
      </c>
      <c r="C12">
        <f>COUNTIFS(Data!R:R,"plays",Data!$D:$D,"&gt;=45000",Data!$D:$D,"&lt;=49999",Data!$F:$F,"Failed")</f>
        <v>1</v>
      </c>
      <c r="D12">
        <f>COUNTIFS(Data!R:R,"plays",Data!$D:$D,"&gt;=45000",Data!$D:$D,"&lt;=49999",Data!$F:$F,"Canceled")</f>
        <v>0</v>
      </c>
      <c r="E12">
        <f t="shared" si="0"/>
        <v>1</v>
      </c>
      <c r="F12" s="21">
        <f>(B12/E12)</f>
        <v>0</v>
      </c>
      <c r="G12" s="21">
        <f t="shared" si="1"/>
        <v>1</v>
      </c>
      <c r="H12" s="21">
        <f t="shared" si="2"/>
        <v>0</v>
      </c>
    </row>
    <row r="13" spans="1:8" x14ac:dyDescent="0.25">
      <c r="A13" t="s">
        <v>8397</v>
      </c>
      <c r="B13">
        <f>COUNTIFS(Data!R:R,"plays",Data!$D:$D,"&gt;50000",Data!$F:$F,"Successful")</f>
        <v>2</v>
      </c>
      <c r="C13">
        <f>COUNTIFS(Data!R:R,"plays",Data!$D:$D,"&gt;50000",Data!$F:$F,"Failed")</f>
        <v>10</v>
      </c>
      <c r="D13">
        <f>COUNTIFS(Data!R:R,"plays",Data!$D:$D,"&gt;50000",Data!$F:$F,"Canceled")</f>
        <v>0</v>
      </c>
      <c r="E13">
        <f t="shared" si="0"/>
        <v>12</v>
      </c>
      <c r="F13" s="21">
        <f>(B13/E13)</f>
        <v>0.16666666666666666</v>
      </c>
      <c r="G13" s="21">
        <f t="shared" si="1"/>
        <v>0.83333333333333337</v>
      </c>
      <c r="H13" s="21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Santos</cp:lastModifiedBy>
  <dcterms:created xsi:type="dcterms:W3CDTF">2017-04-20T15:17:24Z</dcterms:created>
  <dcterms:modified xsi:type="dcterms:W3CDTF">2021-01-31T03:42:11Z</dcterms:modified>
</cp:coreProperties>
</file>